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mallScale" sheetId="1" r:id="rId4"/>
    <sheet state="visible" name="Small Scale Receipts" sheetId="2" r:id="rId5"/>
    <sheet state="visible" name="Pre-finance" sheetId="3" r:id="rId6"/>
    <sheet state="hidden" name="TempSmallscale" sheetId="4" r:id="rId7"/>
    <sheet state="hidden" name="WarehouseSScale" sheetId="5" r:id="rId8"/>
    <sheet state="hidden" name="BBFss" sheetId="6" r:id="rId9"/>
    <sheet state="hidden" name="PreFinance" sheetId="7" r:id="rId10"/>
    <sheet state="hidden" name="DashboardPfnce" sheetId="8" r:id="rId11"/>
    <sheet state="hidden" name="TempPrefinance" sheetId="9" r:id="rId12"/>
    <sheet state="hidden" name="WarehousePfnance" sheetId="10" r:id="rId13"/>
    <sheet state="hidden" name="BBFpf" sheetId="11" r:id="rId14"/>
    <sheet state="hidden" name="Finance" sheetId="12" r:id="rId15"/>
    <sheet state="hidden" name="Evacuate" sheetId="13" r:id="rId16"/>
    <sheet state="hidden" name="wareEvacuate" sheetId="14" r:id="rId17"/>
    <sheet state="hidden" name="BBFfnce" sheetId="15" r:id="rId18"/>
    <sheet state="hidden" name="TempFinOps" sheetId="16" r:id="rId19"/>
    <sheet state="hidden" name="lists" sheetId="17" r:id="rId20"/>
    <sheet state="visible" name="Non Cocoa" sheetId="18" r:id="rId21"/>
    <sheet state="visible" name="Dashboard" sheetId="19" r:id="rId22"/>
    <sheet state="hidden" name="Detail245-ANDRDEW ORIABURE" sheetId="20" r:id="rId23"/>
    <sheet state="hidden" name="Detail244-ANDRDEW ORIABURE" sheetId="21" r:id="rId24"/>
    <sheet state="hidden" name="Detail243- KINGSLEY" sheetId="22" r:id="rId25"/>
    <sheet state="hidden" name="Sheet76" sheetId="23" r:id="rId26"/>
    <sheet state="hidden" name="Sheet77" sheetId="24" r:id="rId27"/>
    <sheet state="hidden" name="Sheet78" sheetId="25" r:id="rId28"/>
    <sheet state="hidden" name="Sheet79" sheetId="26" r:id="rId29"/>
    <sheet state="hidden" name="Sheet80" sheetId="27" r:id="rId30"/>
    <sheet state="hidden" name="Sheet81" sheetId="28" r:id="rId31"/>
    <sheet state="hidden" name="Sheet82" sheetId="29" r:id="rId32"/>
    <sheet state="hidden" name="Sheet83" sheetId="30" r:id="rId33"/>
    <sheet state="hidden" name="Sheet84" sheetId="31" r:id="rId34"/>
    <sheet state="hidden" name="Sheet85" sheetId="32" r:id="rId35"/>
    <sheet state="hidden" name="Sheet86" sheetId="33" r:id="rId36"/>
    <sheet state="hidden" name="Sheet87" sheetId="34" r:id="rId37"/>
    <sheet state="hidden" name="Sheet88" sheetId="35" r:id="rId38"/>
    <sheet state="hidden" name="Sheet89" sheetId="36" r:id="rId39"/>
    <sheet state="hidden" name="Sheet90" sheetId="37" r:id="rId40"/>
    <sheet state="hidden" name="Sheet91" sheetId="38" r:id="rId41"/>
    <sheet state="hidden" name="Sheet92" sheetId="39" r:id="rId42"/>
    <sheet state="hidden" name="Sheet93" sheetId="40" r:id="rId43"/>
    <sheet state="hidden" name="Sheet94" sheetId="41" r:id="rId44"/>
    <sheet state="hidden" name="Sheet95" sheetId="42" r:id="rId45"/>
    <sheet state="hidden" name="Sheet96" sheetId="43" r:id="rId46"/>
    <sheet state="hidden" name="Sheet97" sheetId="44" r:id="rId47"/>
    <sheet state="hidden" name="Sheet98" sheetId="45" r:id="rId48"/>
    <sheet state="hidden" name="Sheet99" sheetId="46" r:id="rId49"/>
    <sheet state="hidden" name="Sheet100" sheetId="47" r:id="rId50"/>
    <sheet state="hidden" name="Sheet101" sheetId="48" r:id="rId51"/>
    <sheet state="hidden" name="Sheet102" sheetId="49" r:id="rId52"/>
    <sheet state="hidden" name="Sheet103" sheetId="50" r:id="rId53"/>
    <sheet state="hidden" name="Sheet104" sheetId="51" r:id="rId54"/>
    <sheet state="hidden" name="Sheet105" sheetId="52" r:id="rId55"/>
    <sheet state="hidden" name="Sheet106" sheetId="53" r:id="rId56"/>
    <sheet state="hidden" name="Sheet107" sheetId="54" r:id="rId57"/>
    <sheet state="hidden" name="Sheet108" sheetId="55" r:id="rId58"/>
    <sheet state="hidden" name="Sheet109" sheetId="56" r:id="rId59"/>
    <sheet state="hidden" name="Sheet110" sheetId="57" r:id="rId60"/>
    <sheet state="hidden" name="Sheet111" sheetId="58" r:id="rId61"/>
    <sheet state="hidden" name="Sheet112" sheetId="59" r:id="rId62"/>
    <sheet state="hidden" name="Sheet113" sheetId="60" r:id="rId63"/>
    <sheet state="hidden" name="Sheet114" sheetId="61" r:id="rId64"/>
    <sheet state="hidden" name="Sheet115" sheetId="62" r:id="rId65"/>
    <sheet state="hidden" name="Sheet116" sheetId="63" r:id="rId66"/>
    <sheet state="hidden" name="Sheet117" sheetId="64" r:id="rId67"/>
    <sheet state="hidden" name="Small-Scale History" sheetId="65" r:id="rId68"/>
    <sheet state="hidden" name="tempSmallScaleHistory" sheetId="66" r:id="rId69"/>
    <sheet state="hidden" name="HelperFormulas" sheetId="67" r:id="rId70"/>
    <sheet state="hidden" name="Non Cocoa History" sheetId="68" r:id="rId71"/>
    <sheet state="hidden" name="tempFinanceHistoryQuery" sheetId="69" r:id="rId72"/>
    <sheet state="hidden" name="BBFevaquate" sheetId="70" r:id="rId73"/>
    <sheet state="hidden" name="Pivot-Prefinance" sheetId="71" r:id="rId74"/>
  </sheets>
  <definedNames>
    <definedName name="RECEIVED">lists!$A$3:$A$992</definedName>
    <definedName name="EXPENSE">lists!$B$3:$B$992</definedName>
  </definedNames>
  <calcPr/>
  <pivotCaches>
    <pivotCache cacheId="0" r:id="rId75"/>
    <pivotCache cacheId="1" r:id="rId76"/>
  </pivotCaches>
</workbook>
</file>

<file path=xl/sharedStrings.xml><?xml version="1.0" encoding="utf-8"?>
<sst xmlns="http://schemas.openxmlformats.org/spreadsheetml/2006/main" count="4201" uniqueCount="685">
  <si>
    <t>Small Scale Mastersheet</t>
  </si>
  <si>
    <t>last entry</t>
  </si>
  <si>
    <t>DATE</t>
  </si>
  <si>
    <t>NAMES</t>
  </si>
  <si>
    <t>GROSS WT</t>
  </si>
  <si>
    <t>TAR WEIGHT</t>
  </si>
  <si>
    <t>DISCOUNT</t>
  </si>
  <si>
    <t>UNIT PRICE</t>
  </si>
  <si>
    <t xml:space="preserve"> BAGS</t>
  </si>
  <si>
    <t>KGS</t>
  </si>
  <si>
    <t>AMOUNT</t>
  </si>
  <si>
    <t>NET WEIGHT</t>
  </si>
  <si>
    <t>PAYABLE</t>
  </si>
  <si>
    <t>Godwill</t>
  </si>
  <si>
    <t>REImon Benson</t>
  </si>
  <si>
    <t>ABANG. Linnus</t>
  </si>
  <si>
    <t>OBI</t>
  </si>
  <si>
    <t>ABANG. ALFRED</t>
  </si>
  <si>
    <t>ABANG. Peter NDOMA</t>
  </si>
  <si>
    <t>Palos Nelson</t>
  </si>
  <si>
    <t>Alfred  Alabi</t>
  </si>
  <si>
    <t>AGEGE-BOY</t>
  </si>
  <si>
    <t>CHINWE</t>
  </si>
  <si>
    <t>PAPA BETTE</t>
  </si>
  <si>
    <t>MATIAT BLESSING</t>
  </si>
  <si>
    <t>KARIEN EBAN</t>
  </si>
  <si>
    <t>KOKOk Ndifon</t>
  </si>
  <si>
    <t>ABANG. Confidence</t>
  </si>
  <si>
    <t>HIGH PAPA</t>
  </si>
  <si>
    <t>Confidence</t>
  </si>
  <si>
    <t>Chimwe</t>
  </si>
  <si>
    <t>ABANG. Andrew</t>
  </si>
  <si>
    <t>A.D. FREDERICK</t>
  </si>
  <si>
    <t>St. Pual</t>
  </si>
  <si>
    <t>SIR OBIM KEN.</t>
  </si>
  <si>
    <t>SIR ZULU</t>
  </si>
  <si>
    <t>NDOMA NDOMA</t>
  </si>
  <si>
    <t>ABANG. Chinwe</t>
  </si>
  <si>
    <t>Ashanti</t>
  </si>
  <si>
    <t>Tom Mku</t>
  </si>
  <si>
    <t>ABANG. CONFIDENCE</t>
  </si>
  <si>
    <t>ABANG. ANDREW</t>
  </si>
  <si>
    <t>ABANG. TIWA HNSON</t>
  </si>
  <si>
    <t>ABANGS. HNSON</t>
  </si>
  <si>
    <t>ORU</t>
  </si>
  <si>
    <t>NELSON &amp; PALUS</t>
  </si>
  <si>
    <t>ETUK EFFI</t>
  </si>
  <si>
    <t>SEPH</t>
  </si>
  <si>
    <t>CHINWE MGWUJA</t>
  </si>
  <si>
    <t>PALOS/NELSON</t>
  </si>
  <si>
    <t>OKONG</t>
  </si>
  <si>
    <t>ONG ONG</t>
  </si>
  <si>
    <t>.</t>
  </si>
  <si>
    <t>ABANG. CHINWE</t>
  </si>
  <si>
    <t>DADDY</t>
  </si>
  <si>
    <t>ASHENTEE</t>
  </si>
  <si>
    <t>CHELECHI</t>
  </si>
  <si>
    <t>ABANG. HN</t>
  </si>
  <si>
    <t>ABANG. ORU</t>
  </si>
  <si>
    <t>ABANG. KOKOK</t>
  </si>
  <si>
    <t>NDOMA BODES</t>
  </si>
  <si>
    <t>DOC. AYANG</t>
  </si>
  <si>
    <t>ABANG. SUNNY</t>
  </si>
  <si>
    <t>EMMANUEL</t>
  </si>
  <si>
    <t>TINA</t>
  </si>
  <si>
    <t>ABANG. OBIM</t>
  </si>
  <si>
    <t>ONG</t>
  </si>
  <si>
    <t>DIRECTOR FRIEND</t>
  </si>
  <si>
    <t>BENJAMIN BENSONG</t>
  </si>
  <si>
    <t>OSOWOCHI CLEMENT</t>
  </si>
  <si>
    <t>DANIEL AKPAN</t>
  </si>
  <si>
    <t>MIKA</t>
  </si>
  <si>
    <t>ODI MBEH</t>
  </si>
  <si>
    <t>SUNNY</t>
  </si>
  <si>
    <t>COPPA NKU</t>
  </si>
  <si>
    <t>ELDER SUNDAY</t>
  </si>
  <si>
    <t>ABANG HN ENYA</t>
  </si>
  <si>
    <t>ABANG. TIMOTHY</t>
  </si>
  <si>
    <t>Last Entry:</t>
  </si>
  <si>
    <t>BOBUA JESSY</t>
  </si>
  <si>
    <t>PRE - FINANCE RECIEPTS</t>
  </si>
  <si>
    <t>Last entry</t>
  </si>
  <si>
    <t>Last entry:</t>
  </si>
  <si>
    <t>COUNT</t>
  </si>
  <si>
    <t>Cnam</t>
  </si>
  <si>
    <t>TOTAL MST</t>
  </si>
  <si>
    <t>QTY</t>
  </si>
  <si>
    <t>TOTAL BAGS</t>
  </si>
  <si>
    <t xml:space="preserve"> CHINA BAGS</t>
  </si>
  <si>
    <t>UNIT PRC</t>
  </si>
  <si>
    <t>ADVANCE</t>
  </si>
  <si>
    <t>BAL~</t>
  </si>
  <si>
    <t>A M</t>
  </si>
  <si>
    <t>MSTRE DISCT</t>
  </si>
  <si>
    <t>BAGS</t>
  </si>
  <si>
    <t>AMT</t>
  </si>
  <si>
    <t>RUNNING BAL</t>
  </si>
  <si>
    <t>PRE- FINANCE MASTERSHEET</t>
  </si>
  <si>
    <t>EDWARD OKO</t>
  </si>
  <si>
    <t>INT OTU</t>
  </si>
  <si>
    <t>ADE ADE</t>
  </si>
  <si>
    <t>BESSONG BESONG</t>
  </si>
  <si>
    <t>MINOR</t>
  </si>
  <si>
    <t>COLLINS  OFFA</t>
  </si>
  <si>
    <t>SEPH ODEY</t>
  </si>
  <si>
    <t>OSIM MARIAM</t>
  </si>
  <si>
    <t>ENYA HN</t>
  </si>
  <si>
    <t>BOSURU  BOSURU</t>
  </si>
  <si>
    <t>ASOQUO SUNDAY</t>
  </si>
  <si>
    <t>OTU KOKO KEIBO</t>
  </si>
  <si>
    <t>AUGUSTINE IGBA</t>
  </si>
  <si>
    <t>PETER JAMES</t>
  </si>
  <si>
    <t>AYUK AYUK</t>
  </si>
  <si>
    <t xml:space="preserve"> MAXWELL AGRO</t>
  </si>
  <si>
    <t>RAPHEAL OKON</t>
  </si>
  <si>
    <t>EKABA ETTA</t>
  </si>
  <si>
    <t>LAWERENCE ETTA OGAR</t>
  </si>
  <si>
    <t xml:space="preserve">LYDIA HNSON </t>
  </si>
  <si>
    <t>NAOMI</t>
  </si>
  <si>
    <t>MAXWELL AGRO OBI</t>
  </si>
  <si>
    <t>R.  MAXWELL AGRO</t>
  </si>
  <si>
    <t>ABANG. BEN OLUM</t>
  </si>
  <si>
    <t>NYIAM FREDERICK JUSTINE</t>
  </si>
  <si>
    <t>RI SAMP</t>
  </si>
  <si>
    <t>REMMY BODES</t>
  </si>
  <si>
    <t>ANDRDEW GREAT</t>
  </si>
  <si>
    <t>NDOMA BODE I.D</t>
  </si>
  <si>
    <t>ALLI SYLVESTER</t>
  </si>
  <si>
    <t xml:space="preserve"> OP OJUA</t>
  </si>
  <si>
    <t>HN KEIBO</t>
  </si>
  <si>
    <t xml:space="preserve"> OP OCHICHIE</t>
  </si>
  <si>
    <t>PETER KEIBO SIDE</t>
  </si>
  <si>
    <t>CONFIDENCE</t>
  </si>
  <si>
    <t>LAI BIG MAN</t>
  </si>
  <si>
    <t>ABANG TATAW CAMEROUN</t>
  </si>
  <si>
    <t>ABANG FREDINARD</t>
  </si>
  <si>
    <t>KOKOK PRIN</t>
  </si>
  <si>
    <t>BABA NDIFON</t>
  </si>
  <si>
    <t>TIMOTHY  OLUM</t>
  </si>
  <si>
    <t>AGEGE BOY</t>
  </si>
  <si>
    <t>PRINNESS</t>
  </si>
  <si>
    <t>CORNWELL</t>
  </si>
  <si>
    <t>DUN ODI A.</t>
  </si>
  <si>
    <t>MAXWELL AGRO PRIN</t>
  </si>
  <si>
    <t>FRANCIS KEIBO</t>
  </si>
  <si>
    <t>COLLABS</t>
  </si>
  <si>
    <t>CONNECT</t>
  </si>
  <si>
    <t>ZULU &amp; NDOMA</t>
  </si>
  <si>
    <t>TIWA AGBA</t>
  </si>
  <si>
    <t>PAPA AJASCO BETTE</t>
  </si>
  <si>
    <t>LIVINUS</t>
  </si>
  <si>
    <t>JAMES AKAN</t>
  </si>
  <si>
    <t>RECTOR W.</t>
  </si>
  <si>
    <t>EDDY OKO</t>
  </si>
  <si>
    <t>MATIAT REINA</t>
  </si>
  <si>
    <t>ASMAN</t>
  </si>
  <si>
    <t>NDOMA PETER</t>
  </si>
  <si>
    <t>ALFRED ALABI</t>
  </si>
  <si>
    <t>OBINNA CHIELO</t>
  </si>
  <si>
    <t xml:space="preserve">EMMANUEL OKO </t>
  </si>
  <si>
    <t>REIMON ALABA</t>
  </si>
  <si>
    <t>MATIAT LOVE</t>
  </si>
  <si>
    <t>ABANG. EDET</t>
  </si>
  <si>
    <t>OBI BESONG</t>
  </si>
  <si>
    <t>CHINWE CHIDI</t>
  </si>
  <si>
    <t>EUGENE</t>
  </si>
  <si>
    <t>ABANG. DUNLOP</t>
  </si>
  <si>
    <t>OBIM TIWA HNSON</t>
  </si>
  <si>
    <t>DUN SUNDAY NDOMA (NATION)</t>
  </si>
  <si>
    <t>A. D. FREDERICK</t>
  </si>
  <si>
    <t>OMODION</t>
  </si>
  <si>
    <t>NEIGHBOR</t>
  </si>
  <si>
    <t>NDOMA PRIN</t>
  </si>
  <si>
    <t>SEPH LOVE</t>
  </si>
  <si>
    <t xml:space="preserve">ZULU </t>
  </si>
  <si>
    <t>MALACHY</t>
  </si>
  <si>
    <t>ABANG. AM</t>
  </si>
  <si>
    <t>FREDERICK</t>
  </si>
  <si>
    <t>ABANG. ODI</t>
  </si>
  <si>
    <t>ABANG. MOSES</t>
  </si>
  <si>
    <t>PRIN M. BOSURU</t>
  </si>
  <si>
    <t>UNCLE BIGGIE</t>
  </si>
  <si>
    <t>GIFT GABRIEL</t>
  </si>
  <si>
    <t>BLESSING CHAPMAN</t>
  </si>
  <si>
    <t>ETIM SUNDAY</t>
  </si>
  <si>
    <t>MATIAT Y</t>
  </si>
  <si>
    <t>SAMUEL KEIBO</t>
  </si>
  <si>
    <t>UKWU INVESTMENT - COCOA</t>
  </si>
  <si>
    <t>LAST DATE</t>
  </si>
  <si>
    <t>Financial Operations Mastersheet</t>
  </si>
  <si>
    <t>Date</t>
  </si>
  <si>
    <t>Name</t>
  </si>
  <si>
    <t>Description</t>
  </si>
  <si>
    <t>Amount</t>
  </si>
  <si>
    <t>Category</t>
  </si>
  <si>
    <t>Advance</t>
  </si>
  <si>
    <t>Non-Cocoa</t>
  </si>
  <si>
    <t>Cash In</t>
  </si>
  <si>
    <t>Cash Collected</t>
  </si>
  <si>
    <t>Refunds</t>
  </si>
  <si>
    <t>BALANCE</t>
  </si>
  <si>
    <t>From Bank</t>
  </si>
  <si>
    <t>Prefinance</t>
  </si>
  <si>
    <t>director</t>
  </si>
  <si>
    <t>Stationery</t>
  </si>
  <si>
    <t>General Expenses</t>
  </si>
  <si>
    <t>Fuel</t>
  </si>
  <si>
    <t>Jennifer</t>
  </si>
  <si>
    <t>Tally sheet printing</t>
  </si>
  <si>
    <t>WAREHOUSE</t>
  </si>
  <si>
    <t>cash collected</t>
  </si>
  <si>
    <t>Petty Cash</t>
  </si>
  <si>
    <t>cash-in</t>
  </si>
  <si>
    <t>Transportation</t>
  </si>
  <si>
    <t>up-keep</t>
  </si>
  <si>
    <t>supply balance</t>
  </si>
  <si>
    <t>DIRECTOR</t>
  </si>
  <si>
    <t>fuel</t>
  </si>
  <si>
    <t>personal use</t>
  </si>
  <si>
    <t>road expenses</t>
  </si>
  <si>
    <t>MANAGER</t>
  </si>
  <si>
    <t>CASH-IN</t>
  </si>
  <si>
    <t>BLESSING AYUK</t>
  </si>
  <si>
    <t>CASH COLLECTED</t>
  </si>
  <si>
    <t>TRANSPORT</t>
  </si>
  <si>
    <t>OBI-DRIVER</t>
  </si>
  <si>
    <t>FUEL</t>
  </si>
  <si>
    <t>LABOUR</t>
  </si>
  <si>
    <t>AYUK BLESSING</t>
  </si>
  <si>
    <t>Grading paper</t>
  </si>
  <si>
    <t>driver</t>
  </si>
  <si>
    <t>Tulip</t>
  </si>
  <si>
    <t>Andy</t>
  </si>
  <si>
    <t>Installation</t>
  </si>
  <si>
    <t>Director Chemical</t>
  </si>
  <si>
    <t>CASL COLLECTED</t>
  </si>
  <si>
    <t>advance</t>
  </si>
  <si>
    <t>SUPPLIED</t>
  </si>
  <si>
    <t>ADA</t>
  </si>
  <si>
    <t>Transport</t>
  </si>
  <si>
    <t>Diamond</t>
  </si>
  <si>
    <t>tyre</t>
  </si>
  <si>
    <t>stationery</t>
  </si>
  <si>
    <t>Chemicals</t>
  </si>
  <si>
    <t>Chemical</t>
  </si>
  <si>
    <t xml:space="preserve">SUPPLY </t>
  </si>
  <si>
    <t>BALANCE FOR SUPPLY</t>
  </si>
  <si>
    <t>PERSONAN USE</t>
  </si>
  <si>
    <t>LABOUR  BOY</t>
  </si>
  <si>
    <t>UPKEEP</t>
  </si>
  <si>
    <t>OLATUNDE STAFF</t>
  </si>
  <si>
    <t>DIRECTOR ORDER</t>
  </si>
  <si>
    <t>DIRECTOR DAD</t>
  </si>
  <si>
    <t>SMALL SCALE PAYMENT</t>
  </si>
  <si>
    <t>Personal Use</t>
  </si>
  <si>
    <t>STATIONERIES</t>
  </si>
  <si>
    <t>Gas</t>
  </si>
  <si>
    <t>Airtime</t>
  </si>
  <si>
    <t>ESCORT PETER</t>
  </si>
  <si>
    <t>Excort fee</t>
  </si>
  <si>
    <t>ABANG. Edet</t>
  </si>
  <si>
    <t>Breaking</t>
  </si>
  <si>
    <t>gas</t>
  </si>
  <si>
    <t>ANDY</t>
  </si>
  <si>
    <t>Transpotation</t>
  </si>
  <si>
    <t>Ecotex</t>
  </si>
  <si>
    <t>Haulage</t>
  </si>
  <si>
    <t>Prince</t>
  </si>
  <si>
    <t>T.F.C.</t>
  </si>
  <si>
    <t>Presido</t>
  </si>
  <si>
    <t>Wale</t>
  </si>
  <si>
    <t>CAN</t>
  </si>
  <si>
    <t>MISUNDERSTANDING</t>
  </si>
  <si>
    <t>TULIP DRIVERS</t>
  </si>
  <si>
    <t>TRANSPOT</t>
  </si>
  <si>
    <t>HUALAGE</t>
  </si>
  <si>
    <t>AMBA</t>
  </si>
  <si>
    <t>ROYALTY</t>
  </si>
  <si>
    <t>HEALTH BILLS</t>
  </si>
  <si>
    <t>MOSES-DIVINE</t>
  </si>
  <si>
    <t>CASH TRANSFERED</t>
  </si>
  <si>
    <t>ENGINEER</t>
  </si>
  <si>
    <t>waybill</t>
  </si>
  <si>
    <t xml:space="preserve">CASH-IN </t>
  </si>
  <si>
    <t>transport</t>
  </si>
  <si>
    <t>transport to Tulip</t>
  </si>
  <si>
    <t xml:space="preserve"> cash-in</t>
  </si>
  <si>
    <t>wages</t>
  </si>
  <si>
    <t>airtime</t>
  </si>
  <si>
    <t>CHINEDU</t>
  </si>
  <si>
    <t>SALARY</t>
  </si>
  <si>
    <t>JENNIFER</t>
  </si>
  <si>
    <t>ADVANCE PAYMENT</t>
  </si>
  <si>
    <t>MATIAT ISEIWE</t>
  </si>
  <si>
    <t>GAS  (MANAGER)</t>
  </si>
  <si>
    <t>CHEMICAL</t>
  </si>
  <si>
    <t>DIAMOND</t>
  </si>
  <si>
    <t xml:space="preserve">ADVANCE </t>
  </si>
  <si>
    <t>fual</t>
  </si>
  <si>
    <t>GAS</t>
  </si>
  <si>
    <t>ISIEWU</t>
  </si>
  <si>
    <t>STATIONERY</t>
  </si>
  <si>
    <t>EGBA</t>
  </si>
  <si>
    <t>Salary</t>
  </si>
  <si>
    <t>jud bags tulip</t>
  </si>
  <si>
    <t>Clifford</t>
  </si>
  <si>
    <t>dryer repairs</t>
  </si>
  <si>
    <t>CASH-IN (TRANSFERED)</t>
  </si>
  <si>
    <t>advance(director)</t>
  </si>
  <si>
    <t>Director order</t>
  </si>
  <si>
    <t>cash-in(director)</t>
  </si>
  <si>
    <t>advance (Director)</t>
  </si>
  <si>
    <t>TP &amp; huallage</t>
  </si>
  <si>
    <t>TP 48-BAGS</t>
  </si>
  <si>
    <t>TP 4-BAGS</t>
  </si>
  <si>
    <t>PRINCE</t>
  </si>
  <si>
    <t>TP 39-BAGS</t>
  </si>
  <si>
    <t>PRESIDO</t>
  </si>
  <si>
    <t>Huallage</t>
  </si>
  <si>
    <t>presido</t>
  </si>
  <si>
    <t>TP  99-BAGS</t>
  </si>
  <si>
    <t>DRYER</t>
  </si>
  <si>
    <t>PERSONAL USE</t>
  </si>
  <si>
    <t>WAGES</t>
  </si>
  <si>
    <t>ROAD EXP.</t>
  </si>
  <si>
    <t>UPKEEP/AIRTIME</t>
  </si>
  <si>
    <t>tally paper</t>
  </si>
  <si>
    <t>PAYMENT</t>
  </si>
  <si>
    <t>SECURITY</t>
  </si>
  <si>
    <t>BLESSING</t>
  </si>
  <si>
    <t>DIRECTOR SIS</t>
  </si>
  <si>
    <t>ECOTEX</t>
  </si>
  <si>
    <t>HAULLAGE</t>
  </si>
  <si>
    <t>SLY</t>
  </si>
  <si>
    <t>ADVANCE( DIRECTOR)</t>
  </si>
  <si>
    <t>ADVANCE LAST YEAR</t>
  </si>
  <si>
    <t>ADVANCE (DIRECTOR)</t>
  </si>
  <si>
    <t>Advance (NDOMA ONLY)</t>
  </si>
  <si>
    <t xml:space="preserve">Advance </t>
  </si>
  <si>
    <t>Wages advance</t>
  </si>
  <si>
    <t>EZE</t>
  </si>
  <si>
    <t>FUEL/ REPAIRS</t>
  </si>
  <si>
    <t>motor Repairs</t>
  </si>
  <si>
    <t>wages Advance</t>
  </si>
  <si>
    <t>Gas/ Road expenses</t>
  </si>
  <si>
    <t>supply</t>
  </si>
  <si>
    <t>Cash-In</t>
  </si>
  <si>
    <t>MISTAKE-MANAGEMENT</t>
  </si>
  <si>
    <t>Up-keep</t>
  </si>
  <si>
    <t>gas/road expenses</t>
  </si>
  <si>
    <t>DORATHY</t>
  </si>
  <si>
    <t>Transport to Tulip</t>
  </si>
  <si>
    <t>Repairs</t>
  </si>
  <si>
    <t>wages advance</t>
  </si>
  <si>
    <t>Advance (DIRECTOR)</t>
  </si>
  <si>
    <t>Advance (ZULU)</t>
  </si>
  <si>
    <t>ABANG. NICE</t>
  </si>
  <si>
    <t>Personal use</t>
  </si>
  <si>
    <t>Subcription</t>
  </si>
  <si>
    <t>ABANGs. HNSON</t>
  </si>
  <si>
    <t>repairs/Gas</t>
  </si>
  <si>
    <t>water cleaning</t>
  </si>
  <si>
    <t>cash-in (transfered)</t>
  </si>
  <si>
    <t>Advance payment</t>
  </si>
  <si>
    <t>Haullage</t>
  </si>
  <si>
    <t>wages balance</t>
  </si>
  <si>
    <t>Advance wages</t>
  </si>
  <si>
    <t>MECHANIC</t>
  </si>
  <si>
    <t>MOTOR REPAIRS</t>
  </si>
  <si>
    <t>OLAM STAFF</t>
  </si>
  <si>
    <t>POLICE</t>
  </si>
  <si>
    <t>FULE</t>
  </si>
  <si>
    <t>EXPENSE</t>
  </si>
  <si>
    <t>OD &amp; CO</t>
  </si>
  <si>
    <t>CASH COLLECED</t>
  </si>
  <si>
    <t>DIRECTOR'S CAR REPAIRS</t>
  </si>
  <si>
    <t>BODES ESCORT</t>
  </si>
  <si>
    <t>ESCORT EXPENSE</t>
  </si>
  <si>
    <t>DAHIRU</t>
  </si>
  <si>
    <t>LORRY FEE</t>
  </si>
  <si>
    <t>INGREDIENT</t>
  </si>
  <si>
    <t>COMMISSIONAL OF POLICE</t>
  </si>
  <si>
    <t>DIESEL</t>
  </si>
  <si>
    <t>FAMOUS/FRANK</t>
  </si>
  <si>
    <t>Ekotex</t>
  </si>
  <si>
    <t>Cash-in</t>
  </si>
  <si>
    <t>BESSONG EKPANG</t>
  </si>
  <si>
    <t>PASSPORT</t>
  </si>
  <si>
    <t>REPAIRS</t>
  </si>
  <si>
    <t>DIRECTOR (ORDER)</t>
  </si>
  <si>
    <t>SALARY ADVANCE</t>
  </si>
  <si>
    <t>Wages</t>
  </si>
  <si>
    <t>ADVANCE (DIR)</t>
  </si>
  <si>
    <t>CAR INJECTOR (DIR)</t>
  </si>
  <si>
    <t>CAR PART</t>
  </si>
  <si>
    <t>OJ</t>
  </si>
  <si>
    <t>CLIMENT</t>
  </si>
  <si>
    <t>LABOUR BOY ADVANCE WAGES</t>
  </si>
  <si>
    <t>TRANSPORTATION</t>
  </si>
  <si>
    <t>TP CAMEROON</t>
  </si>
  <si>
    <t xml:space="preserve">NORA </t>
  </si>
  <si>
    <t xml:space="preserve">HONORABLE </t>
  </si>
  <si>
    <t>CHAIN</t>
  </si>
  <si>
    <t>ADVANCE WAGES</t>
  </si>
  <si>
    <t>WEEDING OF FARM</t>
  </si>
  <si>
    <t>MOTOR PAD</t>
  </si>
  <si>
    <t>DIESEL BOY</t>
  </si>
  <si>
    <t>YOGHURT</t>
  </si>
  <si>
    <t>SHOVEL</t>
  </si>
  <si>
    <t>WAGES ADVANCE</t>
  </si>
  <si>
    <t>PHOTOCOPY</t>
  </si>
  <si>
    <t>COCOA PAYMENT</t>
  </si>
  <si>
    <t>ADVANCE TRANSFERED</t>
  </si>
  <si>
    <t>PAYMAENT TRANSFERED</t>
  </si>
  <si>
    <t>ESCORT FEE</t>
  </si>
  <si>
    <t>PRODUCTION PAPER</t>
  </si>
  <si>
    <t>ESUA</t>
  </si>
  <si>
    <t>GRADING PAPER</t>
  </si>
  <si>
    <t>PRIN</t>
  </si>
  <si>
    <t>sationeries</t>
  </si>
  <si>
    <t>BARRI</t>
  </si>
  <si>
    <t>HAULAGE</t>
  </si>
  <si>
    <t>WAREHOUSE EXPENSES</t>
  </si>
  <si>
    <t>PAULISET</t>
  </si>
  <si>
    <t>AIRTIME/ TRANSPORT</t>
  </si>
  <si>
    <t>HN &amp; BASIL</t>
  </si>
  <si>
    <t xml:space="preserve">TRANSPORT </t>
  </si>
  <si>
    <t>FEE</t>
  </si>
  <si>
    <t>MOTOR REPAIRS/ FUEL</t>
  </si>
  <si>
    <t>ZULU LABOUR BOY</t>
  </si>
  <si>
    <t>GARRI</t>
  </si>
  <si>
    <t>EKOTEX</t>
  </si>
  <si>
    <t>WEEKLY WAGES</t>
  </si>
  <si>
    <t>SUBCRIPTION</t>
  </si>
  <si>
    <t>MOTOR PAD/FOOD</t>
  </si>
  <si>
    <t>ADVANCE(UPKEEP)</t>
  </si>
  <si>
    <t>ADVANCE(ZULU)</t>
  </si>
  <si>
    <t>COMMISION</t>
  </si>
  <si>
    <t>WAGE ADVANCE</t>
  </si>
  <si>
    <t>EZU MECHANIC</t>
  </si>
  <si>
    <t>SALARY TRANSFERED</t>
  </si>
  <si>
    <t>CORRECTION</t>
  </si>
  <si>
    <t>ADVANCE (TP)</t>
  </si>
  <si>
    <t>PAYMENT BAL.</t>
  </si>
  <si>
    <t>SUPPORT</t>
  </si>
  <si>
    <t>CAR ADVANCE</t>
  </si>
  <si>
    <t>PAPER</t>
  </si>
  <si>
    <t>PAYMENT BALANCE</t>
  </si>
  <si>
    <t>sub/tally sheet</t>
  </si>
  <si>
    <t>OFFLOADING</t>
  </si>
  <si>
    <t>TAPOLINE</t>
  </si>
  <si>
    <t>WIFE</t>
  </si>
  <si>
    <t>JUNIOR</t>
  </si>
  <si>
    <t>LESSON FEE</t>
  </si>
  <si>
    <t>SOLAR MAN</t>
  </si>
  <si>
    <t>SOLAR</t>
  </si>
  <si>
    <t>MORPHY</t>
  </si>
  <si>
    <t>LAPTOP</t>
  </si>
  <si>
    <t>CHIKA</t>
  </si>
  <si>
    <t>THOG LINDA</t>
  </si>
  <si>
    <t>HAULLAGE (DIR)</t>
  </si>
  <si>
    <t>TRANSFERED</t>
  </si>
  <si>
    <t>TRUCK FEE</t>
  </si>
  <si>
    <t>AYUK'S ADVANCE</t>
  </si>
  <si>
    <t>TAXES</t>
  </si>
  <si>
    <t>FOOD</t>
  </si>
  <si>
    <t>ETUNG</t>
  </si>
  <si>
    <t>EMEKA</t>
  </si>
  <si>
    <t>HN</t>
  </si>
  <si>
    <t>TULIP</t>
  </si>
  <si>
    <t>ESCORT</t>
  </si>
  <si>
    <t>MISTAKE FROM BANK</t>
  </si>
  <si>
    <t>CAN HAULAGE</t>
  </si>
  <si>
    <t>TITTLES</t>
  </si>
  <si>
    <t>CASH TRANSFERD</t>
  </si>
  <si>
    <t>ABANG. ASHA</t>
  </si>
  <si>
    <t>LAPTOP BALANCE</t>
  </si>
  <si>
    <t>CAMERA MAN</t>
  </si>
  <si>
    <t>FILTER MAN</t>
  </si>
  <si>
    <t xml:space="preserve">DAVID </t>
  </si>
  <si>
    <t>DIRECTORS ORDER</t>
  </si>
  <si>
    <t>PAPERS</t>
  </si>
  <si>
    <t>advance (dir)</t>
  </si>
  <si>
    <t>diesel</t>
  </si>
  <si>
    <t>director order</t>
  </si>
  <si>
    <t>food</t>
  </si>
  <si>
    <t xml:space="preserve">wages   </t>
  </si>
  <si>
    <t>salary</t>
  </si>
  <si>
    <t>advance transfered</t>
  </si>
  <si>
    <t>boat</t>
  </si>
  <si>
    <t>haulage</t>
  </si>
  <si>
    <t>padlock</t>
  </si>
  <si>
    <t>fire extinguisher</t>
  </si>
  <si>
    <t>receipt advance</t>
  </si>
  <si>
    <t>chemical 4 grass</t>
  </si>
  <si>
    <t>payment</t>
  </si>
  <si>
    <t>RECEIPT BAL.</t>
  </si>
  <si>
    <t>DAMIAN NJIAN</t>
  </si>
  <si>
    <t>TRANSFERED A.D. FREDERICK</t>
  </si>
  <si>
    <t>DIRECTOR'S CARD</t>
  </si>
  <si>
    <t>ROBENSON</t>
  </si>
  <si>
    <t>REFUND</t>
  </si>
  <si>
    <t>CHAPMAN Refund</t>
  </si>
  <si>
    <t>transfer</t>
  </si>
  <si>
    <t>PAYMENT (DIR)</t>
  </si>
  <si>
    <t>TRANSFER</t>
  </si>
  <si>
    <t>ADVANCE (NEW)</t>
  </si>
  <si>
    <t>REFUND BY BLESSING</t>
  </si>
  <si>
    <t>REFUND TO DIRECTOR</t>
  </si>
  <si>
    <t>CAMEROON TP</t>
  </si>
  <si>
    <t>PLUMBER FEE</t>
  </si>
  <si>
    <t>QUEEN</t>
  </si>
  <si>
    <t>PRODUCE MAN</t>
  </si>
  <si>
    <t>GRADING</t>
  </si>
  <si>
    <t>MATIAT</t>
  </si>
  <si>
    <t>DIRECTOR CAR</t>
  </si>
  <si>
    <t>E-BOY</t>
  </si>
  <si>
    <t>TRANSPORT / FUEL</t>
  </si>
  <si>
    <t>ISEIWU</t>
  </si>
  <si>
    <t>KOKOK NYIAN</t>
  </si>
  <si>
    <t>FEE ADVANCE</t>
  </si>
  <si>
    <t>TRANSPORT TO OLAM</t>
  </si>
  <si>
    <t>BONNY ESCORT</t>
  </si>
  <si>
    <t>TALLY PAPER</t>
  </si>
  <si>
    <t>TP</t>
  </si>
  <si>
    <t>PETER OGAR</t>
  </si>
  <si>
    <t>DATA</t>
  </si>
  <si>
    <t>WOOD/CEMENT/WATER</t>
  </si>
  <si>
    <t>GRACE</t>
  </si>
  <si>
    <t>ABANG. MI.D</t>
  </si>
  <si>
    <t>FRANK (LABOUR BOY)</t>
  </si>
  <si>
    <t>CLOVIS UP-KEEP</t>
  </si>
  <si>
    <t>CAN HAULAGE/WAREHOUSE</t>
  </si>
  <si>
    <t>FUEL/REPAIRE</t>
  </si>
  <si>
    <t>ABANG. KARIEN</t>
  </si>
  <si>
    <t>MATIAT ANNA</t>
  </si>
  <si>
    <t>CASH COLLETED</t>
  </si>
  <si>
    <t>OLORLOR</t>
  </si>
  <si>
    <t>SUNDAY</t>
  </si>
  <si>
    <t>CLOVIS</t>
  </si>
  <si>
    <t>Dr. AKOMBA</t>
  </si>
  <si>
    <t>CEMENT</t>
  </si>
  <si>
    <t>CHIDI</t>
  </si>
  <si>
    <t>UNIFORM</t>
  </si>
  <si>
    <t>HAULAGE(BASSIL)</t>
  </si>
  <si>
    <t>DOUGLAS</t>
  </si>
  <si>
    <t>Cocoa Evacuation</t>
  </si>
  <si>
    <t>Driver</t>
  </si>
  <si>
    <t>Deliver to</t>
  </si>
  <si>
    <t>Escort</t>
  </si>
  <si>
    <t>QTY of Bags</t>
  </si>
  <si>
    <t>Payable Weight</t>
  </si>
  <si>
    <t>Teller No.</t>
  </si>
  <si>
    <t>SUNNY TULIP</t>
  </si>
  <si>
    <t>ETUNGHA</t>
  </si>
  <si>
    <t>TUNDE ABIOLA</t>
  </si>
  <si>
    <t>JJ OKOCHA</t>
  </si>
  <si>
    <t>GODWILL</t>
  </si>
  <si>
    <t>DRIVER</t>
  </si>
  <si>
    <t>BYRON</t>
  </si>
  <si>
    <t>CLIFFORD</t>
  </si>
  <si>
    <t>BESSONG IGBA</t>
  </si>
  <si>
    <t>GIFT GABRIL</t>
  </si>
  <si>
    <t>Financial Operations (Non-Cocoa)</t>
  </si>
  <si>
    <t>refund</t>
  </si>
  <si>
    <r>
      <rPr>
        <rFont val="Raleway"/>
        <b val="0"/>
        <color rgb="FFEFEFEF"/>
        <sz val="18.0"/>
      </rPr>
      <t>SAMPLE NIG</t>
    </r>
    <r>
      <rPr>
        <rFont val="Raleway"/>
        <b/>
        <color rgb="FFF46524"/>
        <sz val="18.0"/>
      </rPr>
      <t xml:space="preserve"> </t>
    </r>
    <r>
      <rPr>
        <rFont val="Raleway"/>
        <b val="0"/>
        <color rgb="FF687887"/>
        <sz val="18.0"/>
      </rPr>
      <t>|</t>
    </r>
    <r>
      <rPr>
        <rFont val="Raleway"/>
        <b/>
        <color rgb="FFF46524"/>
        <sz val="18.0"/>
      </rPr>
      <t xml:space="preserve"> DASHBOARD  </t>
    </r>
    <r>
      <rPr>
        <rFont val="Lato"/>
        <b val="0"/>
        <color rgb="FFF3F3F3"/>
        <sz val="11.0"/>
      </rPr>
      <t>Only select the dates from the left to view reports for that period</t>
    </r>
  </si>
  <si>
    <t>START DATE</t>
  </si>
  <si>
    <t>END DATE</t>
  </si>
  <si>
    <t>Small Scale</t>
  </si>
  <si>
    <t>Total Period Supplies</t>
  </si>
  <si>
    <t>Overall Bal</t>
  </si>
  <si>
    <t>Pre-finance Customers</t>
  </si>
  <si>
    <t>Warehouse</t>
  </si>
  <si>
    <t xml:space="preserve"> NAMES</t>
  </si>
  <si>
    <t>BALANCES</t>
  </si>
  <si>
    <t>BBF</t>
  </si>
  <si>
    <t>Balance</t>
  </si>
  <si>
    <t>Refund</t>
  </si>
  <si>
    <t>Cocoa</t>
  </si>
  <si>
    <t>of Cocoa purchased</t>
  </si>
  <si>
    <t>Cash collected</t>
  </si>
  <si>
    <t>Non Cocoa</t>
  </si>
  <si>
    <t>Total</t>
  </si>
  <si>
    <t>total daily supplies</t>
  </si>
  <si>
    <t>Main Cash</t>
  </si>
  <si>
    <t>Advances</t>
  </si>
  <si>
    <t>Total Cocoa In Warehouse</t>
  </si>
  <si>
    <t>Total in KGs</t>
  </si>
  <si>
    <t xml:space="preserve">BREAKDOWN OF DAILY SUPPLIES AND PURCHASES FOR  </t>
  </si>
  <si>
    <t>Small scale</t>
  </si>
  <si>
    <t>Grand Total</t>
  </si>
  <si>
    <t xml:space="preserve"> COUNT</t>
  </si>
  <si>
    <t>PRE- FINANCE MASTERSHEET DATE</t>
  </si>
  <si>
    <t>Last Entry: Cnam</t>
  </si>
  <si>
    <t>10/10/2020 GROSS WT</t>
  </si>
  <si>
    <t xml:space="preserve"> TOTAL MST</t>
  </si>
  <si>
    <t xml:space="preserve"> QTY</t>
  </si>
  <si>
    <t xml:space="preserve"> TOTAL BAGS</t>
  </si>
  <si>
    <t xml:space="preserve">  CHINA BAGS</t>
  </si>
  <si>
    <t xml:space="preserve"> UNIT PRC</t>
  </si>
  <si>
    <t xml:space="preserve"> ADVANCE</t>
  </si>
  <si>
    <t xml:space="preserve"> BAL~</t>
  </si>
  <si>
    <t xml:space="preserve"> A M</t>
  </si>
  <si>
    <t xml:space="preserve"> MSTRE DISCT</t>
  </si>
  <si>
    <t xml:space="preserve"> KGS</t>
  </si>
  <si>
    <t xml:space="preserve"> PAYABLE</t>
  </si>
  <si>
    <t xml:space="preserve"> AMT</t>
  </si>
  <si>
    <t xml:space="preserve"> RUNNING BAL</t>
  </si>
  <si>
    <t>ANDRDEW GREAT1</t>
  </si>
  <si>
    <t>ANDRDEW GREAT2</t>
  </si>
  <si>
    <t>ANDRDEW GREAT3</t>
  </si>
  <si>
    <t>ANDRDEW GREAT4</t>
  </si>
  <si>
    <t>ANDRDEW GREAT5</t>
  </si>
  <si>
    <t>ANDRDEW GREAT6</t>
  </si>
  <si>
    <t>ANDRDEW GREAT7</t>
  </si>
  <si>
    <t>ANDRDEW GREAT8</t>
  </si>
  <si>
    <t>ANDRDEW GREAT9</t>
  </si>
  <si>
    <t>ANDRDEW GREAT10</t>
  </si>
  <si>
    <t>ANDRDEW GREAT11</t>
  </si>
  <si>
    <t>ANDRDEW GREAT12</t>
  </si>
  <si>
    <t>ANDRDEW GREAT13</t>
  </si>
  <si>
    <t>ANDRDEW GREAT14</t>
  </si>
  <si>
    <t>ANDRDEW GREAT15</t>
  </si>
  <si>
    <t>08/10/2020 GROSS WT</t>
  </si>
  <si>
    <t xml:space="preserve"> MAXWELL AGRO1</t>
  </si>
  <si>
    <t xml:space="preserve"> MAXWELL AGRO2</t>
  </si>
  <si>
    <t xml:space="preserve"> MAXWELL AGRO3</t>
  </si>
  <si>
    <t xml:space="preserve"> MAXWELL AGRO4</t>
  </si>
  <si>
    <t xml:space="preserve"> MAXWELL AGRO5</t>
  </si>
  <si>
    <t xml:space="preserve"> MAXWELL AGRO6</t>
  </si>
  <si>
    <t xml:space="preserve"> MAXWELL AGRO7</t>
  </si>
  <si>
    <t xml:space="preserve"> MAXWELL AGRO8</t>
  </si>
  <si>
    <t xml:space="preserve"> MAXWELL AGRO9</t>
  </si>
  <si>
    <t xml:space="preserve"> MAXWELL AGRO10</t>
  </si>
  <si>
    <t xml:space="preserve"> MAXWELL AGRO11</t>
  </si>
  <si>
    <t xml:space="preserve"> MAXWELL AGRO12</t>
  </si>
  <si>
    <t xml:space="preserve"> MAXWELL AGRO13</t>
  </si>
  <si>
    <t xml:space="preserve"> MAXWELL AGRO14</t>
  </si>
  <si>
    <t xml:space="preserve"> MAXWELL AGRO15</t>
  </si>
  <si>
    <t xml:space="preserve"> MAXWELL AGRO16</t>
  </si>
  <si>
    <t xml:space="preserve"> MAXWELL AGRO17</t>
  </si>
  <si>
    <t xml:space="preserve"> MAXWELL AGRO18</t>
  </si>
  <si>
    <t xml:space="preserve"> MAXWELL AGRO19</t>
  </si>
  <si>
    <t>SMALL SCALE COCOA HISTORY</t>
  </si>
  <si>
    <t>BBF PETTY</t>
  </si>
  <si>
    <t>BBF MAIN</t>
  </si>
  <si>
    <t>smallScaleW/H</t>
  </si>
  <si>
    <t>total bags</t>
  </si>
  <si>
    <t>total kgs</t>
  </si>
  <si>
    <t>W/H</t>
  </si>
  <si>
    <t>BBFpF</t>
  </si>
  <si>
    <t>BBFSs</t>
  </si>
  <si>
    <t>2DATES</t>
  </si>
  <si>
    <t>1 DATE</t>
  </si>
  <si>
    <t>Cocoa In</t>
  </si>
  <si>
    <t>warehouseSS</t>
  </si>
  <si>
    <t>W/H TOTAL KGS</t>
  </si>
  <si>
    <t>SSCALE</t>
  </si>
  <si>
    <t>c11,c12 = bbf</t>
  </si>
  <si>
    <t>PREFNCE</t>
  </si>
  <si>
    <t>b11,b12 = total day</t>
  </si>
  <si>
    <t>warehouseSSbbf</t>
  </si>
  <si>
    <t>BBFmainCash</t>
  </si>
  <si>
    <t>BBFpettyCash</t>
  </si>
  <si>
    <t>BBF(Petty cash)</t>
  </si>
  <si>
    <t>BBF(Main cash)</t>
  </si>
  <si>
    <t>Today's EVAQUATION BAGS</t>
  </si>
  <si>
    <t>BBF EVAQUATION</t>
  </si>
  <si>
    <t>FINANCE HISTORY QUERY</t>
  </si>
  <si>
    <t>//IMPORT_DATA</t>
  </si>
  <si>
    <t>Total Supplies</t>
  </si>
  <si>
    <t>PreFinance</t>
  </si>
  <si>
    <t>Total Cocoa in WH</t>
  </si>
  <si>
    <t>PtyCsh_BBF</t>
  </si>
  <si>
    <t>Main_BBF</t>
  </si>
  <si>
    <t>PtyCsh_CashCollctd</t>
  </si>
  <si>
    <t>Main_CashIn</t>
  </si>
  <si>
    <t>PtyCsh_Refund</t>
  </si>
  <si>
    <t>Main_Advances</t>
  </si>
  <si>
    <t>PtyCsh_Cocoa</t>
  </si>
  <si>
    <t>PtyCsh_NOnCocoa</t>
  </si>
  <si>
    <t>NON COCOA HISTORY</t>
  </si>
  <si>
    <t>NAME</t>
  </si>
  <si>
    <t>DESC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</si>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</sst>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&quot;-&quot;mm&quot;-&quot;dd"/>
    <numFmt numFmtId="165" formatCode="#,##0.00;(#,##0.00)"/>
    <numFmt numFmtId="166" formatCode="dddd&quot;, &quot;mmmm&quot; &quot;d&quot;, &quot;yyyy"/>
    <numFmt numFmtId="167" formatCode="yyyy-mm-dd"/>
    <numFmt numFmtId="168" formatCode="dd/MM/yyyy"/>
    <numFmt numFmtId="169" formatCode="[$€-2]\ #,##0.00"/>
    <numFmt numFmtId="170" formatCode="d&quot;-&quot;mmm&quot;-&quot;yyyy"/>
    <numFmt numFmtId="171" formatCode="dd&quot;-&quot;mmm&quot;-&quot;yyyy"/>
    <numFmt numFmtId="172" formatCode="_(&quot;$&quot;* #,##0.00_);_(&quot;$&quot;* \(#,##0.00\);_(&quot;$&quot;* &quot;-&quot;??_);_(@_)"/>
  </numFmts>
  <fonts count="59">
    <font>
      <sz val="10.0"/>
      <color rgb="FF000000"/>
      <name val="Arial"/>
      <scheme val="minor"/>
    </font>
    <font>
      <b/>
      <sz val="18.0"/>
      <color rgb="FFF46524"/>
      <name val="Raleway"/>
    </font>
    <font>
      <b/>
      <color theme="1"/>
      <name val="Arial"/>
      <scheme val="minor"/>
    </font>
    <font>
      <b/>
      <sz val="18.0"/>
      <color rgb="FFF7981D"/>
      <name val="Raleway"/>
    </font>
    <font>
      <b/>
      <sz val="14.0"/>
      <color rgb="FFFFFFFF"/>
      <name val="Arial"/>
    </font>
    <font>
      <b/>
      <color rgb="FFFFFFFF"/>
      <name val="Lato"/>
    </font>
    <font>
      <b/>
      <color rgb="FF000000"/>
      <name val="Lato"/>
    </font>
    <font>
      <sz val="11.0"/>
      <color rgb="FF000000"/>
      <name val="Inconsolata"/>
    </font>
    <font>
      <color rgb="FFFFFFFF"/>
      <name val="Lato"/>
    </font>
    <font>
      <color theme="1"/>
      <name val="Lato"/>
    </font>
    <font>
      <color theme="1"/>
      <name val="Arial"/>
    </font>
    <font>
      <color rgb="FF000000"/>
      <name val="Lato"/>
    </font>
    <font>
      <b/>
      <sz val="14.0"/>
      <color rgb="FFF46524"/>
      <name val="Lato"/>
    </font>
    <font>
      <b/>
      <color theme="1"/>
      <name val="Lato"/>
    </font>
    <font>
      <color rgb="FFFFFFFF"/>
      <name val="Arial"/>
    </font>
    <font>
      <b/>
      <sz val="18.0"/>
      <color rgb="FFE91D63"/>
      <name val="Raleway"/>
    </font>
    <font>
      <b/>
      <sz val="9.0"/>
      <color rgb="FFE91D63"/>
      <name val="Comfortaa"/>
    </font>
    <font>
      <b/>
      <sz val="11.0"/>
      <color rgb="FF000000"/>
      <name val="Lato"/>
    </font>
    <font>
      <b/>
      <color rgb="FF000000"/>
      <name val="Raleway"/>
    </font>
    <font>
      <color rgb="FFCCCCCC"/>
      <name val="Arial"/>
    </font>
    <font>
      <color theme="1"/>
      <name val="Arial"/>
      <scheme val="minor"/>
    </font>
    <font>
      <b/>
      <sz val="14.0"/>
      <color rgb="FF000000"/>
      <name val="Arial"/>
    </font>
    <font>
      <b/>
      <sz val="18.0"/>
      <color rgb="FF38761D"/>
      <name val="Courier New"/>
    </font>
    <font>
      <color rgb="FFF3F3F3"/>
      <name val="Lato"/>
    </font>
    <font>
      <sz val="11.0"/>
      <color rgb="FFFFFFFF"/>
      <name val="Lato"/>
    </font>
    <font>
      <b/>
      <sz val="11.0"/>
      <color rgb="FF000000"/>
      <name val="Inconsolata"/>
    </font>
    <font>
      <b/>
      <sz val="14.0"/>
      <color rgb="FFFFFFFF"/>
      <name val="Raleway"/>
    </font>
    <font>
      <color rgb="FFEFEFEF"/>
      <name val="Arial"/>
    </font>
    <font>
      <sz val="12.0"/>
      <color rgb="FFEFEFEF"/>
      <name val="Arial"/>
    </font>
    <font/>
    <font>
      <b/>
      <sz val="18.0"/>
      <color rgb="FFFFFFFF"/>
      <name val="Raleway"/>
    </font>
    <font>
      <b/>
      <color rgb="FF334960"/>
      <name val="Lato"/>
    </font>
    <font>
      <b/>
      <color rgb="FFFFFFFF"/>
      <name val="Raleway"/>
    </font>
    <font>
      <color rgb="FFFFFFFF"/>
      <name val="Raleway"/>
    </font>
    <font>
      <b/>
      <sz val="16.0"/>
      <color rgb="FFF46524"/>
      <name val="Raleway"/>
    </font>
    <font>
      <b/>
      <sz val="12.0"/>
      <color rgb="FFF46524"/>
      <name val="Lato"/>
    </font>
    <font>
      <i/>
      <sz val="10.0"/>
      <color theme="1"/>
      <name val="Raleway"/>
    </font>
    <font>
      <b/>
      <sz val="10.0"/>
      <color rgb="FF334960"/>
      <name val="Lato"/>
    </font>
    <font>
      <color rgb="FFFFFFFF"/>
      <name val="Arial"/>
      <scheme val="minor"/>
    </font>
    <font>
      <b/>
      <sz val="12.0"/>
      <color theme="1"/>
      <name val="Lato"/>
    </font>
    <font>
      <i/>
      <sz val="12.0"/>
      <color theme="1"/>
      <name val="Lato"/>
    </font>
    <font>
      <sz val="12.0"/>
      <color rgb="FF434343"/>
      <name val="Lato"/>
    </font>
    <font>
      <b/>
      <sz val="12.0"/>
      <color rgb="FF434343"/>
      <name val="Lato"/>
    </font>
    <font>
      <i/>
      <color rgb="FFF46524"/>
      <name val="Lato"/>
    </font>
    <font>
      <b/>
      <sz val="9.0"/>
      <color theme="1"/>
      <name val="Lato"/>
    </font>
    <font>
      <b/>
      <sz val="12.0"/>
      <color rgb="FFFFFFFF"/>
      <name val="Lato"/>
    </font>
    <font>
      <b/>
      <sz val="11.0"/>
      <color rgb="FFFFFFFF"/>
      <name val="Raleway"/>
    </font>
    <font>
      <b/>
      <sz val="16.0"/>
      <color rgb="FFF46524"/>
      <name val="Lato"/>
    </font>
    <font>
      <sz val="9.0"/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sz val="10.0"/>
      <color theme="1"/>
      <name val="Arial"/>
      <scheme val="minor"/>
    </font>
    <font>
      <sz val="9.0"/>
      <color rgb="FF999999"/>
      <name val="Lato"/>
    </font>
    <font>
      <b/>
      <sz val="18.0"/>
      <color rgb="FF00FF00"/>
      <name val="Courier New"/>
    </font>
    <font>
      <sz val="11.0"/>
      <color rgb="FF008000"/>
      <name val="Inconsolata"/>
    </font>
    <font>
      <color rgb="FF666666"/>
      <name val="Arial"/>
      <scheme val="minor"/>
    </font>
    <font>
      <color rgb="FF999999"/>
      <name val="Arial"/>
      <scheme val="minor"/>
    </font>
    <font>
      <color rgb="FFB7B7B7"/>
      <name val="Arial"/>
      <scheme val="minor"/>
    </font>
    <font>
      <sz val="11.0"/>
      <color rgb="FFF7981D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91D63"/>
        <bgColor rgb="FFE91D63"/>
      </patternFill>
    </fill>
    <fill>
      <patternFill patternType="solid">
        <fgColor rgb="FFEA4335"/>
        <bgColor rgb="FFEA4335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334960"/>
        <bgColor rgb="FF334960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FF2ED"/>
        <bgColor rgb="FFFFF2ED"/>
      </patternFill>
    </fill>
    <fill>
      <patternFill patternType="solid">
        <fgColor rgb="FFFCECE6"/>
        <bgColor rgb="FFFCECE6"/>
      </patternFill>
    </fill>
    <fill>
      <patternFill patternType="solid">
        <fgColor rgb="FFEBEDEF"/>
        <bgColor rgb="FFEBEDEF"/>
      </patternFill>
    </fill>
    <fill>
      <patternFill patternType="solid">
        <fgColor rgb="FFF46524"/>
        <bgColor rgb="FFF46524"/>
      </patternFill>
    </fill>
    <fill>
      <patternFill patternType="solid">
        <fgColor rgb="FF687887"/>
        <bgColor rgb="FF687887"/>
      </patternFill>
    </fill>
    <fill>
      <patternFill patternType="solid">
        <fgColor rgb="FFD9D9D9"/>
        <bgColor rgb="FFD9D9D9"/>
      </patternFill>
    </fill>
  </fills>
  <borders count="55">
    <border/>
    <border>
      <bottom style="thin">
        <color rgb="FFD9D9D9"/>
      </bottom>
    </border>
    <border>
      <right style="dotted">
        <color rgb="FFB7B7B7"/>
      </right>
      <bottom style="dotted">
        <color rgb="FFB7B7B7"/>
      </bottom>
    </border>
    <border>
      <left style="dotted">
        <color rgb="FFB7B7B7"/>
      </left>
      <right style="dotted">
        <color rgb="FFB7B7B7"/>
      </right>
      <bottom style="dotted">
        <color rgb="FFB7B7B7"/>
      </bottom>
    </border>
    <border>
      <left style="dotted">
        <color rgb="FFB7B7B7"/>
      </left>
      <bottom style="dotted">
        <color rgb="FFB7B7B7"/>
      </bottom>
    </border>
    <border>
      <left style="dotted">
        <color rgb="FFD9D9D9"/>
      </left>
      <bottom style="dotted">
        <color rgb="FFD9D9D9"/>
      </bottom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top style="dotted">
        <color rgb="FFB7B7B7"/>
      </top>
      <bottom style="dotted">
        <color rgb="FFB7B7B7"/>
      </bottom>
    </border>
    <border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top style="dotted">
        <color rgb="FFB7B7B7"/>
      </top>
    </border>
    <border>
      <bottom style="medium">
        <color rgb="FFFFFFFF"/>
      </bottom>
    </border>
    <border>
      <right style="dotted">
        <color rgb="FFB7B7B7"/>
      </right>
      <top style="thick">
        <color rgb="FFFFFFFF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thick">
        <color rgb="FFFFFFFF"/>
      </top>
      <bottom style="dotted">
        <color rgb="FFB7B7B7"/>
      </bottom>
    </border>
    <border>
      <left style="dotted">
        <color rgb="FFB7B7B7"/>
      </left>
      <top style="thick">
        <color rgb="FFFFFFFF"/>
      </top>
      <bottom style="dotted">
        <color rgb="FFB7B7B7"/>
      </bottom>
    </border>
    <border>
      <bottom style="dotted">
        <color rgb="FF999999"/>
      </bottom>
    </border>
    <border>
      <top style="dotted">
        <color rgb="FF999999"/>
      </top>
      <bottom style="dotted">
        <color rgb="FF999999"/>
      </bottom>
    </border>
    <border>
      <top style="dotted">
        <color rgb="FF999999"/>
      </top>
    </border>
    <border>
      <top style="thin">
        <color rgb="FFCCCCCC"/>
      </top>
    </border>
    <border>
      <right style="dotted">
        <color rgb="FFD9D9D9"/>
      </right>
    </border>
    <border>
      <left style="dotted">
        <color rgb="FFD9D9D9"/>
      </left>
      <right style="dotted">
        <color rgb="FFD9D9D9"/>
      </right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top style="dotted">
        <color rgb="FF999999"/>
      </top>
      <bottom style="dotted">
        <color rgb="FF999999"/>
      </bottom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</border>
    <border>
      <right style="dotted">
        <color rgb="FF999999"/>
      </right>
      <top style="dotted">
        <color rgb="FF999999"/>
      </top>
      <bottom style="dotted">
        <color rgb="FFF3F3F3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F3F3F3"/>
      </bottom>
    </border>
    <border>
      <left style="dotted">
        <color rgb="FF999999"/>
      </left>
      <top style="dotted">
        <color rgb="FF999999"/>
      </top>
      <bottom style="dotted">
        <color rgb="FFF3F3F3"/>
      </bottom>
    </border>
    <border>
      <left style="dotted">
        <color rgb="FFA4C2F4"/>
      </left>
      <top style="dotted">
        <color rgb="FFA4C2F4"/>
      </top>
    </border>
    <border>
      <top style="dotted">
        <color rgb="FFA4C2F4"/>
      </top>
    </border>
    <border>
      <right style="dotted">
        <color rgb="FFA4C2F4"/>
      </right>
      <top style="dotted">
        <color rgb="FFA4C2F4"/>
      </top>
    </border>
    <border>
      <left style="dotted">
        <color rgb="FFA4C2F4"/>
      </left>
      <bottom style="dotted">
        <color rgb="FFA4C2F4"/>
      </bottom>
    </border>
    <border>
      <bottom style="dotted">
        <color rgb="FFA4C2F4"/>
      </bottom>
    </border>
    <border>
      <right style="dotted">
        <color rgb="FFA4C2F4"/>
      </right>
      <bottom style="dotted">
        <color rgb="FFA4C2F4"/>
      </bottom>
    </border>
    <border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right style="thin">
        <color rgb="FFEFEFEF"/>
      </right>
    </border>
    <border>
      <bottom style="thin">
        <color rgb="FFFFFFFF"/>
      </bottom>
    </border>
    <border>
      <bottom style="dotted">
        <color rgb="FFB7B7B7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top style="thick">
        <color rgb="FFFFFFFF"/>
      </top>
      <bottom style="thick">
        <color rgb="FFFFFFFF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bottom style="thin">
        <color rgb="FF000000"/>
      </bottom>
    </border>
    <border>
      <right style="dotted">
        <color rgb="FFB7B7B7"/>
      </right>
      <bottom style="thin">
        <color rgb="FF000000"/>
      </bottom>
    </border>
    <border>
      <left style="dotted">
        <color rgb="FFB7B7B7"/>
      </left>
      <right style="dotted">
        <color rgb="FFB7B7B7"/>
      </right>
      <bottom style="thin">
        <color rgb="FF000000"/>
      </bottom>
    </border>
    <border>
      <left style="dotted">
        <color rgb="FFB7B7B7"/>
      </left>
      <bottom style="thin">
        <color rgb="FF000000"/>
      </bottom>
    </border>
  </borders>
  <cellStyleXfs count="1">
    <xf borderId="0" fillId="0" fontId="0" numFmtId="0" applyAlignment="1" applyFont="1"/>
  </cellStyleXfs>
  <cellXfs count="35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165" xfId="0" applyAlignment="1" applyFont="1" applyNumberFormat="1">
      <alignment readingOrder="0" vertical="bottom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2" fontId="7" numFmtId="14" xfId="0" applyAlignment="1" applyFill="1" applyFont="1" applyNumberFormat="1">
      <alignment horizontal="left"/>
    </xf>
    <xf borderId="0" fillId="0" fontId="5" numFmtId="165" xfId="0" applyAlignment="1" applyFont="1" applyNumberFormat="1">
      <alignment readingOrder="0" vertical="bottom"/>
    </xf>
    <xf borderId="2" fillId="3" fontId="5" numFmtId="0" xfId="0" applyAlignment="1" applyBorder="1" applyFill="1" applyFont="1">
      <alignment vertical="bottom"/>
    </xf>
    <xf borderId="3" fillId="3" fontId="5" numFmtId="0" xfId="0" applyAlignment="1" applyBorder="1" applyFont="1">
      <alignment vertical="bottom"/>
    </xf>
    <xf borderId="3" fillId="3" fontId="8" numFmtId="4" xfId="0" applyAlignment="1" applyBorder="1" applyFont="1" applyNumberFormat="1">
      <alignment horizontal="right" vertical="bottom"/>
    </xf>
    <xf borderId="3" fillId="3" fontId="5" numFmtId="0" xfId="0" applyAlignment="1" applyBorder="1" applyFont="1">
      <alignment horizontal="center" vertical="bottom"/>
    </xf>
    <xf borderId="3" fillId="3" fontId="5" numFmtId="165" xfId="0" applyAlignment="1" applyBorder="1" applyFont="1" applyNumberFormat="1">
      <alignment vertical="bottom"/>
    </xf>
    <xf borderId="4" fillId="3" fontId="5" numFmtId="165" xfId="0" applyAlignment="1" applyBorder="1" applyFont="1" applyNumberFormat="1">
      <alignment vertical="bottom"/>
    </xf>
    <xf borderId="0" fillId="0" fontId="9" numFmtId="14" xfId="0" applyAlignment="1" applyFont="1" applyNumberFormat="1">
      <alignment horizontal="righ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5" fillId="3" fontId="8" numFmtId="4" xfId="0" applyAlignment="1" applyBorder="1" applyFont="1" applyNumberFormat="1">
      <alignment horizontal="right" readingOrder="0" vertical="bottom"/>
    </xf>
    <xf borderId="0" fillId="3" fontId="8" numFmtId="0" xfId="0" applyAlignment="1" applyFont="1">
      <alignment horizontal="right" readingOrder="0"/>
    </xf>
    <xf borderId="0" fillId="2" fontId="11" numFmtId="165" xfId="0" applyAlignment="1" applyFont="1" applyNumberFormat="1">
      <alignment horizontal="right" readingOrder="0" vertical="bottom"/>
    </xf>
    <xf borderId="0" fillId="3" fontId="8" numFmtId="4" xfId="0" applyAlignment="1" applyFont="1" applyNumberFormat="1">
      <alignment horizontal="right" readingOrder="0" vertical="bottom"/>
    </xf>
    <xf borderId="0" fillId="2" fontId="1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2" numFmtId="166" xfId="0" applyAlignment="1" applyFont="1" applyNumberFormat="1">
      <alignment vertical="bottom"/>
    </xf>
    <xf borderId="0" fillId="0" fontId="10" numFmtId="165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0" fontId="10" numFmtId="14" xfId="0" applyAlignment="1" applyFont="1" applyNumberFormat="1">
      <alignment vertical="bottom"/>
    </xf>
    <xf borderId="6" fillId="0" fontId="10" numFmtId="14" xfId="0" applyAlignment="1" applyBorder="1" applyFont="1" applyNumberFormat="1">
      <alignment readingOrder="0" vertical="bottom"/>
    </xf>
    <xf borderId="7" fillId="0" fontId="10" numFmtId="0" xfId="0" applyAlignment="1" applyBorder="1" applyFont="1">
      <alignment readingOrder="0" vertical="bottom"/>
    </xf>
    <xf borderId="7" fillId="3" fontId="14" numFmtId="4" xfId="0" applyAlignment="1" applyBorder="1" applyFont="1" applyNumberFormat="1">
      <alignment readingOrder="0" vertical="bottom"/>
    </xf>
    <xf borderId="7" fillId="3" fontId="14" numFmtId="0" xfId="0" applyAlignment="1" applyBorder="1" applyFont="1">
      <alignment vertical="bottom"/>
    </xf>
    <xf borderId="7" fillId="2" fontId="10" numFmtId="165" xfId="0" applyAlignment="1" applyBorder="1" applyFont="1" applyNumberFormat="1">
      <alignment readingOrder="0" vertical="bottom"/>
    </xf>
    <xf borderId="7" fillId="3" fontId="14" numFmtId="165" xfId="0" applyAlignment="1" applyBorder="1" applyFont="1" applyNumberFormat="1">
      <alignment vertical="bottom"/>
    </xf>
    <xf borderId="8" fillId="3" fontId="14" numFmtId="165" xfId="0" applyAlignment="1" applyBorder="1" applyFont="1" applyNumberFormat="1">
      <alignment vertical="bottom"/>
    </xf>
    <xf borderId="7" fillId="3" fontId="14" numFmtId="4" xfId="0" applyAlignment="1" applyBorder="1" applyFont="1" applyNumberFormat="1">
      <alignment vertical="bottom"/>
    </xf>
    <xf borderId="7" fillId="3" fontId="14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readingOrder="0" vertical="bottom"/>
    </xf>
    <xf borderId="7" fillId="0" fontId="10" numFmtId="0" xfId="0" applyAlignment="1" applyBorder="1" applyFont="1">
      <alignment vertical="bottom"/>
    </xf>
    <xf borderId="6" fillId="0" fontId="10" numFmtId="167" xfId="0" applyAlignment="1" applyBorder="1" applyFont="1" applyNumberFormat="1">
      <alignment vertical="bottom"/>
    </xf>
    <xf borderId="7" fillId="2" fontId="10" numFmtId="165" xfId="0" applyAlignment="1" applyBorder="1" applyFont="1" applyNumberFormat="1">
      <alignment vertical="bottom"/>
    </xf>
    <xf borderId="7" fillId="2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9" fillId="0" fontId="10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0" fillId="3" fontId="14" numFmtId="4" xfId="0" applyAlignment="1" applyBorder="1" applyFont="1" applyNumberFormat="1">
      <alignment vertical="bottom"/>
    </xf>
    <xf borderId="10" fillId="3" fontId="14" numFmtId="0" xfId="0" applyAlignment="1" applyBorder="1" applyFont="1">
      <alignment vertical="bottom"/>
    </xf>
    <xf borderId="10" fillId="2" fontId="10" numFmtId="165" xfId="0" applyAlignment="1" applyBorder="1" applyFont="1" applyNumberFormat="1">
      <alignment vertical="bottom"/>
    </xf>
    <xf borderId="10" fillId="3" fontId="14" numFmtId="165" xfId="0" applyAlignment="1" applyBorder="1" applyFont="1" applyNumberFormat="1">
      <alignment vertical="bottom"/>
    </xf>
    <xf borderId="11" fillId="3" fontId="14" numFmtId="165" xfId="0" applyAlignment="1" applyBorder="1" applyFont="1" applyNumberFormat="1">
      <alignment vertical="bottom"/>
    </xf>
    <xf borderId="0" fillId="0" fontId="15" numFmtId="164" xfId="0" applyAlignment="1" applyFont="1" applyNumberFormat="1">
      <alignment shrinkToFit="0" vertical="bottom" wrapText="0"/>
    </xf>
    <xf borderId="0" fillId="0" fontId="15" numFmtId="164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0" fontId="15" numFmtId="3" xfId="0" applyAlignment="1" applyFont="1" applyNumberFormat="1">
      <alignment vertical="bottom"/>
    </xf>
    <xf borderId="0" fillId="0" fontId="16" numFmtId="164" xfId="0" applyAlignment="1" applyFont="1" applyNumberFormat="1">
      <alignment horizontal="right" vertical="bottom"/>
    </xf>
    <xf borderId="0" fillId="0" fontId="17" numFmtId="0" xfId="0" applyAlignment="1" applyFont="1">
      <alignment horizontal="right" vertical="bottom"/>
    </xf>
    <xf borderId="0" fillId="0" fontId="18" numFmtId="168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164" xfId="0" applyAlignment="1" applyFont="1" applyNumberFormat="1">
      <alignment vertical="bottom"/>
    </xf>
    <xf borderId="0" fillId="0" fontId="10" numFmtId="4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2" fillId="4" fontId="5" numFmtId="164" xfId="0" applyAlignment="1" applyBorder="1" applyFont="1" applyNumberFormat="1">
      <alignment vertical="bottom"/>
    </xf>
    <xf borderId="3" fillId="4" fontId="5" numFmtId="0" xfId="0" applyAlignment="1" applyBorder="1" applyFont="1">
      <alignment vertical="bottom"/>
    </xf>
    <xf borderId="3" fillId="4" fontId="5" numFmtId="3" xfId="0" applyAlignment="1" applyBorder="1" applyFont="1" applyNumberFormat="1">
      <alignment vertical="bottom"/>
    </xf>
    <xf borderId="3" fillId="4" fontId="5" numFmtId="4" xfId="0" applyAlignment="1" applyBorder="1" applyFont="1" applyNumberFormat="1">
      <alignment vertical="bottom"/>
    </xf>
    <xf borderId="3" fillId="4" fontId="8" numFmtId="4" xfId="0" applyAlignment="1" applyBorder="1" applyFont="1" applyNumberFormat="1">
      <alignment vertical="bottom"/>
    </xf>
    <xf borderId="4" fillId="4" fontId="5" numFmtId="4" xfId="0" applyAlignment="1" applyBorder="1" applyFont="1" applyNumberFormat="1">
      <alignment vertical="bottom"/>
    </xf>
    <xf borderId="6" fillId="0" fontId="10" numFmtId="164" xfId="0" applyAlignment="1" applyBorder="1" applyFont="1" applyNumberFormat="1">
      <alignment readingOrder="0" vertical="bottom"/>
    </xf>
    <xf borderId="7" fillId="0" fontId="10" numFmtId="3" xfId="0" applyAlignment="1" applyBorder="1" applyFont="1" applyNumberFormat="1">
      <alignment readingOrder="0" vertical="bottom"/>
    </xf>
    <xf borderId="7" fillId="4" fontId="19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7" fillId="4" fontId="19" numFmtId="0" xfId="0" applyAlignment="1" applyBorder="1" applyFont="1">
      <alignment vertical="bottom"/>
    </xf>
    <xf borderId="8" fillId="2" fontId="10" numFmtId="4" xfId="0" applyAlignment="1" applyBorder="1" applyFont="1" applyNumberFormat="1">
      <alignment readingOrder="0" vertical="bottom"/>
    </xf>
    <xf borderId="0" fillId="0" fontId="10" numFmtId="0" xfId="0" applyAlignment="1" applyFont="1">
      <alignment vertical="bottom"/>
    </xf>
    <xf borderId="7" fillId="0" fontId="10" numFmtId="3" xfId="0" applyAlignment="1" applyBorder="1" applyFont="1" applyNumberFormat="1">
      <alignment vertical="bottom"/>
    </xf>
    <xf borderId="8" fillId="2" fontId="10" numFmtId="4" xfId="0" applyAlignment="1" applyBorder="1" applyFont="1" applyNumberFormat="1">
      <alignment vertical="bottom"/>
    </xf>
    <xf borderId="6" fillId="0" fontId="10" numFmtId="164" xfId="0" applyAlignment="1" applyBorder="1" applyFont="1" applyNumberFormat="1">
      <alignment vertical="bottom"/>
    </xf>
    <xf borderId="9" fillId="0" fontId="10" numFmtId="164" xfId="0" applyAlignment="1" applyBorder="1" applyFont="1" applyNumberFormat="1">
      <alignment readingOrder="0" vertical="bottom"/>
    </xf>
    <xf borderId="10" fillId="0" fontId="10" numFmtId="0" xfId="0" applyAlignment="1" applyBorder="1" applyFont="1">
      <alignment readingOrder="0" vertical="bottom"/>
    </xf>
    <xf borderId="10" fillId="0" fontId="10" numFmtId="3" xfId="0" applyAlignment="1" applyBorder="1" applyFont="1" applyNumberFormat="1">
      <alignment vertical="bottom"/>
    </xf>
    <xf borderId="10" fillId="4" fontId="19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1" fillId="2" fontId="10" numFmtId="4" xfId="0" applyAlignment="1" applyBorder="1" applyFont="1" applyNumberFormat="1">
      <alignment vertical="bottom"/>
    </xf>
    <xf borderId="0" fillId="0" fontId="10" numFmtId="164" xfId="0" applyAlignment="1" applyFont="1" applyNumberFormat="1">
      <alignment readingOrder="0" vertical="bottom"/>
    </xf>
    <xf borderId="0" fillId="0" fontId="10" numFmtId="3" xfId="0" applyAlignment="1" applyFont="1" applyNumberFormat="1">
      <alignment vertical="bottom"/>
    </xf>
    <xf borderId="0" fillId="4" fontId="1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2" fontId="10" numFmtId="4" xfId="0" applyAlignment="1" applyFont="1" applyNumberFormat="1">
      <alignment vertical="bottom"/>
    </xf>
    <xf borderId="0" fillId="2" fontId="7" numFmtId="0" xfId="0" applyAlignment="1" applyFont="1">
      <alignment horizontal="left"/>
    </xf>
    <xf borderId="0" fillId="0" fontId="20" numFmtId="0" xfId="0" applyFont="1"/>
    <xf borderId="0" fillId="2" fontId="7" numFmtId="0" xfId="0" applyFont="1"/>
    <xf borderId="0" fillId="0" fontId="20" numFmtId="14" xfId="0" applyFont="1" applyNumberFormat="1"/>
    <xf borderId="0" fillId="0" fontId="20" numFmtId="4" xfId="0" applyFont="1" applyNumberFormat="1"/>
    <xf borderId="0" fillId="0" fontId="20" numFmtId="165" xfId="0" applyFont="1" applyNumberFormat="1"/>
    <xf borderId="0" fillId="0" fontId="20" numFmtId="0" xfId="0" applyAlignment="1" applyFont="1">
      <alignment readingOrder="0"/>
    </xf>
    <xf borderId="0" fillId="2" fontId="7" numFmtId="0" xfId="0" applyAlignment="1" applyFont="1">
      <alignment horizontal="right" vertical="bottom"/>
    </xf>
    <xf borderId="0" fillId="0" fontId="21" numFmtId="14" xfId="0" applyAlignment="1" applyFont="1" applyNumberFormat="1">
      <alignment horizontal="right" vertical="bottom"/>
    </xf>
    <xf borderId="0" fillId="0" fontId="22" numFmtId="0" xfId="0" applyAlignment="1" applyFont="1">
      <alignment horizontal="left"/>
    </xf>
    <xf borderId="0" fillId="0" fontId="9" numFmtId="0" xfId="0" applyAlignment="1" applyFont="1">
      <alignment horizontal="right" vertical="bottom"/>
    </xf>
    <xf borderId="0" fillId="0" fontId="10" numFmtId="14" xfId="0" applyAlignment="1" applyFont="1" applyNumberFormat="1">
      <alignment horizontal="right" readingOrder="0" vertical="bottom"/>
    </xf>
    <xf borderId="0" fillId="5" fontId="23" numFmtId="0" xfId="0" applyAlignment="1" applyFill="1" applyFont="1">
      <alignment horizontal="right" vertical="bottom"/>
    </xf>
    <xf borderId="0" fillId="6" fontId="10" numFmtId="0" xfId="0" applyAlignment="1" applyFill="1" applyFont="1">
      <alignment vertical="bottom"/>
    </xf>
    <xf borderId="0" fillId="4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4" fontId="24" numFmtId="4" xfId="0" applyAlignment="1" applyFont="1" applyNumberFormat="1">
      <alignment horizontal="right" readingOrder="0" vertical="bottom"/>
    </xf>
    <xf borderId="0" fillId="4" fontId="10" numFmtId="0" xfId="0" applyAlignment="1" applyFont="1">
      <alignment vertical="bottom"/>
    </xf>
    <xf borderId="0" fillId="4" fontId="8" numFmtId="0" xfId="0" applyAlignment="1" applyFont="1">
      <alignment horizontal="right" readingOrder="0" vertical="bottom"/>
    </xf>
    <xf borderId="0" fillId="4" fontId="8" numFmtId="0" xfId="0" applyAlignment="1" applyFont="1">
      <alignment readingOrder="0" vertical="bottom"/>
    </xf>
    <xf borderId="0" fillId="4" fontId="8" numFmtId="3" xfId="0" applyAlignment="1" applyFont="1" applyNumberFormat="1">
      <alignment horizontal="right" readingOrder="0" vertical="bottom"/>
    </xf>
    <xf borderId="0" fillId="4" fontId="10" numFmtId="4" xfId="0" applyAlignment="1" applyFont="1" applyNumberFormat="1">
      <alignment vertical="bottom"/>
    </xf>
    <xf borderId="0" fillId="4" fontId="10" numFmtId="4" xfId="0" applyAlignment="1" applyFont="1" applyNumberFormat="1">
      <alignment readingOrder="0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4" fontId="24" numFmtId="4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8" numFmtId="3" xfId="0" applyAlignment="1" applyFont="1" applyNumberFormat="1">
      <alignment horizontal="right" vertical="bottom"/>
    </xf>
    <xf borderId="0" fillId="5" fontId="23" numFmtId="0" xfId="0" applyAlignment="1" applyFont="1">
      <alignment horizontal="right" readingOrder="0" vertical="bottom"/>
    </xf>
    <xf borderId="0" fillId="6" fontId="10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  <xf borderId="0" fillId="0" fontId="10" numFmtId="0" xfId="0" applyAlignment="1" applyFont="1">
      <alignment horizontal="right" readingOrder="0" vertical="bottom"/>
    </xf>
    <xf borderId="0" fillId="0" fontId="20" numFmtId="3" xfId="0" applyFont="1" applyNumberFormat="1"/>
    <xf borderId="0" fillId="7" fontId="20" numFmtId="0" xfId="0" applyFill="1" applyFont="1"/>
    <xf borderId="0" fillId="2" fontId="25" numFmtId="0" xfId="0" applyAlignment="1" applyFont="1">
      <alignment horizontal="left"/>
    </xf>
    <xf borderId="0" fillId="0" fontId="2" numFmtId="0" xfId="0" applyFont="1"/>
    <xf borderId="0" fillId="7" fontId="2" numFmtId="0" xfId="0" applyFont="1"/>
    <xf borderId="0" fillId="8" fontId="26" numFmtId="164" xfId="0" applyAlignment="1" applyFill="1" applyFont="1" applyNumberFormat="1">
      <alignment horizontal="center"/>
    </xf>
    <xf borderId="0" fillId="8" fontId="27" numFmtId="0" xfId="0" applyAlignment="1" applyFont="1">
      <alignment horizontal="right" vertical="bottom"/>
    </xf>
    <xf borderId="0" fillId="8" fontId="28" numFmtId="168" xfId="0" applyAlignment="1" applyFont="1" applyNumberFormat="1">
      <alignment vertical="bottom"/>
    </xf>
    <xf borderId="0" fillId="0" fontId="10" numFmtId="4" xfId="0" applyFont="1" applyNumberFormat="1"/>
    <xf borderId="1" fillId="0" fontId="29" numFmtId="0" xfId="0" applyBorder="1" applyFont="1"/>
    <xf borderId="0" fillId="9" fontId="13" numFmtId="164" xfId="0" applyAlignment="1" applyFill="1" applyFont="1" applyNumberFormat="1">
      <alignment vertical="bottom"/>
    </xf>
    <xf borderId="0" fillId="9" fontId="13" numFmtId="0" xfId="0" applyAlignment="1" applyFont="1">
      <alignment vertical="bottom"/>
    </xf>
    <xf borderId="0" fillId="9" fontId="13" numFmtId="4" xfId="0" applyAlignment="1" applyFont="1" applyNumberFormat="1">
      <alignment vertical="bottom"/>
    </xf>
    <xf borderId="0" fillId="0" fontId="13" numFmtId="4" xfId="0" applyAlignment="1" applyFont="1" applyNumberFormat="1">
      <alignment vertical="bottom"/>
    </xf>
    <xf borderId="0" fillId="0" fontId="6" numFmtId="4" xfId="0" applyAlignment="1" applyFont="1" applyNumberFormat="1">
      <alignment vertical="bottom"/>
    </xf>
    <xf borderId="0" fillId="0" fontId="9" numFmtId="14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9" numFmtId="4" xfId="0" applyAlignment="1" applyFont="1" applyNumberFormat="1">
      <alignment horizontal="right" readingOrder="0" vertical="bottom"/>
    </xf>
    <xf borderId="0" fillId="0" fontId="7" numFmtId="4" xfId="0" applyAlignment="1" applyFont="1" applyNumberFormat="1">
      <alignment vertical="bottom"/>
    </xf>
    <xf borderId="0" fillId="0" fontId="9" numFmtId="4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0" numFmtId="14" xfId="0" applyAlignment="1" applyFont="1" applyNumberFormat="1">
      <alignment readingOrder="0" vertical="bottom"/>
    </xf>
    <xf borderId="0" fillId="0" fontId="10" numFmtId="4" xfId="0" applyAlignment="1" applyFont="1" applyNumberFormat="1">
      <alignment readingOrder="0" vertical="bottom"/>
    </xf>
    <xf borderId="12" fillId="10" fontId="30" numFmtId="0" xfId="0" applyAlignment="1" applyBorder="1" applyFill="1" applyFont="1">
      <alignment vertical="bottom"/>
    </xf>
    <xf borderId="12" fillId="0" fontId="29" numFmtId="0" xfId="0" applyBorder="1" applyFont="1"/>
    <xf borderId="12" fillId="10" fontId="10" numFmtId="0" xfId="0" applyAlignment="1" applyBorder="1" applyFont="1">
      <alignment vertical="bottom"/>
    </xf>
    <xf borderId="0" fillId="10" fontId="10" numFmtId="0" xfId="0" applyAlignment="1" applyFont="1">
      <alignment vertical="bottom"/>
    </xf>
    <xf borderId="0" fillId="11" fontId="5" numFmtId="0" xfId="0" applyAlignment="1" applyFill="1" applyFont="1">
      <alignment horizontal="right" vertical="bottom"/>
    </xf>
    <xf borderId="0" fillId="11" fontId="5" numFmtId="166" xfId="0" applyAlignment="1" applyFont="1" applyNumberFormat="1">
      <alignment vertical="bottom"/>
    </xf>
    <xf borderId="0" fillId="0" fontId="10" numFmtId="166" xfId="0" applyAlignment="1" applyFont="1" applyNumberFormat="1">
      <alignment vertical="bottom"/>
    </xf>
    <xf borderId="0" fillId="2" fontId="7" numFmtId="166" xfId="0" applyFont="1" applyNumberFormat="1"/>
    <xf borderId="0" fillId="2" fontId="7" numFmtId="166" xfId="0" applyAlignment="1" applyFont="1" applyNumberFormat="1">
      <alignment horizontal="right" vertical="bottom"/>
    </xf>
    <xf borderId="13" fillId="6" fontId="13" numFmtId="0" xfId="0" applyAlignment="1" applyBorder="1" applyFont="1">
      <alignment vertical="bottom"/>
    </xf>
    <xf borderId="14" fillId="6" fontId="13" numFmtId="0" xfId="0" applyAlignment="1" applyBorder="1" applyFont="1">
      <alignment vertical="bottom"/>
    </xf>
    <xf borderId="14" fillId="6" fontId="13" numFmtId="4" xfId="0" applyAlignment="1" applyBorder="1" applyFont="1" applyNumberFormat="1">
      <alignment vertical="bottom"/>
    </xf>
    <xf borderId="15" fillId="6" fontId="13" numFmtId="0" xfId="0" applyAlignment="1" applyBorder="1" applyFont="1">
      <alignment readingOrder="0" vertical="bottom"/>
    </xf>
    <xf borderId="8" fillId="12" fontId="10" numFmtId="0" xfId="0" applyAlignment="1" applyBorder="1" applyFill="1" applyFont="1">
      <alignment vertical="bottom"/>
    </xf>
    <xf borderId="16" fillId="2" fontId="10" numFmtId="0" xfId="0" applyAlignment="1" applyBorder="1" applyFont="1">
      <alignment vertical="bottom"/>
    </xf>
    <xf borderId="7" fillId="0" fontId="10" numFmtId="4" xfId="0" applyAlignment="1" applyBorder="1" applyFont="1" applyNumberFormat="1">
      <alignment vertical="bottom"/>
    </xf>
    <xf borderId="8" fillId="12" fontId="10" numFmtId="0" xfId="0" applyAlignment="1" applyBorder="1" applyFont="1">
      <alignment vertical="bottom"/>
    </xf>
    <xf borderId="17" fillId="2" fontId="10" numFmtId="0" xfId="0" applyAlignment="1" applyBorder="1" applyFont="1">
      <alignment vertical="bottom"/>
    </xf>
    <xf borderId="17" fillId="2" fontId="10" numFmtId="0" xfId="0" applyAlignment="1" applyBorder="1" applyFont="1">
      <alignment vertical="bottom"/>
    </xf>
    <xf borderId="10" fillId="0" fontId="10" numFmtId="4" xfId="0" applyAlignment="1" applyBorder="1" applyFont="1" applyNumberFormat="1">
      <alignment vertical="bottom"/>
    </xf>
    <xf borderId="11" fillId="12" fontId="10" numFmtId="0" xfId="0" applyAlignment="1" applyBorder="1" applyFont="1">
      <alignment vertical="bottom"/>
    </xf>
    <xf borderId="18" fillId="2" fontId="10" numFmtId="0" xfId="0" applyAlignment="1" applyBorder="1" applyFont="1">
      <alignment vertical="bottom"/>
    </xf>
    <xf borderId="0" fillId="8" fontId="26" numFmtId="0" xfId="0" applyAlignment="1" applyFont="1">
      <alignment horizontal="center" readingOrder="0" vertical="center"/>
    </xf>
    <xf borderId="0" fillId="8" fontId="26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right" readingOrder="0"/>
    </xf>
    <xf borderId="0" fillId="0" fontId="2" numFmtId="168" xfId="0" applyAlignment="1" applyFont="1" applyNumberFormat="1">
      <alignment horizontal="left" readingOrder="0"/>
    </xf>
    <xf borderId="0" fillId="0" fontId="2" numFmtId="4" xfId="0" applyAlignment="1" applyFont="1" applyNumberFormat="1">
      <alignment readingOrder="0"/>
    </xf>
    <xf borderId="0" fillId="0" fontId="13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19" fillId="0" fontId="13" numFmtId="0" xfId="0" applyAlignment="1" applyBorder="1" applyFont="1">
      <alignment readingOrder="0"/>
    </xf>
    <xf borderId="0" fillId="0" fontId="13" numFmtId="4" xfId="0" applyAlignment="1" applyFont="1" applyNumberFormat="1">
      <alignment readingOrder="0"/>
    </xf>
    <xf borderId="20" fillId="6" fontId="13" numFmtId="164" xfId="0" applyAlignment="1" applyBorder="1" applyFont="1" applyNumberFormat="1">
      <alignment readingOrder="0"/>
    </xf>
    <xf borderId="21" fillId="6" fontId="13" numFmtId="0" xfId="0" applyAlignment="1" applyBorder="1" applyFont="1">
      <alignment readingOrder="0"/>
    </xf>
    <xf borderId="21" fillId="6" fontId="13" numFmtId="4" xfId="0" applyAlignment="1" applyBorder="1" applyFont="1" applyNumberFormat="1">
      <alignment readingOrder="0"/>
    </xf>
    <xf borderId="0" fillId="6" fontId="13" numFmtId="0" xfId="0" applyAlignment="1" applyFont="1">
      <alignment readingOrder="0"/>
    </xf>
    <xf borderId="22" fillId="0" fontId="9" numFmtId="164" xfId="0" applyAlignment="1" applyBorder="1" applyFont="1" applyNumberFormat="1">
      <alignment readingOrder="0"/>
    </xf>
    <xf borderId="23" fillId="0" fontId="9" numFmtId="0" xfId="0" applyAlignment="1" applyBorder="1" applyFont="1">
      <alignment readingOrder="0"/>
    </xf>
    <xf borderId="23" fillId="0" fontId="9" numFmtId="4" xfId="0" applyAlignment="1" applyBorder="1" applyFont="1" applyNumberFormat="1">
      <alignment readingOrder="0"/>
    </xf>
    <xf borderId="24" fillId="0" fontId="9" numFmtId="0" xfId="0" applyAlignment="1" applyBorder="1" applyFont="1">
      <alignment readingOrder="0"/>
    </xf>
    <xf borderId="25" fillId="0" fontId="9" numFmtId="0" xfId="0" applyBorder="1" applyFont="1"/>
    <xf borderId="25" fillId="0" fontId="9" numFmtId="4" xfId="0" applyBorder="1" applyFont="1" applyNumberFormat="1"/>
    <xf borderId="22" fillId="0" fontId="9" numFmtId="164" xfId="0" applyBorder="1" applyFont="1" applyNumberFormat="1"/>
    <xf borderId="23" fillId="0" fontId="9" numFmtId="0" xfId="0" applyBorder="1" applyFont="1"/>
    <xf borderId="23" fillId="0" fontId="9" numFmtId="4" xfId="0" applyBorder="1" applyFont="1" applyNumberFormat="1"/>
    <xf borderId="24" fillId="0" fontId="9" numFmtId="0" xfId="0" applyBorder="1" applyFont="1"/>
    <xf borderId="26" fillId="0" fontId="9" numFmtId="164" xfId="0" applyBorder="1" applyFont="1" applyNumberFormat="1"/>
    <xf borderId="27" fillId="0" fontId="9" numFmtId="0" xfId="0" applyBorder="1" applyFont="1"/>
    <xf borderId="27" fillId="0" fontId="9" numFmtId="4" xfId="0" applyBorder="1" applyFont="1" applyNumberFormat="1"/>
    <xf borderId="28" fillId="0" fontId="9" numFmtId="0" xfId="0" applyBorder="1" applyFont="1"/>
    <xf borderId="29" fillId="8" fontId="1" numFmtId="169" xfId="0" applyAlignment="1" applyBorder="1" applyFont="1" applyNumberFormat="1">
      <alignment horizontal="center" readingOrder="0" vertical="center"/>
    </xf>
    <xf borderId="30" fillId="0" fontId="29" numFmtId="0" xfId="0" applyBorder="1" applyFont="1"/>
    <xf borderId="31" fillId="0" fontId="29" numFmtId="0" xfId="0" applyBorder="1" applyFont="1"/>
    <xf borderId="32" fillId="0" fontId="29" numFmtId="0" xfId="0" applyBorder="1" applyFont="1"/>
    <xf borderId="33" fillId="0" fontId="29" numFmtId="0" xfId="0" applyBorder="1" applyFont="1"/>
    <xf borderId="34" fillId="0" fontId="29" numFmtId="0" xfId="0" applyBorder="1" applyFont="1"/>
    <xf borderId="0" fillId="6" fontId="13" numFmtId="0" xfId="0" applyAlignment="1" applyFont="1">
      <alignment horizontal="right" readingOrder="0"/>
    </xf>
    <xf borderId="0" fillId="13" fontId="20" numFmtId="170" xfId="0" applyAlignment="1" applyFill="1" applyFont="1" applyNumberFormat="1">
      <alignment horizontal="left" readingOrder="0"/>
    </xf>
    <xf borderId="0" fillId="13" fontId="20" numFmtId="171" xfId="0" applyAlignment="1" applyFont="1" applyNumberFormat="1">
      <alignment horizontal="left" readingOrder="0"/>
    </xf>
    <xf borderId="0" fillId="6" fontId="31" numFmtId="0" xfId="0" applyAlignment="1" applyFont="1">
      <alignment horizontal="right" readingOrder="0"/>
    </xf>
    <xf borderId="0" fillId="14" fontId="9" numFmtId="0" xfId="0" applyAlignment="1" applyFill="1" applyFont="1">
      <alignment horizontal="left" readingOrder="0"/>
    </xf>
    <xf borderId="0" fillId="6" fontId="31" numFmtId="4" xfId="0" applyAlignment="1" applyFont="1" applyNumberFormat="1">
      <alignment horizontal="right" readingOrder="0"/>
    </xf>
    <xf borderId="0" fillId="15" fontId="9" numFmtId="0" xfId="0" applyAlignment="1" applyFill="1" applyFont="1">
      <alignment horizontal="left" readingOrder="0"/>
    </xf>
    <xf borderId="0" fillId="14" fontId="20" numFmtId="165" xfId="0" applyAlignment="1" applyFont="1" applyNumberFormat="1">
      <alignment horizontal="left"/>
    </xf>
    <xf borderId="0" fillId="14" fontId="20" numFmtId="0" xfId="0" applyFont="1"/>
    <xf borderId="0" fillId="8" fontId="32" numFmtId="0" xfId="0" applyAlignment="1" applyFont="1">
      <alignment horizontal="center" readingOrder="0"/>
    </xf>
    <xf borderId="0" fillId="8" fontId="33" numFmtId="4" xfId="0" applyAlignment="1" applyFont="1" applyNumberFormat="1">
      <alignment horizontal="left" readingOrder="0"/>
    </xf>
    <xf borderId="0" fillId="8" fontId="33" numFmtId="0" xfId="0" applyAlignment="1" applyFont="1">
      <alignment horizontal="center" readingOrder="0"/>
    </xf>
    <xf borderId="0" fillId="0" fontId="34" numFmtId="0" xfId="0" applyAlignment="1" applyFont="1">
      <alignment readingOrder="0"/>
    </xf>
    <xf borderId="0" fillId="0" fontId="20" numFmtId="0" xfId="0" applyFont="1"/>
    <xf borderId="0" fillId="0" fontId="20" numFmtId="0" xfId="0" applyAlignment="1" applyFont="1">
      <alignment horizontal="left"/>
    </xf>
    <xf borderId="0" fillId="0" fontId="20" numFmtId="172" xfId="0" applyAlignment="1" applyFont="1" applyNumberFormat="1">
      <alignment readingOrder="0"/>
    </xf>
    <xf borderId="0" fillId="14" fontId="35" numFmtId="170" xfId="0" applyAlignment="1" applyFont="1" applyNumberFormat="1">
      <alignment horizontal="center" readingOrder="0" shrinkToFit="0" wrapText="0"/>
    </xf>
    <xf borderId="0" fillId="0" fontId="36" numFmtId="0" xfId="0" applyAlignment="1" applyFont="1">
      <alignment horizontal="right" readingOrder="0"/>
    </xf>
    <xf borderId="0" fillId="14" fontId="37" numFmtId="0" xfId="0" applyAlignment="1" applyFont="1">
      <alignment horizontal="right" readingOrder="0"/>
    </xf>
    <xf borderId="0" fillId="0" fontId="13" numFmtId="0" xfId="0" applyAlignment="1" applyFont="1">
      <alignment horizontal="right" readingOrder="0"/>
    </xf>
    <xf borderId="0" fillId="16" fontId="38" numFmtId="4" xfId="0" applyAlignment="1" applyFill="1" applyFont="1" applyNumberFormat="1">
      <alignment horizontal="left" readingOrder="0"/>
    </xf>
    <xf borderId="35" fillId="6" fontId="20" numFmtId="0" xfId="0" applyBorder="1" applyFont="1"/>
    <xf borderId="0" fillId="6" fontId="20" numFmtId="0" xfId="0" applyFont="1"/>
    <xf borderId="36" fillId="6" fontId="20" numFmtId="0" xfId="0" applyBorder="1" applyFont="1"/>
    <xf borderId="19" fillId="0" fontId="20" numFmtId="0" xfId="0" applyBorder="1" applyFont="1"/>
    <xf borderId="19" fillId="0" fontId="29" numFmtId="0" xfId="0" applyBorder="1" applyFont="1"/>
    <xf borderId="37" fillId="14" fontId="20" numFmtId="4" xfId="0" applyAlignment="1" applyBorder="1" applyFont="1" applyNumberFormat="1">
      <alignment horizontal="left"/>
    </xf>
    <xf borderId="38" fillId="0" fontId="29" numFmtId="0" xfId="0" applyBorder="1" applyFont="1"/>
    <xf borderId="0" fillId="6" fontId="39" numFmtId="0" xfId="0" applyAlignment="1" applyFont="1">
      <alignment horizontal="left" readingOrder="0"/>
    </xf>
    <xf borderId="39" fillId="6" fontId="20" numFmtId="0" xfId="0" applyBorder="1" applyFont="1"/>
    <xf borderId="0" fillId="0" fontId="9" numFmtId="4" xfId="0" applyAlignment="1" applyFont="1" applyNumberFormat="1">
      <alignment horizontal="right" readingOrder="0"/>
    </xf>
    <xf borderId="40" fillId="13" fontId="20" numFmtId="4" xfId="0" applyBorder="1" applyFont="1" applyNumberFormat="1"/>
    <xf borderId="40" fillId="0" fontId="29" numFmtId="0" xfId="0" applyBorder="1" applyFont="1"/>
    <xf borderId="40" fillId="14" fontId="20" numFmtId="4" xfId="0" applyAlignment="1" applyBorder="1" applyFont="1" applyNumberFormat="1">
      <alignment horizontal="left"/>
    </xf>
    <xf borderId="41" fillId="6" fontId="40" numFmtId="0" xfId="0" applyAlignment="1" applyBorder="1" applyFont="1">
      <alignment readingOrder="0"/>
    </xf>
    <xf borderId="41" fillId="0" fontId="29" numFmtId="0" xfId="0" applyBorder="1" applyFont="1"/>
    <xf borderId="0" fillId="0" fontId="13" numFmtId="4" xfId="0" applyAlignment="1" applyFont="1" applyNumberFormat="1">
      <alignment horizontal="right" readingOrder="0"/>
    </xf>
    <xf borderId="42" fillId="13" fontId="20" numFmtId="4" xfId="0" applyAlignment="1" applyBorder="1" applyFont="1" applyNumberFormat="1">
      <alignment readingOrder="0"/>
    </xf>
    <xf borderId="42" fillId="0" fontId="29" numFmtId="0" xfId="0" applyBorder="1" applyFont="1"/>
    <xf borderId="43" fillId="14" fontId="20" numFmtId="4" xfId="0" applyAlignment="1" applyBorder="1" applyFont="1" applyNumberFormat="1">
      <alignment horizontal="left"/>
    </xf>
    <xf borderId="43" fillId="0" fontId="29" numFmtId="0" xfId="0" applyBorder="1" applyFont="1"/>
    <xf borderId="43" fillId="16" fontId="38" numFmtId="4" xfId="0" applyBorder="1" applyFont="1" applyNumberFormat="1"/>
    <xf borderId="43" fillId="16" fontId="38" numFmtId="4" xfId="0" applyAlignment="1" applyBorder="1" applyFont="1" applyNumberFormat="1">
      <alignment horizontal="left"/>
    </xf>
    <xf borderId="44" fillId="6" fontId="38" numFmtId="0" xfId="0" applyBorder="1" applyFont="1"/>
    <xf borderId="44" fillId="0" fontId="29" numFmtId="0" xfId="0" applyBorder="1" applyFont="1"/>
    <xf borderId="16" fillId="6" fontId="40" numFmtId="0" xfId="0" applyAlignment="1" applyBorder="1" applyFont="1">
      <alignment readingOrder="0"/>
    </xf>
    <xf borderId="16" fillId="0" fontId="29" numFmtId="0" xfId="0" applyBorder="1" applyFont="1"/>
    <xf borderId="0" fillId="8" fontId="38" numFmtId="4" xfId="0" applyAlignment="1" applyFont="1" applyNumberFormat="1">
      <alignment horizontal="left"/>
    </xf>
    <xf borderId="0" fillId="6" fontId="20" numFmtId="0" xfId="0" applyAlignment="1" applyFont="1">
      <alignment readingOrder="0"/>
    </xf>
    <xf borderId="39" fillId="6" fontId="20" numFmtId="0" xfId="0" applyAlignment="1" applyBorder="1" applyFont="1">
      <alignment readingOrder="0"/>
    </xf>
    <xf borderId="40" fillId="15" fontId="20" numFmtId="4" xfId="0" applyBorder="1" applyFont="1" applyNumberFormat="1"/>
    <xf borderId="0" fillId="0" fontId="20" numFmtId="4" xfId="0" applyAlignment="1" applyFont="1" applyNumberFormat="1">
      <alignment horizontal="left"/>
    </xf>
    <xf borderId="0" fillId="14" fontId="41" numFmtId="0" xfId="0" applyAlignment="1" applyFont="1">
      <alignment readingOrder="0"/>
    </xf>
    <xf borderId="0" fillId="14" fontId="42" numFmtId="3" xfId="0" applyAlignment="1" applyFont="1" applyNumberFormat="1">
      <alignment readingOrder="0"/>
    </xf>
    <xf borderId="42" fillId="15" fontId="20" numFmtId="4" xfId="0" applyBorder="1" applyFont="1" applyNumberFormat="1"/>
    <xf borderId="40" fillId="15" fontId="20" numFmtId="4" xfId="0" applyAlignment="1" applyBorder="1" applyFont="1" applyNumberFormat="1">
      <alignment horizontal="left"/>
    </xf>
    <xf borderId="0" fillId="6" fontId="43" numFmtId="0" xfId="0" applyAlignment="1" applyFont="1">
      <alignment readingOrder="0"/>
    </xf>
    <xf borderId="0" fillId="6" fontId="43" numFmtId="0" xfId="0" applyAlignment="1" applyFont="1">
      <alignment horizontal="right" readingOrder="0"/>
    </xf>
    <xf borderId="0" fillId="0" fontId="44" numFmtId="4" xfId="0" applyAlignment="1" applyFont="1" applyNumberFormat="1">
      <alignment horizontal="right" readingOrder="0"/>
    </xf>
    <xf borderId="43" fillId="15" fontId="20" numFmtId="4" xfId="0" applyAlignment="1" applyBorder="1" applyFont="1" applyNumberFormat="1">
      <alignment horizontal="left"/>
    </xf>
    <xf borderId="0" fillId="8" fontId="45" numFmtId="0" xfId="0" applyAlignment="1" applyFont="1">
      <alignment readingOrder="0"/>
    </xf>
    <xf borderId="0" fillId="17" fontId="45" numFmtId="0" xfId="0" applyAlignment="1" applyFill="1" applyFont="1">
      <alignment horizontal="right"/>
    </xf>
    <xf borderId="43" fillId="8" fontId="38" numFmtId="4" xfId="0" applyBorder="1" applyFont="1" applyNumberFormat="1"/>
    <xf borderId="43" fillId="8" fontId="38" numFmtId="4" xfId="0" applyAlignment="1" applyBorder="1" applyFont="1" applyNumberFormat="1">
      <alignment horizontal="left"/>
    </xf>
    <xf borderId="0" fillId="0" fontId="38" numFmtId="165" xfId="0" applyFont="1" applyNumberFormat="1"/>
    <xf borderId="0" fillId="0" fontId="38" numFmtId="165" xfId="0" applyAlignment="1" applyFont="1" applyNumberFormat="1">
      <alignment horizontal="left"/>
    </xf>
    <xf borderId="0" fillId="8" fontId="46" numFmtId="0" xfId="0" applyAlignment="1" applyFont="1">
      <alignment horizontal="right" readingOrder="0"/>
    </xf>
    <xf borderId="0" fillId="8" fontId="45" numFmtId="166" xfId="0" applyAlignment="1" applyFont="1" applyNumberFormat="1">
      <alignment horizontal="left" readingOrder="0"/>
    </xf>
    <xf borderId="0" fillId="8" fontId="5" numFmtId="166" xfId="0" applyAlignment="1" applyFont="1" applyNumberFormat="1">
      <alignment horizontal="left" readingOrder="0"/>
    </xf>
    <xf borderId="0" fillId="8" fontId="5" numFmtId="0" xfId="0" applyAlignment="1" applyFont="1">
      <alignment horizontal="left" readingOrder="0"/>
    </xf>
    <xf borderId="0" fillId="0" fontId="47" numFmtId="0" xfId="0" applyAlignment="1" applyFont="1">
      <alignment readingOrder="0"/>
    </xf>
    <xf borderId="0" fillId="0" fontId="47" numFmtId="165" xfId="0" applyAlignment="1" applyFont="1" applyNumberFormat="1">
      <alignment readingOrder="0"/>
    </xf>
    <xf borderId="0" fillId="0" fontId="38" numFmtId="0" xfId="0" applyFont="1"/>
    <xf borderId="0" fillId="0" fontId="13" numFmtId="0" xfId="0" applyAlignment="1" applyFont="1">
      <alignment horizontal="left" readingOrder="0"/>
    </xf>
    <xf borderId="19" fillId="0" fontId="38" numFmtId="165" xfId="0" applyBorder="1" applyFont="1" applyNumberFormat="1"/>
    <xf borderId="19" fillId="0" fontId="38" numFmtId="0" xfId="0" applyBorder="1" applyFont="1"/>
    <xf borderId="0" fillId="0" fontId="48" numFmtId="0" xfId="0" applyFont="1"/>
    <xf borderId="0" fillId="0" fontId="48" numFmtId="0" xfId="0" applyAlignment="1" applyFont="1">
      <alignment horizontal="left"/>
    </xf>
    <xf borderId="0" fillId="0" fontId="48" numFmtId="4" xfId="0" applyAlignment="1" applyFont="1" applyNumberFormat="1">
      <alignment horizontal="left"/>
    </xf>
    <xf borderId="0" fillId="0" fontId="48" numFmtId="0" xfId="0" applyAlignment="1" applyFont="1">
      <alignment readingOrder="0"/>
    </xf>
    <xf borderId="0" fillId="0" fontId="20" numFmtId="165" xfId="0" applyAlignment="1" applyFont="1" applyNumberFormat="1">
      <alignment horizontal="left"/>
    </xf>
    <xf borderId="0" fillId="0" fontId="9" numFmtId="4" xfId="0" applyAlignment="1" applyFont="1" applyNumberFormat="1">
      <alignment horizontal="left" readingOrder="0"/>
    </xf>
    <xf borderId="0" fillId="0" fontId="13" numFmtId="4" xfId="0" applyAlignment="1" applyFont="1" applyNumberFormat="1">
      <alignment horizontal="left" readingOrder="0"/>
    </xf>
    <xf borderId="0" fillId="0" fontId="49" numFmtId="165" xfId="0" applyFont="1" applyNumberFormat="1"/>
    <xf borderId="45" fillId="0" fontId="50" numFmtId="0" xfId="0" applyAlignment="1" applyBorder="1" applyFont="1">
      <alignment horizontal="center" readingOrder="0"/>
    </xf>
    <xf borderId="46" fillId="0" fontId="50" numFmtId="0" xfId="0" applyAlignment="1" applyBorder="1" applyFont="1">
      <alignment horizontal="center" readingOrder="0"/>
    </xf>
    <xf borderId="47" fillId="0" fontId="50" numFmtId="0" xfId="0" applyAlignment="1" applyBorder="1" applyFont="1">
      <alignment horizontal="center" readingOrder="0"/>
    </xf>
    <xf borderId="48" fillId="0" fontId="20" numFmtId="0" xfId="0" applyAlignment="1" applyBorder="1" applyFont="1">
      <alignment readingOrder="0"/>
    </xf>
    <xf borderId="49" fillId="0" fontId="20" numFmtId="14" xfId="0" applyAlignment="1" applyBorder="1" applyFont="1" applyNumberFormat="1">
      <alignment readingOrder="0"/>
    </xf>
    <xf borderId="49" fillId="0" fontId="20" numFmtId="0" xfId="0" applyAlignment="1" applyBorder="1" applyFont="1">
      <alignment readingOrder="0"/>
    </xf>
    <xf borderId="49" fillId="0" fontId="20" numFmtId="0" xfId="0" applyBorder="1" applyFont="1"/>
    <xf borderId="49" fillId="0" fontId="20" numFmtId="4" xfId="0" applyAlignment="1" applyBorder="1" applyFont="1" applyNumberFormat="1">
      <alignment readingOrder="0"/>
    </xf>
    <xf borderId="49" fillId="0" fontId="20" numFmtId="3" xfId="0" applyAlignment="1" applyBorder="1" applyFont="1" applyNumberFormat="1">
      <alignment readingOrder="0"/>
    </xf>
    <xf borderId="50" fillId="0" fontId="20" numFmtId="4" xfId="0" applyAlignment="1" applyBorder="1" applyFont="1" applyNumberFormat="1">
      <alignment readingOrder="0"/>
    </xf>
    <xf borderId="0" fillId="10" fontId="30" numFmtId="169" xfId="0" applyAlignment="1" applyFont="1" applyNumberFormat="1">
      <alignment horizontal="center" readingOrder="0" vertical="center"/>
    </xf>
    <xf borderId="51" fillId="0" fontId="29" numFmtId="0" xfId="0" applyBorder="1" applyFont="1"/>
    <xf borderId="0" fillId="2" fontId="2" numFmtId="170" xfId="0" applyAlignment="1" applyFont="1" applyNumberFormat="1">
      <alignment horizontal="left" readingOrder="0"/>
    </xf>
    <xf borderId="0" fillId="18" fontId="33" numFmtId="0" xfId="0" applyAlignment="1" applyFill="1" applyFont="1">
      <alignment horizontal="right" readingOrder="0"/>
    </xf>
    <xf borderId="52" fillId="10" fontId="5" numFmtId="0" xfId="0" applyAlignment="1" applyBorder="1" applyFont="1">
      <alignment vertical="bottom"/>
    </xf>
    <xf borderId="53" fillId="10" fontId="5" numFmtId="0" xfId="0" applyAlignment="1" applyBorder="1" applyFont="1">
      <alignment vertical="bottom"/>
    </xf>
    <xf borderId="53" fillId="10" fontId="8" numFmtId="4" xfId="0" applyAlignment="1" applyBorder="1" applyFont="1" applyNumberFormat="1">
      <alignment horizontal="right" vertical="bottom"/>
    </xf>
    <xf borderId="53" fillId="10" fontId="5" numFmtId="0" xfId="0" applyAlignment="1" applyBorder="1" applyFont="1">
      <alignment horizontal="center" vertical="bottom"/>
    </xf>
    <xf borderId="53" fillId="10" fontId="5" numFmtId="165" xfId="0" applyAlignment="1" applyBorder="1" applyFont="1" applyNumberFormat="1">
      <alignment vertical="bottom"/>
    </xf>
    <xf borderId="54" fillId="10" fontId="5" numFmtId="165" xfId="0" applyAlignment="1" applyBorder="1" applyFont="1" applyNumberFormat="1">
      <alignment vertical="bottom"/>
    </xf>
    <xf borderId="0" fillId="2" fontId="51" numFmtId="0" xfId="0" applyFont="1"/>
    <xf borderId="0" fillId="0" fontId="20" numFmtId="0" xfId="0" applyFont="1"/>
    <xf borderId="0" fillId="0" fontId="20" numFmtId="14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167" xfId="0" applyAlignment="1" applyFont="1" applyNumberFormat="1">
      <alignment readingOrder="0"/>
    </xf>
    <xf borderId="0" fillId="2" fontId="7" numFmtId="14" xfId="0" applyFont="1" applyNumberFormat="1"/>
    <xf borderId="0" fillId="0" fontId="52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53" numFmtId="0" xfId="0" applyAlignment="1" applyFont="1">
      <alignment horizontal="left"/>
    </xf>
    <xf borderId="0" fillId="7" fontId="20" numFmtId="0" xfId="0" applyAlignment="1" applyFont="1">
      <alignment readingOrder="0"/>
    </xf>
    <xf borderId="0" fillId="0" fontId="53" numFmtId="0" xfId="0" applyAlignment="1" applyFont="1">
      <alignment horizontal="left"/>
    </xf>
    <xf borderId="0" fillId="0" fontId="54" numFmtId="0" xfId="0" applyAlignment="1" applyFont="1">
      <alignment horizontal="left"/>
    </xf>
    <xf borderId="0" fillId="2" fontId="54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2" fontId="7" numFmtId="0" xfId="0" applyAlignment="1" applyFont="1">
      <alignment horizontal="left" readingOrder="0"/>
    </xf>
    <xf borderId="0" fillId="0" fontId="55" numFmtId="0" xfId="0" applyAlignment="1" applyFont="1">
      <alignment readingOrder="0"/>
    </xf>
    <xf borderId="0" fillId="2" fontId="7" numFmtId="0" xfId="0" applyFont="1"/>
    <xf borderId="0" fillId="2" fontId="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56" numFmtId="0" xfId="0" applyAlignment="1" applyFont="1">
      <alignment readingOrder="0"/>
    </xf>
    <xf borderId="0" fillId="0" fontId="57" numFmtId="0" xfId="0" applyAlignment="1" applyFont="1">
      <alignment readingOrder="0"/>
    </xf>
    <xf borderId="0" fillId="2" fontId="7" numFmtId="4" xfId="0" applyFont="1" applyNumberFormat="1"/>
    <xf borderId="0" fillId="0" fontId="2" numFmtId="0" xfId="0" applyAlignment="1" applyFont="1">
      <alignment horizontal="center" readingOrder="0"/>
    </xf>
    <xf borderId="0" fillId="10" fontId="38" numFmtId="0" xfId="0" applyAlignment="1" applyFont="1">
      <alignment horizontal="center" readingOrder="0"/>
    </xf>
    <xf borderId="0" fillId="2" fontId="58" numFmtId="0" xfId="0" applyFont="1"/>
    <xf borderId="0" fillId="2" fontId="54" numFmtId="0" xfId="0" applyFont="1"/>
    <xf borderId="0" fillId="2" fontId="58" numFmtId="4" xfId="0" applyFont="1" applyNumberFormat="1"/>
    <xf borderId="0" fillId="16" fontId="30" numFmtId="169" xfId="0" applyAlignment="1" applyFont="1" applyNumberFormat="1">
      <alignment horizontal="center" readingOrder="0" vertical="center"/>
    </xf>
    <xf borderId="0" fillId="13" fontId="2" numFmtId="170" xfId="0" applyAlignment="1" applyFont="1" applyNumberFormat="1">
      <alignment horizontal="left" readingOrder="0"/>
    </xf>
    <xf borderId="0" fillId="13" fontId="2" numFmtId="171" xfId="0" applyAlignment="1" applyFont="1" applyNumberFormat="1">
      <alignment horizontal="left" readingOrder="0"/>
    </xf>
    <xf borderId="0" fillId="16" fontId="33" numFmtId="0" xfId="0" applyAlignment="1" applyFont="1">
      <alignment horizontal="right" readingOrder="0"/>
    </xf>
    <xf borderId="0" fillId="16" fontId="17" numFmtId="0" xfId="0" applyAlignment="1" applyFont="1">
      <alignment horizontal="left" readingOrder="0"/>
    </xf>
    <xf borderId="0" fillId="10" fontId="50" numFmtId="0" xfId="0" applyAlignment="1" applyFont="1">
      <alignment readingOrder="0"/>
    </xf>
    <xf borderId="0" fillId="0" fontId="20" numFmtId="4" xfId="0" applyFont="1" applyNumberFormat="1"/>
    <xf borderId="0" fillId="0" fontId="20" numFmtId="14" xfId="0" applyFont="1" applyNumberFormat="1"/>
    <xf borderId="0" fillId="0" fontId="20" numFmtId="167" xfId="0" applyFont="1" applyNumberFormat="1"/>
  </cellXfs>
  <cellStyles count="1">
    <cellStyle xfId="0" name="Normal" builtinId="0"/>
  </cellStyles>
  <dxfs count="9">
    <dxf>
      <font>
        <color rgb="FF6AA84F"/>
      </font>
      <fill>
        <patternFill patternType="solid">
          <fgColor rgb="FFF3F3F3"/>
          <bgColor rgb="FFF3F3F3"/>
        </patternFill>
      </fill>
      <border/>
    </dxf>
    <dxf>
      <font>
        <color rgb="FF990000"/>
      </font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9">
    <tableStyle count="3" pivot="0" name="Detail245-ANDRDEW ORIABURE-style">
      <tableStyleElement dxfId="3" type="headerRow"/>
      <tableStyleElement dxfId="4" type="firstRowStripe"/>
      <tableStyleElement dxfId="5" type="secondRowStripe"/>
    </tableStyle>
    <tableStyle count="3" pivot="0" name="Detail244-ANDRDEW ORIABURE-style">
      <tableStyleElement dxfId="3" type="headerRow"/>
      <tableStyleElement dxfId="4" type="firstRowStripe"/>
      <tableStyleElement dxfId="5" type="secondRowStripe"/>
    </tableStyle>
    <tableStyle count="3" pivot="0" name="Detail243- KINGSLEY-style">
      <tableStyleElement dxfId="3" type="headerRow"/>
      <tableStyleElement dxfId="4" type="firstRowStripe"/>
      <tableStyleElement dxfId="5" type="secondRowStripe"/>
    </tableStyle>
    <tableStyle count="3" pivot="0" name="Small-Scale History-style">
      <tableStyleElement dxfId="6" type="headerRow"/>
      <tableStyleElement dxfId="5" type="firstRowStripe"/>
      <tableStyleElement dxfId="7" type="secondRowStripe"/>
    </tableStyle>
    <tableStyle count="2" pivot="0" name="HelperFormulas-style">
      <tableStyleElement dxfId="5" type="firstRowStripe"/>
      <tableStyleElement dxfId="8" type="secondRowStripe"/>
    </tableStyle>
    <tableStyle count="2" pivot="0" name="HelperFormulas-style 2">
      <tableStyleElement dxfId="8" type="firstRowStripe"/>
      <tableStyleElement dxfId="5" type="secondRowStripe"/>
    </tableStyle>
    <tableStyle count="2" pivot="0" name="HelperFormulas-style 3">
      <tableStyleElement dxfId="8" type="firstRowStripe"/>
      <tableStyleElement dxfId="5" type="secondRowStripe"/>
    </tableStyle>
    <tableStyle count="2" pivot="0" name="HelperFormulas-style 4">
      <tableStyleElement dxfId="8" type="firstRowStripe"/>
      <tableStyleElement dxfId="5" type="secondRowStripe"/>
    </tableStyle>
    <tableStyle count="3" pivot="0" name="Non Cocoa History-style">
      <tableStyleElement dxfId="6" type="headerRow"/>
      <tableStyleElement dxfId="5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pivotCacheDefinition" Target="pivotCache/pivotCacheDefinition1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76" Type="http://schemas.openxmlformats.org/officeDocument/2006/relationships/pivotCacheDefinition" Target="pivotCache/pivotCacheDefinition2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0" sheet="DashboardPfnce"/>
  </cacheSource>
  <cacheFields>
    <cacheField name=" 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m/>
        <n v="21.0"/>
        <n v="22.0"/>
        <n v="23.0"/>
        <n v="24.0"/>
        <n v="25.0"/>
        <n v="26.0"/>
        <n v="27.0"/>
        <n v="28.0"/>
        <n v="29.0"/>
      </sharedItems>
    </cacheField>
    <cacheField name="PRE- FINANCE MASTERSHEET DATE" numFmtId="14">
      <sharedItems containsDate="1" containsString="0" containsBlank="1">
        <d v="2019-10-05T00:00:00Z"/>
        <d v="2020-07-15T00:00:00Z"/>
        <d v="2020-07-17T00:00:00Z"/>
        <d v="2020-07-18T00:00:00Z"/>
        <d v="2020-07-16T00:00:00Z"/>
        <d v="2020-07-20T00:00:00Z"/>
        <d v="2020-07-21T00:00:00Z"/>
        <d v="2020-07-22T00:00:00Z"/>
        <d v="2020-07-23T00:00:00Z"/>
        <d v="2020-07-24T00:00:00Z"/>
        <d v="2020-07-25T00:00:00Z"/>
        <d v="2020-07-27T00:00:00Z"/>
        <d v="2020-07-28T00:00:00Z"/>
        <d v="2020-07-29T00:00:00Z"/>
        <d v="2020-07-30T00:00:00Z"/>
        <d v="2020-08-04T00:00:00Z"/>
        <d v="2020-08-05T00:00:00Z"/>
        <d v="2020-08-01T00:00:00Z"/>
        <d v="2020-08-03T00:00:00Z"/>
        <d v="2020-08-02T00:00:00Z"/>
        <d v="2020-09-04T00:00:00Z"/>
        <d v="2020-09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7T00:00:00Z"/>
        <d v="2020-08-18T00:00:00Z"/>
        <d v="2020-08-20T00:00:00Z"/>
        <d v="2020-08-21T00:00:00Z"/>
        <d v="2020-08-22T00:00:00Z"/>
        <d v="2020-08-24T00:00:00Z"/>
        <d v="2020-08-25T00:00:00Z"/>
        <d v="2020-08-26T00:00:00Z"/>
        <d v="2020-08-27T00:00:00Z"/>
        <d v="2020-08-28T00:00:00Z"/>
        <d v="2020-08-29T00:00:00Z"/>
        <d v="2020-08-31T00:00:00Z"/>
        <d v="2020-09-01T00:00:00Z"/>
        <d v="2020-09-03T00:00:00Z"/>
        <d v="2020-09-07T00:00:00Z"/>
        <d v="2020-07-09T00:00:00Z"/>
        <d v="2020-09-08T00:00:00Z"/>
        <d v="2020-09-09T00:00:00Z"/>
        <d v="2020-09-10T00:00:00Z"/>
        <d v="2020-09-11T00:00:00Z"/>
        <d v="2020-09-12T00:00:00Z"/>
        <d v="2020-08-30T00:00:00Z"/>
        <d v="2020-09-14T00:00:00Z"/>
        <d v="2020-09-15T00:00:00Z"/>
        <d v="2020-09-02T00:00:00Z"/>
        <d v="2020-09-17T00:00:00Z"/>
        <d v="2020-09-16T00:00:00Z"/>
        <d v="2020-09-18T00:00:00Z"/>
        <d v="2020-09-19T00:00:00Z"/>
        <d v="2020-09-21T00:00:00Z"/>
        <d v="2020-09-22T00:00:00Z"/>
        <d v="2020-09-23T00:00:00Z"/>
        <d v="2020-09-25T00:00:00Z"/>
        <d v="2020-09-28T00:00:00Z"/>
        <d v="2020-09-26T00:00:00Z"/>
        <d v="2020-09-30T00:00:00Z"/>
        <d v="2020-09-29T00:00:00Z"/>
        <d v="2020-10-28T00:00:00Z"/>
        <d v="2020-10-02T00:00:00Z"/>
        <d v="2020-10-30T00:00:00Z"/>
        <d v="2020-10-01T00:00:00Z"/>
        <d v="2020-10-03T00:00:00Z"/>
        <d v="2020-10-05T00:00:00Z"/>
        <d v="2020-10-08T00:00:00Z"/>
        <d v="2020-10-06T00:00:00Z"/>
        <d v="2020-10-07T00:00:00Z"/>
        <d v="2020-10-09T00:00:00Z"/>
        <d v="2020-10-10T00:00:00Z"/>
        <d v="2020-10-12T00:00:00Z"/>
        <m/>
      </sharedItems>
    </cacheField>
    <cacheField name=" NAMES" numFmtId="0">
      <sharedItems containsBlank="1">
        <s v="EDWARD OKO"/>
        <s v="INT OTU"/>
        <s v="ETUK EFFI"/>
        <s v="ADE ADE"/>
        <s v="BESSONG BESONG"/>
        <s v="MINOR"/>
        <s v="COLLINS  OFFA"/>
        <s v="SEPH ODEY"/>
        <s v="OSIM MARIAM"/>
        <s v="ENYA HN"/>
        <s v="BOSURU  BOSURU"/>
        <s v="ASOQUO SUNDAY"/>
        <s v="OTU KOKO KEIBO"/>
        <s v="AUGUSTINE IGBA"/>
        <s v="PETER JAMES"/>
        <s v="AYUK AYUK"/>
        <s v=" MAXWELL AGRO"/>
        <s v="RAPHEAL OKON"/>
        <s v="EKABA ETTA"/>
        <s v="LAWERENCE ETTA OGAR"/>
        <s v="LYDIA HNSON "/>
        <s v="NAOMI"/>
        <s v="MAXWELL AGRO OBI"/>
        <s v="R.  MAXWELL AGRO"/>
        <s v="ABANG. BEN OLUM"/>
        <s v="NYIAM FREDERICK JUSTINE"/>
        <s v="RI SAMP"/>
        <s v="REMMY BODES"/>
        <s v="ANDRDEW GREAT"/>
        <s v="NDOMA BODE I.D"/>
        <s v="ALLI SYLVESTER"/>
        <s v=" OP OJUA"/>
        <s v="HN KEIBO"/>
        <s v=" OP OCHICHIE"/>
        <s v="PETER KEIBO SIDE"/>
        <s v="CONFIDENCE"/>
        <s v="LAI BIG MAN"/>
        <s v="ABANG TATAW CAMEROUN"/>
        <s v="ABANG FREDINARD"/>
        <s v="KOKOK PRIN"/>
        <s v="BABA NDIFON"/>
        <s v="TIMOTHY  OLUM"/>
        <s v="AGEGE BOY"/>
        <s v="PRINNESS"/>
        <s v="CORNWELL"/>
        <s v="DUN ODI A."/>
        <s v="MAXWELL AGRO PRIN"/>
        <s v="FRANCIS KEIBO"/>
        <s v="COLLABS"/>
        <s v="CONNECT"/>
        <s v="KARIEN EBAN"/>
        <s v="ZULU &amp; NDOMA"/>
        <s v="TIWA AGBA"/>
        <s v="PAPA AJASCO BETTE"/>
        <s v="LIVINUS"/>
        <s v="JAMES AKAN"/>
        <s v="RECTOR W."/>
        <s v="EDDY OKO"/>
        <s v="MATIAT REINA"/>
        <s v="ASMAN"/>
        <s v="NDOMA PETER"/>
        <s v="ALFRED ALABI"/>
        <s v="OBINNA CHIELO"/>
        <s v="EMMANUEL OKO "/>
        <s v="REIMON ALABA"/>
        <s v="MATIAT LOVE"/>
        <s v="ABANG. EDET"/>
        <s v="OBI BESONG"/>
        <s v="CHINWE CHIDI"/>
        <s v="EUGENE"/>
        <s v="ABANG. DUNLOP"/>
        <s v="OBIM TIWA HNSON"/>
        <s v="DUN SUNDAY NDOMA (NATION)"/>
        <s v="A. D. FREDERICK"/>
        <s v="NDOMA NDOMA"/>
        <s v="OMODION"/>
        <s v="NEIGHBOR"/>
        <s v="NDOMA PRIN"/>
        <s v="SEPH LOVE"/>
        <s v="ZULU "/>
        <s v="ABANGS. HNSON"/>
        <s v="MALACHY"/>
        <m/>
        <s v="ABANG. AM"/>
        <s v="FREDERICK"/>
        <s v="ABANG. ODI"/>
        <s v="ABANG. ORU"/>
        <s v="ABANG. MOSES"/>
        <s v="PRIN M. BOSURU"/>
        <s v="UNCLE BIGGIE"/>
        <s v="GIFT GABRIEL"/>
        <s v="BLESSING CHAPMAN"/>
        <s v="NELSON &amp; PALUS"/>
        <s v="COPPA NKU"/>
        <s v="ETIM SUNDAY"/>
        <s v="MATIAT Y"/>
        <s v="SAMUEL KEIBO"/>
      </sharedItems>
    </cacheField>
    <cacheField name="Last Entry: Cnam" numFmtId="0">
      <sharedItems containsBlank="1">
        <s v="EDWARD OKO1"/>
        <s v="INT OTU1"/>
        <s v="ETUK EFFI1"/>
        <s v="ADE ADE1"/>
        <s v="BESSONG BESONG1"/>
        <s v="MINOR1"/>
        <s v="COLLINS  OFFA1"/>
        <s v="SEPH ODEY1"/>
        <s v="OSIM MARIAM1"/>
        <s v="ENYA HN1"/>
        <s v="BOSURU  BOSURU1"/>
        <s v="ASOQUO SUNDAY1"/>
        <s v="OTU KOKO KEIBO1"/>
        <s v="AUGUSTINE IGBA1"/>
        <s v="PETER JAMES1"/>
        <s v="AYUK AYUK1"/>
        <s v=" MAXWELL AGRO1"/>
        <s v="RAPHEAL OKON1"/>
        <s v="EKABA ETTA1"/>
        <s v="LAWERENCE ETTA OGAR1"/>
        <s v="LYDIA HNSON 1"/>
        <s v="NAOMI1"/>
        <s v="MAXWELL AGRO OBI1"/>
        <s v="R.  MAXWELL AGRO1"/>
        <s v="ABANG. BEN OLUM1"/>
        <s v="NYIAM FREDERICK JUSTINE1"/>
        <s v="RI SAMP1"/>
        <s v="REMMY BODES1"/>
        <s v="ANDRDEW GREAT1"/>
        <s v="NDOMA BODE I.D1"/>
        <s v="ALLI SYLVESTER1"/>
        <s v=" OP OJUA1"/>
        <s v="HN KEIBO1"/>
        <s v=" OP OCHICHIE1"/>
        <s v="PETER KEIBO SIDE1"/>
        <s v="CONFIDENCE1"/>
        <s v="LAI BIG MAN1"/>
        <s v="ABANG TATAW CAMEROUN1"/>
        <s v="ABANG FREDINARD1"/>
        <s v="KOKOK PRIN1"/>
        <s v="BABA NDIFON1"/>
        <s v="TIMOTHY  OLUM1"/>
        <s v="AGEGE BOY1"/>
        <s v="PRINNESS1"/>
        <s v="CORNWELL1"/>
        <s v="DUN ODI A.1"/>
        <s v="MAXWELL AGRO PRIN1"/>
        <s v="FRANCIS KEIBO1"/>
        <s v="COLLABS1"/>
        <s v="CONNECT1"/>
        <s v="KARIEN EBAN1"/>
        <s v="ZULU &amp; NDOMA1"/>
        <s v="TIWA AGBA1"/>
        <s v="PAPA AJASCO BETTE1"/>
        <s v="REMMY BODES2"/>
        <s v="CORNWELL2"/>
        <s v="LIVINUS1"/>
        <s v="JAMES AKAN1"/>
        <s v="RECTOR W.1"/>
        <s v="CONNECT2"/>
        <s v="RECTOR W.2"/>
        <s v="RECTOR W.3"/>
        <s v="RECTOR W.4"/>
        <s v="RECTOR W.5"/>
        <s v="CORNWELL3"/>
        <s v="NDOMA BODE I.D2"/>
        <s v="NDOMA BODE I.D3"/>
        <s v="LIVINUS2"/>
        <s v="CONNECT3"/>
        <s v="LYDIA HNSON 2"/>
        <s v="NDOMA BODE I.D4"/>
        <s v="LIVINUS3"/>
        <s v="CONNECT4"/>
        <s v="CONNECT5"/>
        <s v="KARIEN EBAN2"/>
        <s v="EDDY OKO1"/>
        <s v="LYDIA HNSON 3"/>
        <s v="LYDIA HNSON 4"/>
        <s v=" MAXWELL AGRO2"/>
        <s v="ANDRDEW GREAT2"/>
        <s v="ANDRDEW GREAT3"/>
        <s v="MATIAT REINA1"/>
        <s v="ASMAN1"/>
        <s v="JAMES AKAN2"/>
        <s v="LYDIA HNSON 5"/>
        <s v=" MAXWELL AGRO3"/>
        <s v="LIVINUS4"/>
        <s v=" MAXWELL AGRO4"/>
        <s v="LYDIA HNSON 6"/>
        <s v="OTU KOKO KEIBO2"/>
        <s v="LIVINUS5"/>
        <s v="NDOMA PETER1"/>
        <s v="JAMES AKAN3"/>
        <s v="ZULU &amp; NDOMA2"/>
        <s v="LIVINUS6"/>
        <s v="LIVINUS7"/>
        <s v="CONNECT6"/>
        <s v="CONNECT7"/>
        <s v="ZULU &amp; NDOMA3"/>
        <s v="CORNWELL4"/>
        <s v="CONNECT8"/>
        <s v="ANDRDEW GREAT4"/>
        <s v="ALFRED ALABI1"/>
        <s v="EDWARD OKO2"/>
        <s v="RECTOR W.6"/>
        <s v="NDOMA BODE I.D5"/>
        <s v="OBINNA CHIELO1"/>
        <s v=" MAXWELL AGRO5"/>
        <s v="EMMANUEL OKO 1"/>
        <s v="ETUK EFFI2"/>
        <s v="RECTOR W.7"/>
        <s v="OTU KOKO KEIBO3"/>
        <s v="REIMON ALABA1"/>
        <s v="LYDIA HNSON 7"/>
        <s v="ETUK EFFI3"/>
        <s v="MATIAT LOVE1"/>
        <s v="CONFIDENCE2"/>
        <s v="ABANG. EDET1"/>
        <s v="LYDIA HNSON 8"/>
        <s v="LYDIA HNSON 9"/>
        <s v="LYDIA HNSON 10"/>
        <s v="EDWARD OKO3"/>
        <s v="EDDY OKO2"/>
        <s v="EDWARD OKO4"/>
        <s v="ETUK EFFI4"/>
        <s v="LIVINUS8"/>
        <s v="LYDIA HNSON 11"/>
        <s v="OBI BESONG1"/>
        <s v="KARIEN EBAN3"/>
        <s v="LIVINUS9"/>
        <s v="EDWARD OKO5"/>
        <s v="CHINWE CHIDI1"/>
        <s v="JAMES AKAN4"/>
        <s v="NDOMA BODE I.D6"/>
        <s v="EUGENE1"/>
        <s v="RECTOR W.8"/>
        <s v="REMMY BODES3"/>
        <s v="ABANG. DUNLOP1"/>
        <s v="BOSURU  BOSURU2"/>
        <s v="CORNWELL5"/>
        <s v="CORNWELL6"/>
        <s v=" MAXWELL AGRO6"/>
        <s v="CONNECT9"/>
        <s v="PRINNESS2"/>
        <s v="LIVINUS10"/>
        <s v="LYDIA HNSON 12"/>
        <s v="NDOMA PETER2"/>
        <s v="ALFRED ALABI2"/>
        <s v="CONNECT10"/>
        <s v="OBINNA CHIELO2"/>
        <s v="RECTOR W.9"/>
        <s v="RECTOR W.10"/>
        <s v="ETUK EFFI5"/>
        <s v=" MAXWELL AGRO7"/>
        <s v="NDOMA BODE I.D7"/>
        <s v="JAMES AKAN5"/>
        <s v="MAXWELL AGRO OBI2"/>
        <s v="REMMY BODES4"/>
        <s v="NDOMA BODE I.D8"/>
        <s v="BOSURU  BOSURU3"/>
        <s v="PRINNESS3"/>
        <s v="JAMES AKAN6"/>
        <s v="NDOMA BODE I.D9"/>
        <s v="JAMES AKAN7"/>
        <s v="MAXWELL AGRO OBI3"/>
        <s v="LYDIA HNSON 13"/>
        <s v="EUGENE2"/>
        <s v="EMMANUEL OKO 2"/>
        <s v="CORNWELL7"/>
        <s v="ALFRED ALABI3"/>
        <s v="CONNECT11"/>
        <s v="CONNECT12"/>
        <s v="RECTOR W.11"/>
        <s v=" MAXWELL AGRO8"/>
        <s v="OBIM TIWA HNSON1"/>
        <s v="DUN SUNDAY NDOMA (NATION)1"/>
        <s v="ALFRED ALABI4"/>
        <s v="A. D. FREDERICK1"/>
        <s v="EMMANUEL OKO 3"/>
        <s v="RECTOR W.12"/>
        <s v="CORNWELL8"/>
        <s v="RECTOR W.13"/>
        <s v="ZULU &amp; NDOMA4"/>
        <s v="RECTOR W.14"/>
        <s v="ETUK EFFI6"/>
        <s v="RECTOR W.15"/>
        <s v="BOSURU  BOSURU4"/>
        <s v="NDOMA BODE I.D10"/>
        <s v="NDOMA PETER3"/>
        <s v="EDWARD OKO6"/>
        <s v="ALFRED ALABI5"/>
        <s v="RECTOR W.16"/>
        <s v="ZULU &amp; NDOMA5"/>
        <s v="BOSURU  BOSURU5"/>
        <s v="EUGENE3"/>
        <s v="EMMANUEL OKO 4"/>
        <s v="NDOMA PETER4"/>
        <s v="NDOMA BODE I.D11"/>
        <s v="CONNECT13"/>
        <s v="CONNECT14"/>
        <s v="NDOMA BODE I.D12"/>
        <s v="LIVINUS11"/>
        <s v="ETUK EFFI7"/>
        <s v="NAOMI2"/>
        <s v="RI SAMP2"/>
        <s v="JAMES AKAN8"/>
        <s v="EMMANUEL OKO 5"/>
        <s v="EUGENE4"/>
        <s v="BOSURU  BOSURU6"/>
        <s v="A. D. FREDERICK2"/>
        <s v="A. D. FREDERICK3"/>
        <s v="NDOMA PETER5"/>
        <s v="NDOMA NDOMA1"/>
        <s v="REMMY BODES5"/>
        <s v="ZULU &amp; NDOMA6"/>
        <s v="LIVINUS12"/>
        <s v="OMODION1"/>
        <s v="AUGUSTINE IGBA2"/>
        <s v="ETUK EFFI8"/>
        <s v="LYDIA HNSON 14"/>
        <s v="LIVINUS13"/>
        <s v="ANDRDEW GREAT5"/>
        <s v="OMODION2"/>
        <s v="OBIM TIWA HNSON2"/>
        <s v="OBIM TIWA HNSON3"/>
        <s v="EDWARD OKO7"/>
        <s v="A. D. FREDERICK4"/>
        <s v="ANDRDEW GREAT6"/>
        <s v="CONNECT15"/>
        <s v="ETUK EFFI9"/>
        <s v="ANDRDEW GREAT7"/>
        <s v="RECTOR W.17"/>
        <s v="ZULU &amp; NDOMA7"/>
        <s v="MATIAT LOVE2"/>
        <s v="KARIEN EBAN4"/>
        <s v="A. D. FREDERICK5"/>
        <s v="LIVINUS14"/>
        <s v="KARIEN EBAN5"/>
        <s v="MATIAT LOVE3"/>
        <s v="MATIAT LOVE4"/>
        <s v="AUGUSTINE IGBA3"/>
        <s v="EDWARD OKO8"/>
        <s v="ALFRED ALABI6"/>
        <s v="ALFRED ALABI7"/>
        <s v="AUGUSTINE IGBA4"/>
        <s v="ALFRED ALABI8"/>
        <s v="ALFRED ALABI9"/>
        <s v="KARIEN EBAN6"/>
        <s v="KARIEN EBAN7"/>
        <s v="RECTOR W.18"/>
        <s v="LYDIA HNSON 15"/>
        <s v="BOSURU  BOSURU7"/>
        <s v="R.  MAXWELL AGRO2"/>
        <s v="EDWARD OKO9"/>
        <s v="PAPA AJASCO BETTE2"/>
        <s v=" MAXWELL AGRO9"/>
        <s v=" MAXWELL AGRO10"/>
        <s v=" MAXWELL AGRO11"/>
        <s v="REIMON ALABA2"/>
        <s v="LYDIA HNSON 16"/>
        <s v="NEIGHBOR1"/>
        <s v="NEIGHBOR2"/>
        <s v="NDOMA BODE I.D13"/>
        <s v="ANDRDEW GREAT8"/>
        <s v="EDWARD OKO10"/>
        <s v="LYDIA HNSON 17"/>
        <s v="LIVINUS15"/>
        <s v="MAXWELL AGRO OBI4"/>
        <s v="NDOMA BODE I.D14"/>
        <s v="EUGENE5"/>
        <s v="NEIGHBOR3"/>
        <s v="LYDIA HNSON 18"/>
        <s v="A. D. FREDERICK6"/>
        <s v="CONNECT16"/>
        <s v="AUGUSTINE IGBA5"/>
        <s v="OTU KOKO KEIBO4"/>
        <s v="NDOMA PRIN1"/>
        <s v="ETUK EFFI10"/>
        <s v="OTU KOKO KEIBO5"/>
        <s v="NAOMI3"/>
        <s v="RECTOR W.19"/>
        <s v="NDOMA PRIN2"/>
        <s v="OTU KOKO KEIBO6"/>
        <s v="REMMY BODES6"/>
        <s v="LYDIA HNSON 19"/>
        <s v="SEPH LOVE1"/>
        <s v="A. D. FREDERICK7"/>
        <s v="OTU KOKO KEIBO7"/>
        <s v="EMMANUEL OKO 6"/>
        <s v="BOSURU  BOSURU8"/>
        <s v="NDOMA PETER6"/>
        <s v="NDOMA PETER7"/>
        <s v="LIVINUS16"/>
        <s v="BOSURU  BOSURU9"/>
        <s v="FRANCIS KEIBO2"/>
        <s v="BOSURU  BOSURU10"/>
        <s v="BOSURU  BOSURU11"/>
        <s v="BOSURU  BOSURU12"/>
        <s v="BOSURU  BOSURU13"/>
        <s v="BOSURU  BOSURU14"/>
        <s v="BOSURU  BOSURU15"/>
        <s v="MAXWELL AGRO PRIN2"/>
        <s v="NDOMA NDOMA2"/>
        <s v="ZULU 1"/>
        <s v="ZULU &amp; NDOMA8"/>
        <s v="NDOMA PRIN3"/>
        <s v="ZULU &amp; NDOMA9"/>
        <s v="ZULU 2"/>
        <s v="NDOMA NDOMA3"/>
        <s v="RECTOR W.20"/>
        <s v="CONNECT17"/>
        <s v="LYDIA HNSON 20"/>
        <s v="EDWARD OKO11"/>
        <s v="ANDRDEW GREAT9"/>
        <s v="REIMON ALABA3"/>
        <s v="NDOMA NDOMA4"/>
        <s v="CONFIDENCE3"/>
        <s v="NDOMA PETER8"/>
        <s v="CONFIDENCE4"/>
        <s v="ABANGS. HNSON1"/>
        <s v="ABANG. BEN OLUM2"/>
        <s v="ABANG. EDET2"/>
        <s v="ABANG. DUNLOP2"/>
        <s v="OBIM TIWA HNSON4"/>
        <s v="RI SAMP3"/>
        <s v="REMMY BODES7"/>
        <s v="ALFRED ALABI10"/>
        <s v="OMODION3"/>
        <s v="EMMANUEL OKO 7"/>
        <s v="EUGENE6"/>
        <s v="MAXWELL AGRO OBI5"/>
        <s v="BOSURU  BOSURU16"/>
        <s v=" MAXWELL AGRO12"/>
        <s v="NDOMA NDOMA5"/>
        <s v="AUGUSTINE IGBA6"/>
        <s v="PAPA AJASCO BETTE3"/>
        <s v="CONFIDENCE5"/>
        <s v="EDWARD OKO12"/>
        <s v="FRANCIS KEIBO3"/>
        <s v="AGEGE BOY2"/>
        <s v="MATIAT REINA2"/>
        <s v="OSIM MARIAM2"/>
        <s v="PRINNESS4"/>
        <s v="MALACHY1"/>
        <s v="ETUK EFFI11"/>
        <s v="CHINWE CHIDI2"/>
        <s v="ETUK EFFI12"/>
        <s v="ABANG FREDINARD2"/>
        <m/>
        <s v=" MAXWELL AGRO13"/>
        <s v="ABANG FREDINARD3"/>
        <s v="ABANG. AM1"/>
        <s v="A. D. FREDERICK8"/>
        <s v="FREDERICK1"/>
        <s v="AGEGE BOY3"/>
        <s v="CORNWELL9"/>
        <s v="BOSURU  BOSURU17"/>
        <s v="REMMY BODES8"/>
        <s v="BOSURU  BOSURU18"/>
        <s v="OTU KOKO KEIBO8"/>
        <s v="CORNWELL10"/>
        <s v="ALFRED ALABI11"/>
        <s v="AGEGE BOY4"/>
        <s v="LYDIA HNSON 21"/>
        <s v="AGEGE BOY5"/>
        <s v="ABANG. ODI1"/>
        <s v="ABANG. ORU1"/>
        <s v=" MAXWELL AGRO14"/>
        <s v="BOSURU  BOSURU19"/>
        <s v="REMMY BODES9"/>
        <s v="A. D. FREDERICK9"/>
        <s v="PRINNESS5"/>
        <s v="LYDIA HNSON 22"/>
        <s v="LYDIA HNSON 23"/>
        <s v="LYDIA HNSON 24"/>
        <s v="LYDIA HNSON 25"/>
        <s v=" MAXWELL AGRO15"/>
        <s v="PRINNESS6"/>
        <s v="ANDRDEW GREAT10"/>
        <s v=" MAXWELL AGRO16"/>
        <s v="ALFRED ALABI12"/>
        <s v="AUGUSTINE IGBA7"/>
        <s v="NDOMA PRIN4"/>
        <s v="PRINNESS7"/>
        <s v="LIVINUS17"/>
        <s v="ANDRDEW GREAT11"/>
        <s v="CONNECT18"/>
        <s v="LYDIA HNSON 26"/>
        <s v="LYDIA HNSON 27"/>
        <s v="ZULU 3"/>
        <s v="OTU KOKO KEIBO9"/>
        <s v="OTU KOKO KEIBO10"/>
        <s v="ABANG. DUNLOP3"/>
        <s v="CONNECT19"/>
        <s v="OSIM MARIAM3"/>
        <s v="OSIM MARIAM4"/>
        <s v="EUGENE7"/>
        <s v="OTU KOKO KEIBO11"/>
        <s v="CONNECT20"/>
        <s v="COLLABS2"/>
        <s v="KARIEN EBAN8"/>
        <s v="NDOMA PRIN5"/>
        <s v="MAXWELL AGRO PRIN3"/>
        <s v="LIVINUS18"/>
        <s v="ETUK EFFI13"/>
        <s v="NDOMA BODE I.D15"/>
        <s v="A. D. FREDERICK10"/>
        <s v="MATIAT LOVE5"/>
        <s v="OTU KOKO KEIBO12"/>
        <s v="A. D. FREDERICK11"/>
        <s v="ETUK EFFI14"/>
        <s v="KARIEN EBAN9"/>
        <s v="KARIEN EBAN10"/>
        <s v="AUGUSTINE IGBA8"/>
        <s v="AUGUSTINE IGBA9"/>
        <s v="AUGUSTINE IGBA10"/>
        <s v="ABANG. MOSES1"/>
        <s v="ANDRDEW GREAT12"/>
        <s v=" OP OCHICHIE2"/>
        <s v="R.  MAXWELL AGRO3"/>
        <s v="EDWARD OKO13"/>
        <s v="ANDRDEW GREAT13"/>
        <s v="ANDRDEW GREAT14"/>
        <s v="BOSURU  BOSURU20"/>
        <s v="R.  MAXWELL AGRO4"/>
        <s v="PRIN M. BOSURU1"/>
        <s v="CONNECT21"/>
        <s v="CONFIDENCE6"/>
        <s v="CHINWE CHIDI3"/>
        <s v="CONFIDENCE7"/>
        <s v="EMMANUEL OKO 8"/>
        <s v=" MAXWELL AGRO17"/>
        <s v="UNCLE BIGGIE1"/>
        <s v="ETUK EFFI15"/>
        <s v="ETUK EFFI16"/>
        <s v="PRIN M. BOSURU2"/>
        <s v="CONFIDENCE8"/>
        <s v="EMMANUEL OKO 9"/>
        <s v="UNCLE BIGGIE2"/>
        <s v="CONNECT22"/>
        <s v="EDWARD OKO14"/>
        <s v="EDWARD OKO15"/>
        <s v="UNCLE BIGGIE3"/>
        <s v="UNCLE BIGGIE4"/>
        <s v="AUGUSTINE IGBA11"/>
        <s v=" MAXWELL AGRO18"/>
        <s v="ETUK EFFI17"/>
        <s v="NAOMI4"/>
        <s v="ABANG. ORU2"/>
        <s v="CONNECT23"/>
        <s v="LYDIA HNSON 28"/>
        <s v="CONNECT24"/>
        <s v="ANDRDEW GREAT15"/>
        <s v="ETUK EFFI18"/>
        <s v="GIFT GABRIEL1"/>
        <s v=" MAXWELL AGRO19"/>
        <s v="OSIM MARIAM5"/>
        <s v="NDOMA BODE I.D16"/>
        <s v="ABANG. ORU3"/>
        <s v="BLESSING CHAPMAN1"/>
        <s v="OTU KOKO KEIBO13"/>
        <s v="NDOMA PETER9"/>
        <s v="NDOMA BODE I.D17"/>
        <s v="EMMANUEL OKO 10"/>
        <s v="A. D. FREDERICK12"/>
        <s v="REMMY BODES10"/>
        <s v="NELSON &amp; PALUS1"/>
        <s v="OTU KOKO KEIBO14"/>
        <s v="COPPA NKU1"/>
        <s v="AUGUSTINE IGBA12"/>
        <s v="LIVINUS19"/>
        <s v="NDOMA BODE I.D18"/>
        <s v="NDOMA PETER10"/>
        <s v="RI SAMP4"/>
        <s v="PRIN M. BOSURU3"/>
        <s v="EUGENE8"/>
        <s v="ETUK EFFI19"/>
        <s v="LYDIA HNSON 29"/>
        <s v="REMMY BODES11"/>
        <s v="FRANCIS KEIBO4"/>
        <s v="AUGUSTINE IGBA13"/>
        <s v="CONNECT25"/>
        <s v="ETIM SUNDAY1"/>
        <s v="ABANG. ORU4"/>
        <s v="AGEGE BOY6"/>
        <s v="CHINWE CHIDI4"/>
        <s v="R.  MAXWELL AGRO5"/>
        <s v="PRINNESS8"/>
        <s v="LIVINUS20"/>
        <s v="NDOMA PRIN6"/>
        <s v="BOSURU  BOSURU21"/>
        <s v="MATIAT Y1"/>
        <s v="ALFRED ALABI13"/>
        <s v="BOSURU  BOSURU22"/>
        <s v="SAMUEL KEIBO1"/>
        <s v="AGEGE BOY7"/>
        <s v="OTU KOKO KEIBO15"/>
        <s v="OTU KOKO KEIBO16"/>
        <s v="R.  MAXWELL AGRO6"/>
        <s v="OTU KOKO KEIBO17"/>
        <s v="NELSON &amp; PALUS2"/>
        <s v="ANDRDEW GREAT16"/>
        <s v="BOSURU  BOSURU23"/>
        <s v="CHINWE CHIDI5"/>
        <s v="ETUK EFFI20"/>
        <s v="AGEGE BOY8"/>
        <s v="NELSON &amp; PALUS3"/>
        <s v="NELSON &amp; PALUS4"/>
        <s v="UNCLE BIGGIE5"/>
        <s v="OTU KOKO KEIBO18"/>
        <s v="OTU KOKO KEIBO19"/>
        <s v="OTU KOKO KEIBO20"/>
        <s v="OTU KOKO KEIBO21"/>
        <s v="OTU KOKO KEIBO22"/>
        <s v="REIMON ALABA4"/>
        <s v=" MAXWELL AGRO20"/>
      </sharedItems>
    </cacheField>
    <cacheField name="12/10/2020 GROSS WT" numFmtId="0">
      <sharedItems containsString="0" containsBlank="1" containsNumber="1" containsInteger="1">
        <m/>
        <n v="1316.0"/>
        <n v="1916.0"/>
        <n v="223.0"/>
        <n v="1065.0"/>
        <n v="854.0"/>
        <n v="644.0"/>
        <n v="1166.0"/>
        <n v="387.0"/>
        <n v="1372.0"/>
        <n v="795.0"/>
        <n v="982.0"/>
        <n v="272.0"/>
        <n v="985.0"/>
        <n v="1698.0"/>
        <n v="591.0"/>
        <n v="1515.0"/>
        <n v="1283.0"/>
        <n v="1388.0"/>
        <n v="605.0"/>
        <n v="256.0"/>
        <n v="198.0"/>
        <n v="65.0"/>
        <n v="125.0"/>
        <n v="389.0"/>
        <n v="222.0"/>
        <n v="114.0"/>
        <n v="193.0"/>
        <n v="192.0"/>
        <n v="367.0"/>
        <n v="263.0"/>
        <n v="228.0"/>
        <n v="384.0"/>
        <n v="189.0"/>
        <n v="17903.0"/>
        <n v="908.0"/>
        <n v="1397.0"/>
        <n v="1596.0"/>
        <n v="1040.0"/>
        <n v="1420.0"/>
        <n v="129.0"/>
        <n v="232.0"/>
        <n v="212.0"/>
        <n v="133.0"/>
        <n v="798.0"/>
        <n v="93.0"/>
        <n v="321.0"/>
        <n v="447.0"/>
        <n v="2652.0"/>
        <n v="1686.0"/>
        <n v="120.0"/>
        <n v="1643.0"/>
        <n v="1396.0"/>
        <n v="390.0"/>
        <n v="1764.0"/>
        <n v="657.0"/>
        <n v="638.0"/>
        <n v="1304.0"/>
        <n v="2512.0"/>
        <n v="623.0"/>
        <n v="135.0"/>
        <n v="768.0"/>
        <n v="96.0"/>
        <n v="137.0"/>
        <n v="420.0"/>
        <n v="403.0"/>
        <n v="338.0"/>
        <n v="1250.0"/>
        <n v="3885.0"/>
        <n v="2526.0"/>
        <n v="312.0"/>
        <n v="5590.0"/>
        <n v="1531.0"/>
        <n v="122.0"/>
        <n v="1429.0"/>
        <n v="203.0"/>
        <n v="502.0"/>
        <n v="179.0"/>
        <n v="39.0"/>
        <n v="668.0"/>
        <n v="324.0"/>
        <n v="1458.0"/>
        <n v="1907.0"/>
        <n v="1960.0"/>
        <n v="1697.0"/>
        <n v="1412.0"/>
        <n v="398.0"/>
        <n v="2828.0"/>
        <n v="2070.0"/>
        <n v="1509.0"/>
        <n v="1689.0"/>
        <n v="482.0"/>
        <n v="512.0"/>
        <n v="5466.0"/>
        <n v="2711.0"/>
        <n v="6468.0"/>
        <n v="1583.0"/>
        <n v="74.0"/>
        <n v="2220.0"/>
        <n v="2253.0"/>
        <n v="1553.0"/>
        <n v="2661.0"/>
        <n v="1943.0"/>
        <n v="456.0"/>
        <n v="626.0"/>
      </sharedItems>
    </cacheField>
    <cacheField name=" TOTAL MST" numFmtId="0">
      <sharedItems containsString="0" containsBlank="1" containsNumber="1">
        <m/>
        <n v="160.0"/>
        <n v="240.0"/>
        <n v="32.0"/>
        <n v="140.0"/>
        <n v="112.5"/>
        <n v="92.5"/>
        <n v="173.0"/>
        <n v="48.0"/>
        <n v="182.5"/>
        <n v="104.0"/>
        <n v="128.0"/>
        <n v="122.5"/>
        <n v="208.0"/>
        <n v="72.0"/>
        <n v="176.0"/>
        <n v="136.0"/>
        <n v="80.0"/>
        <n v="24.0"/>
        <n v="8.0"/>
        <n v="16.0"/>
        <n v="41.0"/>
        <n v="21.0"/>
        <n v="43.0"/>
        <n v="43.5"/>
        <n v="18.0"/>
        <n v="1464.0"/>
        <n v="129.0"/>
        <n v="198.0"/>
        <n v="211.5"/>
        <n v="120.0"/>
        <n v="23.66"/>
        <n v="25.5"/>
        <n v="40.0"/>
        <n v="67.5"/>
        <n v="328.0"/>
        <n v="246.5"/>
        <n v="194.5"/>
        <n v="57.5"/>
        <n v="256.0"/>
        <n v="93.0"/>
        <n v="102.0"/>
        <n v="168.0"/>
        <n v="320.0"/>
        <n v="26.5"/>
        <n v="96.0"/>
        <n v="56.0"/>
        <n v="749.5"/>
        <n v="296.0"/>
        <n v="742.0"/>
        <n v="211.0"/>
        <n v="199.0"/>
        <n v="64.0"/>
        <n v="57.0"/>
        <n v="228.5"/>
        <n v="232.0"/>
        <n v="269.0"/>
        <n v="200.5"/>
        <n v="55.0"/>
        <n v="348.0"/>
        <n v="325.5"/>
        <n v="164.0"/>
        <n v="78.0"/>
        <n v="89.0"/>
        <n v="723.0"/>
        <n v="344.0"/>
        <n v="999.5"/>
        <n v="200.0"/>
        <n v="11.5"/>
        <n v="331.0"/>
        <n v="278.0"/>
        <n v="206.5"/>
        <n v="224.0"/>
        <n v="106.0"/>
      </sharedItems>
    </cacheField>
    <cacheField name=" QTY" numFmtId="0">
      <sharedItems containsString="0" containsBlank="1" containsNumber="1" containsInteger="1">
        <m/>
        <n v="0.0"/>
      </sharedItems>
    </cacheField>
    <cacheField name=" TOTAL BAGS" numFmtId="0">
      <sharedItems containsString="0" containsBlank="1" containsNumber="1" containsInteger="1">
        <m/>
        <n v="20.0"/>
        <n v="30.0"/>
        <n v="4.0"/>
        <n v="17.0"/>
        <n v="13.0"/>
        <n v="10.0"/>
        <n v="19.0"/>
        <n v="6.0"/>
        <n v="21.0"/>
        <n v="16.0"/>
        <n v="15.0"/>
        <n v="26.0"/>
        <n v="9.0"/>
        <n v="22.0"/>
        <n v="3.0"/>
        <n v="1.0"/>
        <n v="2.0"/>
        <n v="5.0"/>
        <n v="183.0"/>
        <n v="14.0"/>
        <n v="24.0"/>
        <n v="7.0"/>
        <n v="41.0"/>
        <n v="40.0"/>
        <n v="12.0"/>
        <n v="60.0"/>
        <n v="37.0"/>
        <n v="85.0"/>
        <n v="23.0"/>
        <n v="8.0"/>
        <n v="29.0"/>
        <n v="33.0"/>
        <n v="83.0"/>
        <n v="43.0"/>
        <n v="100.0"/>
        <n v="25.0"/>
        <n v="32.0"/>
        <n v="28.0"/>
      </sharedItems>
    </cacheField>
    <cacheField name="  CHINA BAGS" numFmtId="0">
      <sharedItems containsString="0" containsBlank="1" containsNumber="1" containsInteger="1">
        <m/>
        <n v="0.0"/>
        <n v="21.0"/>
        <n v="2.0"/>
        <n v="4.0"/>
        <n v="3.0"/>
        <n v="183.0"/>
        <n v="1.0"/>
        <n v="20.0"/>
      </sharedItems>
    </cacheField>
    <cacheField name=" UNIT PRC" numFmtId="0">
      <sharedItems containsString="0" containsBlank="1" containsNumber="1">
        <m/>
        <n v="780.0"/>
        <n v="790.0"/>
        <n v="783.74"/>
        <n v="795.0"/>
        <n v="795.87"/>
        <n v="800.0"/>
        <n v="761.6"/>
        <n v="761.31"/>
        <n v="750.0"/>
        <n v="762.44"/>
        <n v="647.43"/>
        <n v="820.0"/>
        <n v="552.07"/>
        <n v="810.0"/>
        <n v="830.0"/>
        <n v="537.65"/>
        <n v="825.35"/>
        <n v="850.0"/>
        <n v="840.0"/>
        <n v="839.95"/>
        <n v="836.6"/>
        <n v="920.0"/>
        <n v="870.0"/>
        <n v="880.0"/>
        <n v="860.0"/>
        <n v="666.67"/>
        <n v="837.06"/>
        <n v="890.0"/>
        <n v="2568.54"/>
        <n v="1766.67"/>
        <n v="900.0"/>
        <n v="935.68"/>
        <n v="940.0"/>
        <n v="950.0"/>
        <n v="927.95"/>
        <n v="979.11"/>
        <n v="0.0"/>
        <n v="960.0"/>
        <n v="946.6"/>
        <n v="1334.3"/>
        <n v="965.97"/>
        <n v="961.47"/>
        <n v="929.9"/>
        <n v="966.27"/>
        <n v="970.6"/>
      </sharedItems>
    </cacheField>
    <cacheField name=" ADVANCE" numFmtId="0">
      <sharedItems containsString="0" containsBlank="1" containsNumber="1" containsInteger="1">
        <n v="521000.0"/>
        <n v="555000.0"/>
        <n v="700000.0"/>
        <n v="328000.0"/>
        <n v="497440.0"/>
        <n v="409300.0"/>
        <n v="1090000.0"/>
        <n v="126000.0"/>
        <n v="400000.0"/>
        <n v="187000.0"/>
        <n v="1000000.0"/>
        <n v="620000.0"/>
        <n v="2399925.0"/>
        <n v="2.025962E7"/>
        <n v="340094.0"/>
        <n v="120000.0"/>
        <n v="300000.0"/>
        <n v="200000.0"/>
        <n v="1200000.0"/>
        <n v="323719.0"/>
        <n v="2600000.0"/>
        <n v="1.3090265E7"/>
        <n v="500000.0"/>
        <n v="840000.0"/>
        <n v="920000.0"/>
        <n v="510000.0"/>
        <n v="1517570.0"/>
        <n v="800000.0"/>
        <n v="2376910.0"/>
        <n v="46550.0"/>
        <n v="249707.0"/>
        <n v="535525.0"/>
        <n v="1318980.0"/>
        <n v="16000.0"/>
        <n v="30000.0"/>
        <n v="215000.0"/>
        <n v="190000.0"/>
        <n v="150000.0"/>
        <n v="879440.0"/>
        <n v="280000.0"/>
        <n v="237000.0"/>
        <n v="220000.0"/>
        <n v="1500000.0"/>
        <n v="165400.0"/>
        <n v="5000.0"/>
        <n v="5000000.0"/>
        <n v="240000.0"/>
        <n v="245000.0"/>
        <m/>
        <n v="567000.0"/>
        <n v="50000.0"/>
        <n v="25550.0"/>
        <n v="100000.0"/>
        <n v="500.0"/>
        <n v="140000.0"/>
        <n v="2.3E7"/>
        <n v="1680000.0"/>
        <n v="-145000.0"/>
        <n v="29000.0"/>
        <n v="112080.0"/>
        <n v="884520.0"/>
        <n v="-5000.0"/>
        <n v="-23920.0"/>
        <n v="9000.0"/>
        <n v="3725000.0"/>
        <n v="480000.0"/>
        <n v="2500000.0"/>
        <n v="235000.0"/>
        <n v="358880.0"/>
        <n v="600000.0"/>
        <n v="20000.0"/>
        <n v="1000.0"/>
        <n v="-200000.0"/>
        <n v="1440000.0"/>
        <n v="75000.0"/>
        <n v="359600.0"/>
        <n v="310000.0"/>
        <n v="720000.0"/>
        <n v="111800.0"/>
        <n v="2000.0"/>
        <n v="90000.0"/>
        <n v="250000.0"/>
        <n v="3000.0"/>
        <n v="3.642825E7"/>
        <n v="1530000.0"/>
        <n v="1379140.0"/>
        <n v="484800.0"/>
        <n v="14400.0"/>
        <n v="3000000.0"/>
        <n v="512000.0"/>
        <n v="10000.0"/>
        <n v="429600.0"/>
        <n v="670000.0"/>
        <n v="1250000.0"/>
        <n v="-1000000.0"/>
        <n v="330000.0"/>
        <n v="355880.0"/>
        <n v="1427500.0"/>
        <n v="2000000.0"/>
        <n v="90500.0"/>
        <n v="722000.0"/>
        <n v="85000.0"/>
        <n v="4500.0"/>
        <n v="1990000.0"/>
        <n v="2250000.0"/>
        <n v="1052000.0"/>
        <n v="20400.0"/>
        <n v="35000.0"/>
        <n v="159000.0"/>
        <n v="1105000.0"/>
        <n v="936000.0"/>
        <n v="635000.0"/>
        <n v="262000.0"/>
        <n v="4000.0"/>
        <n v="-100000.0"/>
        <n v="1140000.0"/>
        <n v="49500.0"/>
        <n v="74000.0"/>
        <n v="192580.0"/>
        <n v="790000.0"/>
        <n v="160000.0"/>
        <n v="1930000.0"/>
        <n v="9500000.0"/>
        <n v="311280.0"/>
        <n v="1281400.0"/>
        <n v="6000.0"/>
        <n v="80000.0"/>
        <n v="70000.0"/>
        <n v="48000.0"/>
        <n v="56000.0"/>
        <n v="36000.0"/>
        <n v="600.0"/>
        <n v="-35000.0"/>
        <n v="750000.0"/>
        <n v="340000.0"/>
        <n v="1553900.0"/>
        <n v="1161000.0"/>
        <n v="261700.0"/>
        <n v="520000.0"/>
        <n v="1060000.0"/>
        <n v="1229000.0"/>
        <n v="275000.0"/>
        <n v="20500.0"/>
        <n v="116000.0"/>
        <n v="4000000.0"/>
        <n v="456000.0"/>
        <n v="367000.0"/>
        <n v="1824000.0"/>
        <n v="1600000.0"/>
        <n v="7980000.0"/>
        <n v="1050000.0"/>
        <n v="1553250.0"/>
        <n v="1.17E7"/>
        <n v="1120000.0"/>
        <n v="40000.0"/>
        <n v="304000.0"/>
        <n v="672000.0"/>
        <n v="302800.0"/>
        <n v="450000.0"/>
        <n v="432400.0"/>
        <n v="900000.0"/>
        <n v="-1040700.0"/>
        <n v="112000.0"/>
        <n v="780000.0"/>
        <n v="23000.0"/>
        <n v="1645900.0"/>
        <n v="1520000.0"/>
        <n v="1800000.0"/>
        <n v="661500.0"/>
        <n v="16500.0"/>
        <n v="1439300.0"/>
        <n v="1661000.0"/>
        <n v="570000.0"/>
        <n v="1780700.0"/>
        <n v="12000.0"/>
        <n v="160400.0"/>
        <n v="73500.0"/>
        <n v="234000.0"/>
      </sharedItems>
    </cacheField>
    <cacheField name=" BAL~" numFmtId="4">
      <sharedItems containsString="0" containsBlank="1" containsNumber="1" containsInteger="1">
        <n v="521000.0"/>
        <n v="555000.0"/>
        <n v="700000.0"/>
        <n v="328000.0"/>
        <n v="497440.0"/>
        <n v="409300.0"/>
        <n v="1090000.0"/>
        <n v="126000.0"/>
        <n v="400000.0"/>
        <n v="187000.0"/>
        <n v="1000000.0"/>
        <n v="620000.0"/>
        <n v="2399925.0"/>
        <n v="2.025962E7"/>
        <n v="340094.0"/>
        <n v="120000.0"/>
        <n v="300000.0"/>
        <n v="200000.0"/>
        <n v="1200000.0"/>
        <n v="323719.0"/>
        <n v="2600000.0"/>
        <n v="1.3090265E7"/>
        <n v="500000.0"/>
        <n v="840000.0"/>
        <n v="920000.0"/>
        <n v="510000.0"/>
        <n v="1517570.0"/>
        <n v="800000.0"/>
        <n v="2376910.0"/>
        <n v="46550.0"/>
        <n v="249707.0"/>
        <n v="535525.0"/>
        <n v="1318980.0"/>
        <n v="16000.0"/>
        <n v="30000.0"/>
        <n v="215000.0"/>
        <n v="190000.0"/>
        <n v="150000.0"/>
        <n v="879440.0"/>
        <n v="280000.0"/>
        <n v="237000.0"/>
        <n v="220000.0"/>
        <n v="1500000.0"/>
        <n v="165400.0"/>
        <n v="5000.0"/>
        <n v="5000000.0"/>
        <n v="240000.0"/>
        <n v="245000.0"/>
        <n v="-1010880.0"/>
        <n v="0.0"/>
        <n v="567000.0"/>
        <n v="50000.0"/>
        <n v="25550.0"/>
        <n v="-1471080.0"/>
        <n v="-170820.0"/>
        <n v="-825550.0"/>
        <n v="-652080.0"/>
        <n v="100000.0"/>
        <n v="500.0"/>
        <n v="-490620.0"/>
        <n v="140000.0"/>
        <n v="-884520.0"/>
        <n v="-297180.0"/>
        <n v="2.3E7"/>
        <n v="1680000.0"/>
        <n v="-145000.0"/>
        <n v="29000.0"/>
        <n v="112080.0"/>
        <n v="884520.0"/>
        <n v="-5000.0"/>
        <n v="-23920.0"/>
        <n v="9000.0"/>
        <n v="3725000.0"/>
        <n v="480000.0"/>
        <n v="2500000.0"/>
        <n v="235000.0"/>
        <n v="358880.0"/>
        <n v="600000.0"/>
        <n v="-1063140.0"/>
        <n v="20000.0"/>
        <n v="1000.0"/>
        <n v="-621690.0"/>
        <n v="-767970.0"/>
        <n v="-213060.0"/>
        <n v="-770400.0"/>
        <n v="-200000.0"/>
        <n v="1440000.0"/>
        <n v="75000.0"/>
        <n v="359600.0"/>
        <n v="310000.0"/>
        <n v="720000.0"/>
        <n v="-1337600.0"/>
        <n v="-443250.0"/>
        <n v="-1164540.0"/>
        <n v="-987480.0"/>
        <n v="-1079140.0"/>
        <n v="-454500.0"/>
        <n v="-196560.0"/>
        <n v="-152100.0"/>
        <n v="-49920.0"/>
        <n v="-95940.0"/>
        <n v="-298740.0"/>
        <n v="-85020.0"/>
        <n v="-148200.0"/>
        <n v="-147420.0"/>
        <n v="-280800.0"/>
        <n v="-182400.0"/>
        <n v="-302400.0"/>
        <n v="-141750.0"/>
        <n v="-1.365E7"/>
        <n v="111800.0"/>
        <n v="2000.0"/>
        <n v="90000.0"/>
        <n v="250000.0"/>
        <n v="3000.0"/>
        <n v="3.642825E7"/>
        <n v="1530000.0"/>
        <n v="1379140.0"/>
        <n v="-571680.0"/>
        <n v="-1084800.0"/>
        <n v="-1278380.0"/>
        <n v="-809750.0"/>
        <n v="-1090440.0"/>
        <n v="-101600.0"/>
        <n v="-176800.0"/>
        <n v="-166400.0"/>
        <n v="-97500.0"/>
        <n v="484800.0"/>
        <n v="14400.0"/>
        <n v="3000000.0"/>
        <n v="512000.0"/>
        <n v="10000.0"/>
        <n v="429600.0"/>
        <n v="670000.0"/>
        <n v="1250000.0"/>
        <n v="372000.0"/>
        <n v="-1000000.0"/>
        <n v="330000.0"/>
        <n v="-50790.0"/>
        <n v="-252800.0"/>
        <n v="-355880.0"/>
        <n v="-2144300.0"/>
        <n v="-1344600.0"/>
        <n v="355880.0"/>
        <n v="-95580.0"/>
        <n v="-1322190.0"/>
        <n v="1427500.0"/>
        <n v="2000000.0"/>
        <n v="90500.0"/>
        <n v="-1125480.0"/>
        <n v="-313740.0"/>
        <n v="-917230.0"/>
        <n v="-500000.0"/>
        <n v="722000.0"/>
        <n v="85000.0"/>
        <n v="-527400.0"/>
        <n v="4500.0"/>
        <n v="-521900.0"/>
        <n v="-1052060.0"/>
        <n v="1990000.0"/>
        <n v="2250000.0"/>
        <n v="1052000.0"/>
        <n v="20400.0"/>
        <n v="-2076480.0"/>
        <n v="-508790.0"/>
        <n v="35000.0"/>
        <n v="-100800.0"/>
        <n v="-592260.0"/>
        <n v="159000.0"/>
        <n v="1105000.0"/>
        <n v="936000.0"/>
        <n v="-635000.0"/>
        <n v="635000.0"/>
        <n v="-78640.0"/>
        <n v="-105860.0"/>
        <n v="-338660.0"/>
        <n v="-332640.0"/>
        <n v="-278880.0"/>
        <n v="262000.0"/>
        <n v="4000.0"/>
        <n v="-100000.0"/>
        <n v="-1150000.0"/>
        <n v="-3068520.0"/>
        <n v="-2115650.0"/>
        <n v="-271440.0"/>
        <n v="-4809200.0"/>
        <n v="1140000.0"/>
        <n v="49500.0"/>
        <n v="74000.0"/>
        <n v="-920000.0"/>
        <n v="-1000.0"/>
        <n v="-800000.0"/>
        <n v="-610000.0"/>
        <n v="-429600.0"/>
        <n v="-801060.0"/>
        <n v="-463000.0"/>
        <n v="-530000.0"/>
        <n v="-636750.0"/>
        <n v="-81200.0"/>
        <n v="-253520.0"/>
        <n v="192580.0"/>
        <n v="790000.0"/>
        <n v="160000.0"/>
        <n v="1930000.0"/>
        <n v="9500000.0"/>
        <n v="311280.0"/>
        <n v="1281400.0"/>
        <n v="6000.0"/>
        <n v="-1281400.0"/>
        <n v="-80000.0"/>
        <n v="80000.0"/>
        <n v="70000.0"/>
        <n v="48000.0"/>
        <n v="56000.0"/>
        <n v="36000.0"/>
        <n v="-1161000.0"/>
        <n v="600.0"/>
        <n v="-35000.0"/>
        <n v="750000.0"/>
        <n v="340000.0"/>
        <n v="-177110.0"/>
        <n v="-439660.0"/>
        <n v="-156640.0"/>
        <n v="-34710.0"/>
        <n v="-1553968.0"/>
        <n v="-1229090.0"/>
        <n v="1553900.0"/>
        <n v="1161000.0"/>
        <n v="261700.0"/>
        <n v="520000.0"/>
        <n v="1060000.0"/>
        <n v="1229000.0"/>
        <n v="275000.0"/>
        <n v="20500.0"/>
        <n v="116000.0"/>
        <n v="-1690200.0"/>
        <n v="4000000.0"/>
        <n v="456000.0"/>
        <n v="367000.0"/>
        <n v="1824000.0"/>
        <n v="1600000.0"/>
        <n v="-1783410.0"/>
        <n v="-1503900.0"/>
        <n v="-1237500.0"/>
        <n v="-363780.0"/>
        <n v="-2508300.0"/>
        <n v="-1786500.0"/>
        <n v="-1261800.0"/>
        <n v="-1553250.0"/>
        <n v="7980000.0"/>
        <n v="1050000.0"/>
        <n v="1553250.0"/>
        <n v="1.17E7"/>
        <n v="1120000.0"/>
        <n v="-432400.0"/>
        <n v="-452840.0"/>
        <n v="40000.0"/>
        <n v="304000.0"/>
        <n v="672000.0"/>
        <n v="302800.0"/>
        <n v="450000.0"/>
        <n v="432400.0"/>
        <n v="-5233330.0"/>
        <n v="-5991360.0"/>
        <n v="900000.0"/>
        <n v="-1480100.0"/>
        <n v="-66500.0"/>
        <n v="-1040700.0"/>
        <n v="112000.0"/>
        <n v="780000.0"/>
        <n v="23000.0"/>
        <n v="1645900.0"/>
        <n v="1520000.0"/>
        <n v="1800000.0"/>
        <n v="661500.0"/>
        <n v="16500.0"/>
        <n v="1439300.0"/>
        <n v="1661000.0"/>
        <n v="570000.0"/>
        <n v="1780700.0"/>
        <n v="12000.0"/>
        <n v="-2022890.0"/>
        <n v="-2911450.0"/>
        <n v="-1439300.0"/>
        <n v="-2520000.0"/>
        <n v="-1780750.0"/>
        <n v="-420328.0"/>
        <n v="-582359.0"/>
        <n v="160400.0"/>
        <n v="73500.0"/>
        <n v="234000.0"/>
        <m/>
      </sharedItems>
    </cacheField>
    <cacheField name=" A M" numFmtId="0">
      <sharedItems containsString="0" containsBlank="1" containsNumber="1">
        <m/>
        <n v="8.0"/>
        <n v="8.24"/>
        <n v="8.65"/>
        <n v="9.25"/>
        <n v="9.11"/>
        <n v="8.69"/>
        <n v="8.17"/>
        <n v="8.2"/>
        <n v="10.5"/>
        <n v="8.6"/>
        <n v="10.88"/>
        <n v="9.0"/>
        <n v="9.21"/>
        <n v="9.43"/>
        <n v="8.81"/>
        <n v="11.83"/>
        <n v="8.5"/>
        <n v="9.64"/>
        <n v="9.48"/>
        <n v="9.73"/>
        <n v="9.58"/>
        <n v="9.85"/>
        <n v="9.3"/>
        <n v="10.2"/>
        <n v="13.25"/>
        <n v="12.49"/>
        <n v="8.73"/>
        <n v="9.17"/>
        <n v="16.0"/>
        <n v="14.25"/>
        <n v="12.03"/>
        <n v="9.28"/>
        <n v="10.55"/>
        <n v="13.56"/>
        <n v="10.25"/>
        <n v="11.14"/>
        <n v="11.13"/>
        <n v="8.71"/>
        <n v="10.0"/>
        <n v="11.5"/>
        <n v="10.34"/>
        <n v="9.93"/>
        <n v="10.87"/>
        <n v="10.6"/>
      </sharedItems>
    </cacheField>
    <cacheField name=" MSTRE DISCT" numFmtId="0">
      <sharedItems containsString="0" containsBlank="1" containsNumber="1" containsInteger="1">
        <n v="0.0"/>
        <n v="3.0"/>
        <n v="5.0"/>
        <n v="8.0"/>
        <n v="13.0"/>
        <n v="9.0"/>
        <n v="2.0"/>
        <n v="1.0"/>
        <n v="7.0"/>
        <n v="4.0"/>
        <n v="11.0"/>
        <n v="20.0"/>
        <n v="24.0"/>
        <n v="6.0"/>
        <n v="32.0"/>
        <n v="14.0"/>
        <n v="172.0"/>
        <n v="40.0"/>
        <n v="18.0"/>
        <m/>
        <n v="21.0"/>
        <n v="53.0"/>
        <n v="58.0"/>
        <n v="25.0"/>
        <n v="15.0"/>
        <n v="52.0"/>
        <n v="83.0"/>
        <n v="38.0"/>
        <n v="16.0"/>
        <n v="127.0"/>
        <n v="51.0"/>
        <n v="43.0"/>
        <n v="44.0"/>
      </sharedItems>
    </cacheField>
    <cacheField name=" BAGS" numFmtId="0">
      <sharedItems containsString="0" containsBlank="1" containsNumber="1" containsInteger="1">
        <n v="0.0"/>
        <n v="20.0"/>
        <n v="29.0"/>
        <n v="3.0"/>
        <n v="16.0"/>
        <n v="13.0"/>
        <n v="9.0"/>
        <n v="18.0"/>
        <n v="6.0"/>
        <n v="21.0"/>
        <n v="12.0"/>
        <n v="15.0"/>
        <n v="4.0"/>
        <n v="26.0"/>
        <n v="23.0"/>
        <n v="1.0"/>
        <n v="5.0"/>
        <n v="284.0"/>
        <n v="14.0"/>
        <n v="24.0"/>
        <n v="22.0"/>
        <n v="2.0"/>
        <n v="41.0"/>
        <n v="25.0"/>
        <n v="27.0"/>
        <n v="10.0"/>
        <n v="39.0"/>
        <n v="19.0"/>
        <n v="57.0"/>
        <n v="86.0"/>
        <m/>
        <n v="7.0"/>
        <n v="30.0"/>
        <n v="44.0"/>
        <n v="31.0"/>
        <n v="84.0"/>
        <n v="42.0"/>
        <n v="99.0"/>
        <n v="33.0"/>
        <n v="34.0"/>
      </sharedItems>
    </cacheField>
    <cacheField name=" KGS" numFmtId="0">
      <sharedItems containsString="0" containsBlank="1" containsNumber="1" containsInteger="1">
        <n v="0.0"/>
        <n v="36.0"/>
        <n v="59.0"/>
        <n v="30.0"/>
        <n v="37.0"/>
        <n v="17.0"/>
        <n v="2.0"/>
        <n v="40.0"/>
        <n v="26.0"/>
        <n v="21.0"/>
        <n v="16.0"/>
        <n v="23.0"/>
        <n v="34.0"/>
        <n v="14.0"/>
        <n v="44.0"/>
        <n v="5.0"/>
        <n v="43.0"/>
        <n v="6.0"/>
        <n v="60.0"/>
        <n v="4.0"/>
        <n v="46.0"/>
        <n v="45.0"/>
        <n v="39.0"/>
        <n v="11.0"/>
        <n v="33.0"/>
        <n v="47.0"/>
        <n v="12.0"/>
        <n v="32.0"/>
        <n v="19.0"/>
        <n v="29.0"/>
        <n v="56.0"/>
        <n v="31.0"/>
        <n v="55.0"/>
        <n v="8.0"/>
        <n v="22.0"/>
        <n v="15.0"/>
        <n v="35.0"/>
        <n v="18.0"/>
        <n v="53.0"/>
        <n v="61.0"/>
        <n v="41.0"/>
        <n v="57.0"/>
        <m/>
        <n v="9.0"/>
        <n v="50.0"/>
        <n v="38.0"/>
        <n v="48.0"/>
        <n v="58.0"/>
        <n v="51.0"/>
        <n v="52.0"/>
        <n v="3.0"/>
        <n v="7.0"/>
        <n v="24.0"/>
      </sharedItems>
    </cacheField>
    <cacheField name=" PAYABLE" numFmtId="3">
      <sharedItems containsString="0" containsBlank="1" containsNumber="1" containsInteger="1">
        <n v="0.0"/>
        <n v="1296.0"/>
        <n v="1886.0"/>
        <n v="219.0"/>
        <n v="1045.0"/>
        <n v="836.0"/>
        <n v="626.0"/>
        <n v="1134.0"/>
        <n v="381.0"/>
        <n v="1363.0"/>
        <n v="782.0"/>
        <n v="966.0"/>
        <n v="268.0"/>
        <n v="968.0"/>
        <n v="1672.0"/>
        <n v="582.0"/>
        <n v="1493.0"/>
        <n v="1266.0"/>
        <n v="1366.0"/>
        <n v="597.0"/>
        <n v="252.0"/>
        <n v="195.0"/>
        <n v="64.0"/>
        <n v="123.0"/>
        <n v="383.0"/>
        <n v="109.0"/>
        <n v="190.0"/>
        <n v="189.0"/>
        <n v="360.0"/>
        <n v="228.0"/>
        <n v="378.0"/>
        <n v="17903.0"/>
        <n v="883.0"/>
        <n v="1356.0"/>
        <n v="1559.0"/>
        <n v="1025.0"/>
        <n v="1398.0"/>
        <n v="127.0"/>
        <n v="221.0"/>
        <n v="208.0"/>
        <n v="130.0"/>
        <n v="785.0"/>
        <n v="92.0"/>
        <n v="316.0"/>
        <n v="434.0"/>
        <n v="2615.0"/>
        <n v="1660.0"/>
        <n v="118.0"/>
        <n v="1593.0"/>
        <n v="1706.0"/>
        <n v="639.0"/>
        <n v="614.0"/>
        <n v="1283.0"/>
        <n v="2472.0"/>
        <n v="613.0"/>
        <n v="126.0"/>
        <n v="756.0"/>
        <n v="94.0"/>
        <n v="134.0"/>
        <n v="413.0"/>
        <n v="396.0"/>
        <n v="332.0"/>
        <n v="1250.0"/>
        <n v="3653.0"/>
        <n v="2489.0"/>
        <n v="312.0"/>
        <n v="5465.0"/>
        <n v="1490.0"/>
        <n v="120.0"/>
        <m/>
        <n v="1387.0"/>
        <n v="199.0"/>
        <n v="494.0"/>
        <n v="176.0"/>
        <n v="39.0"/>
        <n v="605.0"/>
        <n v="300.0"/>
        <n v="1381.0"/>
        <n v="1878.0"/>
        <n v="1906.0"/>
        <n v="1671.0"/>
        <n v="1375.0"/>
        <n v="387.0"/>
        <n v="2787.0"/>
        <n v="1985.0"/>
        <n v="1402.0"/>
        <n v="1635.0"/>
        <n v="460.0"/>
        <n v="488.0"/>
        <n v="5345.0"/>
        <n v="2668.0"/>
        <n v="6241.0"/>
        <n v="1558.0"/>
        <n v="70.0"/>
        <n v="2137.0"/>
        <n v="2182.0"/>
        <n v="2621.0"/>
        <n v="1915.0"/>
        <n v="435.0"/>
        <n v="600.0"/>
      </sharedItems>
    </cacheField>
    <cacheField name=" AMT" numFmtId="0">
      <sharedItems containsString="0" containsBlank="1" containsNumber="1" containsInteger="1">
        <m/>
        <n v="1010880.0"/>
        <n v="1471080.0"/>
        <n v="170820.0"/>
        <n v="825550.0"/>
        <n v="652080.0"/>
        <n v="490620.0"/>
        <n v="884520.0"/>
        <n v="297180.0"/>
        <n v="1063140.0"/>
        <n v="621690.0"/>
        <n v="767970.0"/>
        <n v="213060.0"/>
        <n v="770400.0"/>
        <n v="1337600.0"/>
        <n v="443250.0"/>
        <n v="1164540.0"/>
        <n v="987480.0"/>
        <n v="1079140.0"/>
        <n v="454500.0"/>
        <n v="196560.0"/>
        <n v="152100.0"/>
        <n v="49920.0"/>
        <n v="95940.0"/>
        <n v="298740.0"/>
        <n v="85020.0"/>
        <n v="148200.0"/>
        <n v="147420.0"/>
        <n v="280800.0"/>
        <n v="182400.0"/>
        <n v="302400.0"/>
        <n v="141750.0"/>
        <n v="1.365E7"/>
        <n v="571680.0"/>
        <n v="1084800.0"/>
        <n v="1278380.0"/>
        <n v="809750.0"/>
        <n v="1090440.0"/>
        <n v="101600.0"/>
        <n v="176800.0"/>
        <n v="166400.0"/>
        <n v="97500.0"/>
        <n v="628000.0"/>
        <n v="50790.0"/>
        <n v="252800.0"/>
        <n v="355880.0"/>
        <n v="2144300.0"/>
        <n v="1344600.0"/>
        <n v="95580.0"/>
        <n v="1322190.0"/>
        <n v="1125480.0"/>
        <n v="313740.0"/>
        <n v="917230.0"/>
        <n v="500000.0"/>
        <n v="527400.0"/>
        <n v="521900.0"/>
        <n v="1052060.0"/>
        <n v="2076480.0"/>
        <n v="508790.0"/>
        <n v="100800.0"/>
        <n v="592260.0"/>
        <n v="635000.0"/>
        <n v="78640.0"/>
        <n v="105860.0"/>
        <n v="338660.0"/>
        <n v="332640.0"/>
        <n v="278880.0"/>
        <n v="1150000.0"/>
        <n v="3068520.0"/>
        <n v="2115650.0"/>
        <n v="271440.0"/>
        <n v="4809200.0"/>
        <n v="920000.0"/>
        <n v="1000.0"/>
        <n v="800000.0"/>
        <n v="610000.0"/>
        <n v="429600.0"/>
        <n v="801060.0"/>
        <n v="463000.0"/>
        <n v="530000.0"/>
        <n v="636750.0"/>
        <n v="81200.0"/>
        <n v="253520.0"/>
        <n v="1281400.0"/>
        <n v="80000.0"/>
        <n v="1161000.0"/>
        <n v="177110.0"/>
        <n v="439660.0"/>
        <n v="156640.0"/>
        <n v="34710.0"/>
        <n v="1553968.0"/>
        <n v="1229090.0"/>
        <n v="1690200.0"/>
        <n v="1783410.0"/>
        <n v="1503900.0"/>
        <n v="1237500.0"/>
        <n v="363780.0"/>
        <n v="2508300.0"/>
        <n v="1786500.0"/>
        <n v="1261800.0"/>
        <n v="1553250.0"/>
        <n v="432400.0"/>
        <n v="452840.0"/>
        <n v="5233330.0"/>
        <n v="5991360.0"/>
        <n v="1480100.0"/>
        <n v="66500.0"/>
        <n v="2022890.0"/>
        <n v="2911450.0"/>
        <n v="1439300.0"/>
        <n v="2520000.0"/>
        <n v="1780750.0"/>
        <n v="420328.0"/>
        <n v="582359.0"/>
      </sharedItems>
    </cacheField>
    <cacheField name=" RUNNING BAL" numFmtId="4">
      <sharedItems containsString="0" containsBlank="1" containsNumber="1" containsInteger="1">
        <n v="521000.0"/>
        <n v="555000.0"/>
        <n v="700000.0"/>
        <n v="328000.0"/>
        <n v="497440.0"/>
        <n v="409300.0"/>
        <n v="1090000.0"/>
        <n v="126000.0"/>
        <n v="400000.0"/>
        <n v="187000.0"/>
        <n v="1000000.0"/>
        <n v="620000.0"/>
        <n v="2399925.0"/>
        <n v="2.025962E7"/>
        <n v="340094.0"/>
        <n v="120000.0"/>
        <n v="300000.0"/>
        <n v="200000.0"/>
        <n v="1200000.0"/>
        <n v="323719.0"/>
        <n v="2600000.0"/>
        <n v="1.3090265E7"/>
        <n v="500000.0"/>
        <n v="840000.0"/>
        <n v="920000.0"/>
        <n v="510000.0"/>
        <n v="1517570.0"/>
        <n v="800000.0"/>
        <n v="2376910.0"/>
        <n v="46550.0"/>
        <n v="249707.0"/>
        <n v="535525.0"/>
        <n v="1318980.0"/>
        <n v="16000.0"/>
        <n v="30000.0"/>
        <n v="215000.0"/>
        <n v="190000.0"/>
        <n v="150000.0"/>
        <n v="879440.0"/>
        <n v="280000.0"/>
        <n v="237000.0"/>
        <n v="220000.0"/>
        <n v="1500000.0"/>
        <n v="165400.0"/>
        <n v="5000.0"/>
        <n v="710000.0"/>
        <n v="5879440.0"/>
        <n v="240000.0"/>
        <n v="245000.0"/>
        <n v="-1010880.0"/>
        <n v="-443880.0"/>
        <n v="-393880.0"/>
        <n v="-363880.0"/>
        <n v="-358880.0"/>
        <n v="1.087944E7"/>
        <n v="1025550.0"/>
        <n v="540000.0"/>
        <n v="-271080.0"/>
        <n v="2429180.0"/>
        <n v="-112080.0"/>
        <n v="28920.0"/>
        <n v="828920.0"/>
        <n v="1600000.0"/>
        <n v="2529180.0"/>
        <n v="2529680.0"/>
        <n v="1026950.0"/>
        <n v="1326950.0"/>
        <n v="545000.0"/>
        <n v="2829680.0"/>
        <n v="-996600.0"/>
        <n v="242820.0"/>
        <n v="2879680.0"/>
        <n v="2.5399925E7"/>
        <n v="683400.0"/>
        <n v="194400.0"/>
        <n v="795480.0"/>
        <n v="1680000.0"/>
        <n v="823920.0"/>
        <n v="203400.0"/>
        <n v="1.460444E7"/>
        <n v="1526950.0"/>
        <n v="480000.0"/>
        <n v="1521000.0"/>
        <n v="2141120.0"/>
        <n v="482820.0"/>
        <n v="235000.0"/>
        <n v="2500000.0"/>
        <n v="2.5999925E7"/>
        <n v="3379680.0"/>
        <n v="136860.0"/>
        <n v="50000.0"/>
        <n v="320000.0"/>
        <n v="1000.0"/>
        <n v="2757990.0"/>
        <n v="1990020.0"/>
        <n v="1776960.0"/>
        <n v="750600.0"/>
        <n v="0.0"/>
        <n v="950600.0"/>
        <n v="1136860.0"/>
        <n v="3120000.0"/>
        <n v="2776960.0"/>
        <n v="2100000.0"/>
        <n v="3195000.0"/>
        <n v="1650600.0"/>
        <n v="100000.0"/>
        <n v="759600.0"/>
        <n v="3300000.0"/>
        <n v="1020000.0"/>
        <n v="1.500444E7"/>
        <n v="1.540444E7"/>
        <n v="982820.0"/>
        <n v="3000000.0"/>
        <n v="3915000.0"/>
        <n v="3276960.0"/>
        <n v="600000.0"/>
        <n v="485000.0"/>
        <n v="1662400.0"/>
        <n v="36750.0"/>
        <n v="2135460.0"/>
        <n v="1147980.0"/>
        <n v="57720.0"/>
        <n v="528320.0"/>
        <n v="1003440.0"/>
        <n v="607500.0"/>
        <n v="450080.0"/>
        <n v="924060.0"/>
        <n v="704700.0"/>
        <n v="1029180.0"/>
        <n v="414980.0"/>
        <n v="459300.0"/>
        <n v="557280.0"/>
        <n v="178500.0"/>
        <n v="253520.0"/>
        <n v="3094560.0"/>
        <n v="197600.0"/>
        <n v="93250.0"/>
        <n v="1754440.0"/>
        <n v="490000.0"/>
        <n v="2162400.0"/>
        <n v="2167400.0"/>
        <n v="1259780.0"/>
        <n v="530320.0"/>
        <n v="90000.0"/>
        <n v="1490000.0"/>
        <n v="250000.0"/>
        <n v="338250.0"/>
        <n v="1262780.0"/>
        <n v="3.818269E7"/>
        <n v="3762780.0"/>
        <n v="208400.0"/>
        <n v="5292780.0"/>
        <n v="1436860.0"/>
        <n v="5367780.0"/>
        <n v="1229180.0"/>
        <n v="-14400.0"/>
        <n v="-484800.0"/>
        <n v="372220.0"/>
        <n v="680250.0"/>
        <n v="4277340.0"/>
        <n v="106800.0"/>
        <n v="1052380.0"/>
        <n v="31200.0"/>
        <n v="240750.0"/>
        <n v="5167400.0"/>
        <n v="5267400.0"/>
        <n v="4427000.0"/>
        <n v="2936860.0"/>
        <n v="1.3100265E7"/>
        <n v="1429600.0"/>
        <n v="848500.0"/>
        <n v="740750.0"/>
        <n v="331200.0"/>
        <n v="1252380.0"/>
        <n v="450000.0"/>
        <n v="750000.0"/>
        <n v="1424060.0"/>
        <n v="206800.0"/>
        <n v="5677000.0"/>
        <n v="2.125962E7"/>
        <n v="3436860.0"/>
        <n v="3466560.0"/>
        <n v="4677000.0"/>
        <n v="1556950.0"/>
        <n v="830000.0"/>
        <n v="590000.0"/>
        <n v="610000.0"/>
        <n v="321430.0"/>
        <n v="497200.0"/>
        <n v="1201070.0"/>
        <n v="3123100.0"/>
        <n v="2092260.0"/>
        <n v="4527340.0"/>
        <n v="406800.0"/>
        <n v="-45580.0"/>
        <n v="777810.0"/>
        <n v="647200.0"/>
        <n v="6104500.0"/>
        <n v="2777810.0"/>
        <n v="-40580.0"/>
        <n v="49920.0"/>
        <n v="2.013414E7"/>
        <n v="7690.0"/>
        <n v="-236980.0"/>
        <n v="363020.0"/>
        <n v="2.213414E7"/>
        <n v="1063020.0"/>
        <n v="1463020.0"/>
        <n v="2277810.0"/>
        <n v="2999810.0"/>
        <n v="4667340.0"/>
        <n v="3566560.0"/>
        <n v="1352380.0"/>
        <n v="890000.0"/>
        <n v="92690.0"/>
        <n v="2920.0"/>
        <n v="302920.0"/>
        <n v="307420.0"/>
        <n v="350000.0"/>
        <n v="3576560.0"/>
        <n v="-21900.0"/>
        <n v="-52060.0"/>
        <n v="1756950.0"/>
        <n v="192690.0"/>
        <n v="5566560.0"/>
        <n v="8354500.0"/>
        <n v="753520.0"/>
        <n v="999940.0"/>
        <n v="1131200.0"/>
        <n v="-1500.0"/>
        <n v="3490080.0"/>
        <n v="138410.0"/>
        <n v="5123100.0"/>
        <n v="2.413414E7"/>
        <n v="2.6034925E7"/>
        <n v="-100800.0"/>
        <n v="2.6084925E7"/>
        <n v="1.3150265E7"/>
        <n v="4767340.0"/>
        <n v="58200.0"/>
        <n v="2.6089925E7"/>
        <n v="1644060.0"/>
        <n v="3525080.0"/>
        <n v="1243410.0"/>
        <n v="2.6109925E7"/>
        <n v="1676750.0"/>
        <n v="1852380.0"/>
        <n v="-35000.0"/>
        <n v="9354500.0"/>
        <n v="1872380.0"/>
        <n v="487000.0"/>
        <n v="1793740.0"/>
        <n v="1687880.0"/>
        <n v="1349220.0"/>
        <n v="1016580.0"/>
        <n v="737700.0"/>
        <n v="999700.0"/>
        <n v="330000.0"/>
        <n v="210000.0"/>
        <n v="4000.0"/>
        <n v="306800.0"/>
        <n v="158200.0"/>
        <n v="204000.0"/>
        <n v="-940000.0"/>
        <n v="1698820.0"/>
        <n v="3007450.0"/>
        <n v="3253640.0"/>
        <n v="-4616510.0"/>
        <n v="2456950.0"/>
        <n v="370000.0"/>
        <n v="320500.0"/>
        <n v="74000.0"/>
        <n v="843000.0"/>
        <n v="1000020.0"/>
        <n v="1040000.0"/>
        <n v="1050000.0"/>
        <n v="1499700.0"/>
        <n v="990000.0"/>
        <n v="2.713414E7"/>
        <n v="380000.0"/>
        <n v="2300000.0"/>
        <n v="4883490.0"/>
        <n v="587000.0"/>
        <n v="611280.0"/>
        <n v="650000.0"/>
        <n v="814980.0"/>
        <n v="2781400.0"/>
        <n v="106000.0"/>
        <n v="-50000.0"/>
        <m/>
        <n v="1443410.0"/>
        <n v="614280.0"/>
        <n v="3.843269E7"/>
        <n v="1569700.0"/>
        <n v="891000.0"/>
        <n v="1617700.0"/>
        <n v="2.6165925E7"/>
        <n v="3.846869E7"/>
        <n v="-160980.0"/>
        <n v="614880.0"/>
        <n v="3218640.0"/>
        <n v="649880.0"/>
        <n v="10000.0"/>
        <n v="604500.0"/>
        <n v="2367700.0"/>
        <n v="1391000.0"/>
        <n v="1783410.0"/>
        <n v="824980.0"/>
        <n v="3041530.0"/>
        <n v="2601870.0"/>
        <n v="2445230.0"/>
        <n v="2410520.0"/>
        <n v="-949468.0"/>
        <n v="294980.0"/>
        <n v="1227860.0"/>
        <n v="604432.0"/>
        <n v="2.913414E7"/>
        <n v="419900.0"/>
        <n v="1.04145E7"/>
        <n v="2456860.0"/>
        <n v="4007450.0"/>
        <n v="4410520.0"/>
        <n v="4710520.0"/>
        <n v="479000.0"/>
        <n v="2.6186425E7"/>
        <n v="2.6302425E7"/>
        <n v="2317250.0"/>
        <n v="1650000.0"/>
        <n v="2.6502425E7"/>
        <n v="6317250.0"/>
        <n v="420000.0"/>
        <n v="3004810.0"/>
        <n v="875900.0"/>
        <n v="340000.0"/>
        <n v="1.07815E7"/>
        <n v="1499940.0"/>
        <n v="3607410.0"/>
        <n v="69920.0"/>
        <n v="2.8102425E7"/>
        <n v="1824000.0"/>
        <n v="1496100.0"/>
        <n v="1767310.0"/>
        <n v="1403530.0"/>
        <n v="2.662584E7"/>
        <n v="2.483934E7"/>
        <n v="2.357754E7"/>
        <n v="903610.0"/>
        <n v="545525.0"/>
        <n v="8870000.0"/>
        <n v="7883490.0"/>
        <n v="1953610.0"/>
        <n v="3506860.0"/>
        <n v="2867700.0"/>
        <n v="2.057E7"/>
        <n v="1120000.0"/>
        <n v="5884850.0"/>
        <n v="1847160.0"/>
        <n v="306000.0"/>
        <n v="1997160.0"/>
        <n v="704432.0"/>
        <n v="40000.0"/>
        <n v="1596100.0"/>
        <n v="1900100.0"/>
        <n v="1792000.0"/>
        <n v="2299960.0"/>
        <n v="1540000.0"/>
        <n v="2650160.0"/>
        <n v="5650160.0"/>
        <n v="2.358754E7"/>
        <n v="1704432.0"/>
        <n v="2900100.0"/>
        <n v="1.3170265E7"/>
        <n v="70000.0"/>
        <n v="7317250.0"/>
        <n v="5110520.0"/>
        <n v="1325890.0"/>
        <n v="3706860.0"/>
        <n v="3900100.0"/>
        <n v="2604432.0"/>
        <n v="1250000.0"/>
        <n v="19840.0"/>
        <n v="3500.0"/>
        <n v="-1040700.0"/>
        <n v="2.8214425E7"/>
        <n v="1300000.0"/>
        <n v="799840.0"/>
        <n v="2040000.0"/>
        <n v="2324000.0"/>
        <n v="1791000.0"/>
        <n v="23000.0"/>
        <n v="2.8264425E7"/>
        <n v="2.758754E7"/>
        <n v="1.14015E7"/>
        <n v="1999840.0"/>
        <n v="2200000.0"/>
        <n v="1670000.0"/>
        <n v="2412000.0"/>
        <n v="3295900.0"/>
        <n v="5420100.0"/>
        <n v="6910520.0"/>
        <n v="2452500.0"/>
        <n v="787000.0"/>
        <n v="2.759254E7"/>
        <n v="4325890.0"/>
        <n v="20000.0"/>
        <n v="659880.0"/>
        <n v="1745300.0"/>
        <n v="2.0575E7"/>
        <n v="1214980.0"/>
        <n v="1.17015E7"/>
        <n v="1175900.0"/>
        <n v="3117700.0"/>
        <n v="1006020.0"/>
        <n v="4778700.0"/>
        <n v="570000.0"/>
        <n v="2440580.0"/>
        <n v="2.9064425E7"/>
        <n v="2.9864425E7"/>
        <n v="2.0587E7"/>
        <n v="3.0664425E7"/>
        <n v="35000.0"/>
        <n v="1683970.0"/>
        <n v="1867250.0"/>
        <n v="659830.0"/>
        <n v="-385328.0"/>
        <n v="-967687.0"/>
        <n v="640000.0"/>
        <n v="3.0784425E7"/>
        <n v="3.0944825E7"/>
        <n v="3.1018325E7"/>
        <n v="3.1168325E7"/>
        <n v="3.1402325E7"/>
        <n v="288443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1000" sheet="WarehouseSScale"/>
  </cacheSource>
  <cacheFields>
    <cacheField name="DATE" numFmtId="0">
      <sharedItems containsString="0" containsBlank="1">
        <m/>
      </sharedItems>
    </cacheField>
    <cacheField name="NAMES" numFmtId="0">
      <sharedItems containsString="0" containsBlank="1">
        <m/>
      </sharedItems>
    </cacheField>
    <cacheField name="GROSS WT" numFmtId="0">
      <sharedItems containsString="0" containsBlank="1">
        <m/>
      </sharedItems>
    </cacheField>
    <cacheField name="TAR WEIGHT" numFmtId="0">
      <sharedItems containsString="0" containsBlank="1">
        <m/>
      </sharedItems>
    </cacheField>
    <cacheField name="DISCOUNT" numFmtId="0">
      <sharedItems containsString="0" containsBlank="1">
        <m/>
      </sharedItems>
    </cacheField>
    <cacheField name="UNIT PRICE" numFmtId="0">
      <sharedItems containsString="0" containsBlank="1">
        <m/>
      </sharedItems>
    </cacheField>
    <cacheField name=" BAGS" numFmtId="0">
      <sharedItems containsString="0" containsBlank="1">
        <m/>
      </sharedItems>
    </cacheField>
    <cacheField name="KGS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6:B104" firstHeaderRow="0" firstDataRow="1" firstDataCol="0"/>
  <pivotFields>
    <pivotField name=" 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E- FINANCE MASTERSHEE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 NAMES" axis="axisRow" compact="0" outline="0" multipleItemSelectionAllowed="1" showAll="0" sortType="ascending">
      <items>
        <item x="82"/>
        <item x="16"/>
        <item x="33"/>
        <item x="31"/>
        <item x="73"/>
        <item x="38"/>
        <item x="37"/>
        <item x="83"/>
        <item x="24"/>
        <item x="70"/>
        <item x="66"/>
        <item x="87"/>
        <item x="85"/>
        <item x="86"/>
        <item x="80"/>
        <item x="3"/>
        <item x="42"/>
        <item x="61"/>
        <item x="30"/>
        <item x="28"/>
        <item x="59"/>
        <item x="11"/>
        <item x="13"/>
        <item x="15"/>
        <item x="40"/>
        <item x="4"/>
        <item x="91"/>
        <item x="10"/>
        <item x="68"/>
        <item x="48"/>
        <item x="6"/>
        <item x="35"/>
        <item x="49"/>
        <item x="93"/>
        <item x="44"/>
        <item x="45"/>
        <item x="72"/>
        <item x="57"/>
        <item x="0"/>
        <item x="18"/>
        <item x="63"/>
        <item x="9"/>
        <item x="94"/>
        <item x="2"/>
        <item x="69"/>
        <item x="47"/>
        <item x="84"/>
        <item x="90"/>
        <item x="32"/>
        <item x="1"/>
        <item x="55"/>
        <item x="50"/>
        <item x="39"/>
        <item x="36"/>
        <item x="19"/>
        <item x="54"/>
        <item x="20"/>
        <item x="81"/>
        <item x="65"/>
        <item x="58"/>
        <item x="95"/>
        <item x="22"/>
        <item x="46"/>
        <item x="5"/>
        <item x="21"/>
        <item x="29"/>
        <item x="74"/>
        <item x="60"/>
        <item x="77"/>
        <item x="76"/>
        <item x="92"/>
        <item x="25"/>
        <item x="67"/>
        <item x="71"/>
        <item x="62"/>
        <item x="75"/>
        <item x="8"/>
        <item x="12"/>
        <item x="53"/>
        <item x="14"/>
        <item x="34"/>
        <item x="88"/>
        <item x="43"/>
        <item x="23"/>
        <item x="17"/>
        <item x="56"/>
        <item x="64"/>
        <item x="27"/>
        <item x="26"/>
        <item x="96"/>
        <item x="78"/>
        <item x="7"/>
        <item x="41"/>
        <item x="52"/>
        <item x="89"/>
        <item x="79"/>
        <item x="51"/>
        <item t="default"/>
      </items>
    </pivotField>
    <pivotField name="Last Entry: Cn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t="default"/>
      </items>
    </pivotField>
    <pivotField name="12/10/2020 GROSS W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 TOTAL M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 QTY" compact="0" outline="0" multipleItemSelectionAllowed="1" showAll="0">
      <items>
        <item x="0"/>
        <item x="1"/>
        <item t="default"/>
      </items>
    </pivotField>
    <pivotField name=" TOTAL B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 CHINA B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UNIT PR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 ADV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 BAL~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 A 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 MSTRE DIS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B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 K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 PAYABL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 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 RUNNING B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</pivotFields>
  <rowFields>
    <field x="2"/>
  </rowFields>
  <dataFields>
    <dataField name="BALANCES" fld="11" baseField="0"/>
  </dataFields>
</pivotTableDefinition>
</file>

<file path=xl/pivotTables/pivotTable2.xml><?xml version="1.0" encoding="utf-8"?>
<pivotTableDefinition xmlns="http://schemas.openxmlformats.org/spreadsheetml/2006/main" name="Dashboard 2" cacheId="1" dataCaption="" rowGrandTotals="0" compact="0" compactData="0">
  <location ref="J22:L23" firstHeaderRow="0" firstDataRow="2" firstDataCol="0"/>
  <pivotFields>
    <pivotField name="DATE" compact="0" outline="0" multipleItemSelectionAllowed="1" showAll="0">
      <items>
        <item x="0"/>
        <item t="default"/>
      </items>
    </pivotField>
    <pivotField name="NAMES" axis="axisRow" compact="0" outline="0" multipleItemSelectionAllowed="1" showAll="0" sortType="ascending">
      <items>
        <item x="0"/>
        <item t="default"/>
      </items>
    </pivotField>
    <pivotField name="GROSS WT" compact="0" outline="0" multipleItemSelectionAllowed="1" showAll="0">
      <items>
        <item x="0"/>
        <item t="default"/>
      </items>
    </pivotField>
    <pivotField name="TAR WEIGHT" compact="0" outline="0" multipleItemSelectionAllowed="1" showAll="0">
      <items>
        <item x="0"/>
        <item t="default"/>
      </items>
    </pivotField>
    <pivotField name="DISCOUNT" compact="0" outline="0" multipleItemSelectionAllowed="1" showAll="0">
      <items>
        <item x="0"/>
        <item t="default"/>
      </items>
    </pivotField>
    <pivotField name="UNIT PRICE" compact="0" outline="0" multipleItemSelectionAllowed="1" showAll="0">
      <items>
        <item x="0"/>
        <item t="default"/>
      </items>
    </pivotField>
    <pivotField name=" BAGS" dataField="1" compact="0" outline="0" multipleItemSelectionAllowed="1" showAll="0">
      <items>
        <item x="0"/>
        <item t="default"/>
      </items>
    </pivotField>
    <pivotField name="KGS" dataField="1" compact="0" outline="0" multipleItemSelectionAllowed="1" showAll="0">
      <items>
        <item x="0"/>
        <item t="default"/>
      </items>
    </pivotField>
    <pivotField name="AMOU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BAGS" fld="6" baseField="0"/>
    <dataField name="KGS" fld="7" baseField="0"/>
  </dataFields>
</pivotTableDefinition>
</file>

<file path=xl/tables/table1.xml><?xml version="1.0" encoding="utf-8"?>
<table xmlns="http://schemas.openxmlformats.org/spreadsheetml/2006/main" ref="A1:S16" displayName="Table_1" id="1">
  <tableColumns count="19">
    <tableColumn name=" COUNT" id="1"/>
    <tableColumn name="PRE- FINANCE MASTERSHEET DATE" id="2"/>
    <tableColumn name=" NAMES" id="3"/>
    <tableColumn name="Last Entry: Cnam" id="4"/>
    <tableColumn name="10/10/2020 GROSS WT" id="5"/>
    <tableColumn name=" TOTAL MST" id="6"/>
    <tableColumn name=" QTY" id="7"/>
    <tableColumn name=" TOTAL BAGS" id="8"/>
    <tableColumn name="  CHINA BAGS" id="9"/>
    <tableColumn name=" UNIT PRC" id="10"/>
    <tableColumn name=" ADVANCE" id="11"/>
    <tableColumn name=" BAL~" id="12"/>
    <tableColumn name=" A M" id="13"/>
    <tableColumn name=" MSTRE DISCT" id="14"/>
    <tableColumn name=" BAGS" id="15"/>
    <tableColumn name=" KGS" id="16"/>
    <tableColumn name=" PAYABLE" id="17"/>
    <tableColumn name=" AMT" id="18"/>
    <tableColumn name=" RUNNING BAL" id="19"/>
  </tableColumns>
  <tableStyleInfo name="Detail245-ANDRDEW ORIABURE-style" showColumnStripes="0" showFirstColumn="1" showLastColumn="1" showRowStripes="1"/>
</table>
</file>

<file path=xl/tables/table2.xml><?xml version="1.0" encoding="utf-8"?>
<table xmlns="http://schemas.openxmlformats.org/spreadsheetml/2006/main" ref="A1:S16" displayName="Table_2" id="2">
  <tableColumns count="19">
    <tableColumn name=" COUNT" id="1"/>
    <tableColumn name="PRE- FINANCE MASTERSHEET DATE" id="2"/>
    <tableColumn name=" NAMES" id="3"/>
    <tableColumn name="Last Entry: Cnam" id="4"/>
    <tableColumn name="08/10/2020 GROSS WT" id="5"/>
    <tableColumn name=" TOTAL MST" id="6"/>
    <tableColumn name=" QTY" id="7"/>
    <tableColumn name=" TOTAL BAGS" id="8"/>
    <tableColumn name="  CHINA BAGS" id="9"/>
    <tableColumn name=" UNIT PRC" id="10"/>
    <tableColumn name=" ADVANCE" id="11"/>
    <tableColumn name=" BAL~" id="12"/>
    <tableColumn name=" A M" id="13"/>
    <tableColumn name=" MSTRE DISCT" id="14"/>
    <tableColumn name=" BAGS" id="15"/>
    <tableColumn name=" KGS" id="16"/>
    <tableColumn name=" PAYABLE" id="17"/>
    <tableColumn name=" AMT" id="18"/>
    <tableColumn name=" RUNNING BAL" id="19"/>
  </tableColumns>
  <tableStyleInfo name="Detail244-ANDRDEW ORIABURE-style" showColumnStripes="0" showFirstColumn="1" showLastColumn="1" showRowStripes="1"/>
</table>
</file>

<file path=xl/tables/table3.xml><?xml version="1.0" encoding="utf-8"?>
<table xmlns="http://schemas.openxmlformats.org/spreadsheetml/2006/main" ref="A1:S20" displayName="Table_3" id="3">
  <tableColumns count="19">
    <tableColumn name=" COUNT" id="1"/>
    <tableColumn name="PRE- FINANCE MASTERSHEET DATE" id="2"/>
    <tableColumn name=" NAMES" id="3"/>
    <tableColumn name="Last Entry: Cnam" id="4"/>
    <tableColumn name="08/10/2020 GROSS WT" id="5"/>
    <tableColumn name=" TOTAL MST" id="6"/>
    <tableColumn name=" QTY" id="7"/>
    <tableColumn name=" TOTAL BAGS" id="8"/>
    <tableColumn name="  CHINA BAGS" id="9"/>
    <tableColumn name=" UNIT PRC" id="10"/>
    <tableColumn name=" ADVANCE" id="11"/>
    <tableColumn name=" BAL~" id="12"/>
    <tableColumn name=" A M" id="13"/>
    <tableColumn name=" MSTRE DISCT" id="14"/>
    <tableColumn name=" BAGS" id="15"/>
    <tableColumn name=" KGS" id="16"/>
    <tableColumn name=" PAYABLE" id="17"/>
    <tableColumn name=" AMT" id="18"/>
    <tableColumn name=" RUNNING BAL" id="19"/>
  </tableColumns>
  <tableStyleInfo name="Detail243- KINGSLEY-style" showColumnStripes="0" showFirstColumn="1" showLastColumn="1" showRowStripes="1"/>
</table>
</file>

<file path=xl/tables/table4.xml><?xml version="1.0" encoding="utf-8"?>
<table xmlns="http://schemas.openxmlformats.org/spreadsheetml/2006/main" ref="A5:K999" displayName="Table_4" id="4">
  <tableColumns count="11">
    <tableColumn name="DATE" id="1"/>
    <tableColumn name="NAMES" id="2"/>
    <tableColumn name="GROSS WT" id="3"/>
    <tableColumn name="TAR WEIGHT" id="4"/>
    <tableColumn name="DISCOUNT" id="5"/>
    <tableColumn name="UNIT PRICE" id="6"/>
    <tableColumn name=" BAGS" id="7"/>
    <tableColumn name="KGS" id="8"/>
    <tableColumn name="AMOUNT" id="9"/>
    <tableColumn name="NET WEIGHT" id="10"/>
    <tableColumn name="PAYABLE" id="11"/>
  </tableColumns>
  <tableStyleInfo name="Small-Scale History-style" showColumnStripes="0" showFirstColumn="1" showLastColumn="1" showRowStripes="1"/>
</table>
</file>

<file path=xl/tables/table5.xml><?xml version="1.0" encoding="utf-8"?>
<table xmlns="http://schemas.openxmlformats.org/spreadsheetml/2006/main" headerRowCount="0" ref="H2:J3" displayName="Table_5" id="5">
  <tableColumns count="3">
    <tableColumn name="Column1" id="1"/>
    <tableColumn name="Column2" id="2"/>
    <tableColumn name="Column3" id="3"/>
  </tableColumns>
  <tableStyleInfo name="HelperFormulas-style" showColumnStripes="0" showFirstColumn="1" showLastColumn="1" showRowStripes="1"/>
</table>
</file>

<file path=xl/tables/table6.xml><?xml version="1.0" encoding="utf-8"?>
<table xmlns="http://schemas.openxmlformats.org/spreadsheetml/2006/main" headerRowCount="0" ref="H7:K7" displayName="Table_6" id="6">
  <tableColumns count="4">
    <tableColumn name="Column1" id="1"/>
    <tableColumn name="Column2" id="2"/>
    <tableColumn name="Column3" id="3"/>
    <tableColumn name="Column4" id="4"/>
  </tableColumns>
  <tableStyleInfo name="HelperFormulas-style 2" showColumnStripes="0" showFirstColumn="1" showLastColumn="1" showRowStripes="1"/>
</table>
</file>

<file path=xl/tables/table7.xml><?xml version="1.0" encoding="utf-8"?>
<table xmlns="http://schemas.openxmlformats.org/spreadsheetml/2006/main" headerRowCount="0" ref="H10:J10" displayName="Table_7" id="7">
  <tableColumns count="3">
    <tableColumn name="Column1" id="1"/>
    <tableColumn name="Column2" id="2"/>
    <tableColumn name="Column3" id="3"/>
  </tableColumns>
  <tableStyleInfo name="HelperFormulas-style 3" showColumnStripes="0" showFirstColumn="1" showLastColumn="1" showRowStripes="1"/>
</table>
</file>

<file path=xl/tables/table8.xml><?xml version="1.0" encoding="utf-8"?>
<table xmlns="http://schemas.openxmlformats.org/spreadsheetml/2006/main" headerRowCount="0" ref="H19:J19" displayName="Table_8" id="8">
  <tableColumns count="3">
    <tableColumn name="Column1" id="1"/>
    <tableColumn name="Column2" id="2"/>
    <tableColumn name="Column3" id="3"/>
  </tableColumns>
  <tableStyleInfo name="HelperFormulas-style 4" showColumnStripes="0" showFirstColumn="1" showLastColumn="1" showRowStripes="1"/>
</table>
</file>

<file path=xl/tables/table9.xml><?xml version="1.0" encoding="utf-8"?>
<table xmlns="http://schemas.openxmlformats.org/spreadsheetml/2006/main" ref="A5:E999" displayName="Table_9" id="9">
  <tableColumns count="5">
    <tableColumn name="DATE" id="1"/>
    <tableColumn name="NAME" id="2"/>
    <tableColumn name="DESC" id="3"/>
    <tableColumn name="AMT" id="4"/>
    <tableColumn name="CATEGORY" id="5"/>
  </tableColumns>
  <tableStyleInfo name="Non Cocoa Histo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Relationship Id="rId3" Type="http://schemas.openxmlformats.org/officeDocument/2006/relationships/table" Target="../tables/table4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Relationship Id="rId3" Type="http://schemas.openxmlformats.org/officeDocument/2006/relationships/table" Target="../tables/table9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3.13"/>
    <col customWidth="1" min="2" max="2" width="22.63"/>
    <col customWidth="1" min="5" max="5" width="11.38"/>
    <col customWidth="1" min="6" max="6" width="11.5"/>
    <col customWidth="1" min="7" max="7" width="9.0"/>
    <col customWidth="1" min="8" max="8" width="4.5"/>
    <col customWidth="1" min="9" max="11" width="11.25"/>
  </cols>
  <sheetData>
    <row r="1" ht="25.5" customHeight="1">
      <c r="A1" s="1" t="s">
        <v>0</v>
      </c>
      <c r="D1" s="2"/>
      <c r="E1" s="2"/>
      <c r="F1" s="2"/>
      <c r="G1" s="3"/>
      <c r="H1" s="3"/>
      <c r="I1" s="4"/>
      <c r="J1" s="4"/>
      <c r="K1" s="4"/>
    </row>
    <row r="2" ht="3.0" customHeight="1">
      <c r="A2" s="5"/>
      <c r="B2" s="6"/>
      <c r="C2" s="2"/>
      <c r="D2" s="2"/>
      <c r="E2" s="2"/>
      <c r="F2" s="2"/>
      <c r="G2" s="3"/>
      <c r="H2" s="3"/>
      <c r="I2" s="4"/>
      <c r="J2" s="4"/>
      <c r="K2" s="4"/>
    </row>
    <row r="3">
      <c r="A3" s="7"/>
      <c r="B3" s="8"/>
      <c r="C3" s="9" t="s">
        <v>1</v>
      </c>
      <c r="D3" s="10">
        <f>OFFSET(A4,COUNTA(A:A)-2,0)</f>
        <v>44114</v>
      </c>
      <c r="E3" s="8"/>
      <c r="F3" s="8"/>
      <c r="G3" s="8"/>
      <c r="H3" s="8"/>
      <c r="I3" s="11"/>
      <c r="J3" s="11"/>
      <c r="K3" s="11"/>
    </row>
    <row r="4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7</v>
      </c>
      <c r="G4" s="15" t="s">
        <v>8</v>
      </c>
      <c r="H4" s="13" t="s">
        <v>9</v>
      </c>
      <c r="I4" s="16" t="s">
        <v>10</v>
      </c>
      <c r="J4" s="16" t="s">
        <v>11</v>
      </c>
      <c r="K4" s="17" t="s">
        <v>12</v>
      </c>
    </row>
    <row r="5">
      <c r="A5" s="18">
        <v>44029.0</v>
      </c>
      <c r="B5" s="19" t="s">
        <v>13</v>
      </c>
      <c r="C5" s="20">
        <v>5.0</v>
      </c>
      <c r="D5" s="21">
        <v>0.0</v>
      </c>
      <c r="E5" s="20">
        <v>0.0</v>
      </c>
      <c r="F5" s="22">
        <v>700.0</v>
      </c>
      <c r="G5" s="23">
        <v>0.0</v>
      </c>
      <c r="H5" s="23">
        <v>5.0</v>
      </c>
      <c r="I5" s="24">
        <v>3500.0</v>
      </c>
      <c r="J5" s="24">
        <v>5.0</v>
      </c>
      <c r="K5" s="24">
        <v>5.0</v>
      </c>
    </row>
    <row r="6">
      <c r="A6" s="18">
        <v>44030.0</v>
      </c>
      <c r="B6" s="19" t="s">
        <v>14</v>
      </c>
      <c r="C6" s="20">
        <v>50.0</v>
      </c>
      <c r="D6" s="21">
        <v>0.0</v>
      </c>
      <c r="E6" s="20">
        <v>0.0</v>
      </c>
      <c r="F6" s="25">
        <v>780.0</v>
      </c>
      <c r="G6" s="23">
        <v>0.0</v>
      </c>
      <c r="H6" s="23">
        <v>50.0</v>
      </c>
      <c r="I6" s="24">
        <v>39000.0</v>
      </c>
      <c r="J6" s="24">
        <v>50.0</v>
      </c>
      <c r="K6" s="24">
        <v>50.0</v>
      </c>
    </row>
    <row r="7">
      <c r="A7" s="18">
        <v>44030.0</v>
      </c>
      <c r="B7" s="19" t="s">
        <v>15</v>
      </c>
      <c r="C7" s="20">
        <v>9.0</v>
      </c>
      <c r="D7" s="21">
        <v>0.0</v>
      </c>
      <c r="E7" s="20">
        <v>4.0</v>
      </c>
      <c r="F7" s="25">
        <v>700.0</v>
      </c>
      <c r="G7" s="23">
        <v>0.0</v>
      </c>
      <c r="H7" s="23">
        <v>5.0</v>
      </c>
      <c r="I7" s="24">
        <v>3500.0</v>
      </c>
      <c r="J7" s="24">
        <v>9.0</v>
      </c>
      <c r="K7" s="24">
        <v>5.0</v>
      </c>
    </row>
    <row r="8">
      <c r="A8" s="18">
        <v>44030.0</v>
      </c>
      <c r="B8" s="19" t="s">
        <v>16</v>
      </c>
      <c r="C8" s="20">
        <v>4.0</v>
      </c>
      <c r="D8" s="21">
        <v>0.0</v>
      </c>
      <c r="E8" s="20">
        <v>0.0</v>
      </c>
      <c r="F8" s="25">
        <v>700.0</v>
      </c>
      <c r="G8" s="23">
        <v>0.0</v>
      </c>
      <c r="H8" s="23">
        <v>4.0</v>
      </c>
      <c r="I8" s="24">
        <v>2800.0</v>
      </c>
      <c r="J8" s="24">
        <v>4.0</v>
      </c>
      <c r="K8" s="24">
        <v>4.0</v>
      </c>
    </row>
    <row r="9">
      <c r="A9" s="18">
        <v>44032.0</v>
      </c>
      <c r="B9" s="19" t="s">
        <v>17</v>
      </c>
      <c r="C9" s="20">
        <v>113.0</v>
      </c>
      <c r="D9" s="21">
        <v>2.0</v>
      </c>
      <c r="E9" s="20">
        <v>8.0</v>
      </c>
      <c r="F9" s="25">
        <v>792.31</v>
      </c>
      <c r="G9" s="23">
        <v>1.0</v>
      </c>
      <c r="H9" s="23">
        <v>40.0</v>
      </c>
      <c r="I9" s="24">
        <v>82400.0</v>
      </c>
      <c r="J9" s="24">
        <v>111.0</v>
      </c>
      <c r="K9" s="24">
        <v>103.0</v>
      </c>
    </row>
    <row r="10">
      <c r="A10" s="18">
        <v>44032.0</v>
      </c>
      <c r="B10" s="19" t="s">
        <v>18</v>
      </c>
      <c r="C10" s="20">
        <v>440.0</v>
      </c>
      <c r="D10" s="21">
        <v>6.0</v>
      </c>
      <c r="E10" s="20">
        <v>0.0</v>
      </c>
      <c r="F10" s="25">
        <v>815.91</v>
      </c>
      <c r="G10" s="23">
        <v>6.0</v>
      </c>
      <c r="H10" s="23">
        <v>56.0</v>
      </c>
      <c r="I10" s="24">
        <v>359000.0</v>
      </c>
      <c r="J10" s="24">
        <v>434.0</v>
      </c>
      <c r="K10" s="24">
        <v>434.0</v>
      </c>
    </row>
    <row r="11">
      <c r="A11" s="18">
        <v>44034.0</v>
      </c>
      <c r="B11" s="19" t="s">
        <v>19</v>
      </c>
      <c r="C11" s="20">
        <v>331.0</v>
      </c>
      <c r="D11" s="21">
        <v>5.0</v>
      </c>
      <c r="E11" s="20">
        <v>0.0</v>
      </c>
      <c r="F11" s="25">
        <v>768.22</v>
      </c>
      <c r="G11" s="23">
        <v>5.0</v>
      </c>
      <c r="H11" s="23">
        <v>11.0</v>
      </c>
      <c r="I11" s="24">
        <v>254280.0</v>
      </c>
      <c r="J11" s="24">
        <v>326.0</v>
      </c>
      <c r="K11" s="24">
        <v>326.0</v>
      </c>
    </row>
    <row r="12">
      <c r="A12" s="18">
        <v>44034.0</v>
      </c>
      <c r="B12" s="19" t="s">
        <v>20</v>
      </c>
      <c r="C12" s="20">
        <v>159.0</v>
      </c>
      <c r="D12" s="21">
        <v>2.0</v>
      </c>
      <c r="E12" s="20">
        <v>0.0</v>
      </c>
      <c r="F12" s="25">
        <v>754.72</v>
      </c>
      <c r="G12" s="23">
        <v>2.0</v>
      </c>
      <c r="H12" s="23">
        <v>31.0</v>
      </c>
      <c r="I12" s="24">
        <v>120000.0</v>
      </c>
      <c r="J12" s="24">
        <v>157.0</v>
      </c>
      <c r="K12" s="24">
        <v>157.0</v>
      </c>
    </row>
    <row r="13">
      <c r="A13" s="18">
        <v>44036.0</v>
      </c>
      <c r="B13" s="19" t="s">
        <v>21</v>
      </c>
      <c r="C13" s="20">
        <v>444.0</v>
      </c>
      <c r="D13" s="21">
        <v>0.0</v>
      </c>
      <c r="E13" s="20">
        <v>11.0</v>
      </c>
      <c r="F13" s="25">
        <v>779.2</v>
      </c>
      <c r="G13" s="23">
        <v>6.0</v>
      </c>
      <c r="H13" s="23">
        <v>55.0</v>
      </c>
      <c r="I13" s="24">
        <v>342070.0</v>
      </c>
      <c r="J13" s="24">
        <v>444.0</v>
      </c>
      <c r="K13" s="24">
        <v>433.0</v>
      </c>
    </row>
    <row r="14">
      <c r="A14" s="18">
        <v>44039.0</v>
      </c>
      <c r="B14" s="19" t="s">
        <v>22</v>
      </c>
      <c r="C14" s="20">
        <v>180.0</v>
      </c>
      <c r="D14" s="21">
        <v>4.0</v>
      </c>
      <c r="E14" s="20">
        <v>4.0</v>
      </c>
      <c r="F14" s="25">
        <v>862.07</v>
      </c>
      <c r="G14" s="23">
        <v>2.0</v>
      </c>
      <c r="H14" s="23">
        <v>46.0</v>
      </c>
      <c r="I14" s="24">
        <v>150000.0</v>
      </c>
      <c r="J14" s="24">
        <v>176.0</v>
      </c>
      <c r="K14" s="24">
        <v>172.0</v>
      </c>
    </row>
    <row r="15">
      <c r="A15" s="18">
        <v>44040.0</v>
      </c>
      <c r="B15" s="19" t="s">
        <v>23</v>
      </c>
      <c r="C15" s="20">
        <v>766.0</v>
      </c>
      <c r="D15" s="21">
        <v>10.0</v>
      </c>
      <c r="E15" s="20"/>
      <c r="F15" s="25">
        <v>531.9</v>
      </c>
      <c r="G15" s="23">
        <v>12.0</v>
      </c>
      <c r="H15" s="23">
        <v>0.0</v>
      </c>
      <c r="I15" s="24">
        <v>408500.0</v>
      </c>
      <c r="J15" s="24">
        <v>756.0</v>
      </c>
      <c r="K15" s="24">
        <v>756.0</v>
      </c>
    </row>
    <row r="16">
      <c r="A16" s="18">
        <v>44040.0</v>
      </c>
      <c r="B16" s="19" t="s">
        <v>24</v>
      </c>
      <c r="C16" s="20">
        <v>39.0</v>
      </c>
      <c r="D16" s="21">
        <v>0.0</v>
      </c>
      <c r="E16" s="20">
        <v>3.0</v>
      </c>
      <c r="F16" s="25">
        <v>758.33</v>
      </c>
      <c r="G16" s="23">
        <v>0.0</v>
      </c>
      <c r="H16" s="23">
        <v>36.0</v>
      </c>
      <c r="I16" s="24">
        <v>27300.0</v>
      </c>
      <c r="J16" s="24">
        <v>39.0</v>
      </c>
      <c r="K16" s="24">
        <v>36.0</v>
      </c>
    </row>
    <row r="17">
      <c r="A17" s="18">
        <v>44041.0</v>
      </c>
      <c r="B17" s="19" t="s">
        <v>25</v>
      </c>
      <c r="C17" s="20">
        <v>1418.0</v>
      </c>
      <c r="D17" s="21">
        <v>22.0</v>
      </c>
      <c r="E17" s="20">
        <v>17.0</v>
      </c>
      <c r="F17" s="25">
        <v>430.86</v>
      </c>
      <c r="G17" s="23">
        <v>21.0</v>
      </c>
      <c r="H17" s="23">
        <v>56.0</v>
      </c>
      <c r="I17" s="24">
        <v>603200.0</v>
      </c>
      <c r="J17" s="24">
        <v>1396.0</v>
      </c>
      <c r="K17" s="24">
        <v>1379.0</v>
      </c>
    </row>
    <row r="18">
      <c r="A18" s="18">
        <v>44042.0</v>
      </c>
      <c r="B18" s="19" t="s">
        <v>26</v>
      </c>
      <c r="C18" s="20">
        <v>134.0</v>
      </c>
      <c r="D18" s="21">
        <v>0.0</v>
      </c>
      <c r="E18" s="20">
        <v>0.0</v>
      </c>
      <c r="F18" s="25">
        <v>768.38</v>
      </c>
      <c r="G18" s="23">
        <v>2.0</v>
      </c>
      <c r="H18" s="23">
        <v>8.0</v>
      </c>
      <c r="I18" s="24">
        <v>104500.0</v>
      </c>
      <c r="J18" s="24">
        <v>134.0</v>
      </c>
      <c r="K18" s="24">
        <v>134.0</v>
      </c>
    </row>
    <row r="19">
      <c r="A19" s="18">
        <v>44043.0</v>
      </c>
      <c r="B19" s="19" t="s">
        <v>27</v>
      </c>
      <c r="C19" s="20">
        <v>66.0</v>
      </c>
      <c r="D19" s="21">
        <v>1.0</v>
      </c>
      <c r="E19" s="20">
        <v>3.0</v>
      </c>
      <c r="F19" s="25">
        <v>774.19</v>
      </c>
      <c r="G19" s="23">
        <v>0.0</v>
      </c>
      <c r="H19" s="23">
        <v>62.0</v>
      </c>
      <c r="I19" s="24">
        <v>48000.0</v>
      </c>
      <c r="J19" s="24">
        <v>65.0</v>
      </c>
      <c r="K19" s="24">
        <v>62.0</v>
      </c>
    </row>
    <row r="20">
      <c r="A20" s="18">
        <v>44047.0</v>
      </c>
      <c r="B20" s="19" t="s">
        <v>28</v>
      </c>
      <c r="C20" s="20">
        <v>30.0</v>
      </c>
      <c r="D20" s="21">
        <v>0.0</v>
      </c>
      <c r="E20" s="20">
        <v>0.0</v>
      </c>
      <c r="F20" s="25">
        <v>766.67</v>
      </c>
      <c r="G20" s="23">
        <v>0.0</v>
      </c>
      <c r="H20" s="23">
        <v>30.0</v>
      </c>
      <c r="I20" s="24">
        <v>23000.0</v>
      </c>
      <c r="J20" s="24">
        <v>30.0</v>
      </c>
      <c r="K20" s="24">
        <v>30.0</v>
      </c>
    </row>
    <row r="21">
      <c r="A21" s="18">
        <v>44048.0</v>
      </c>
      <c r="B21" s="19" t="s">
        <v>29</v>
      </c>
      <c r="C21" s="20">
        <v>204.0</v>
      </c>
      <c r="D21" s="21">
        <v>4.0</v>
      </c>
      <c r="E21" s="20">
        <v>10.0</v>
      </c>
      <c r="F21" s="25">
        <v>681.25</v>
      </c>
      <c r="G21" s="23">
        <v>3.0</v>
      </c>
      <c r="H21" s="23">
        <v>0.0</v>
      </c>
      <c r="I21" s="24">
        <v>130800.0</v>
      </c>
      <c r="J21" s="24">
        <v>200.0</v>
      </c>
      <c r="K21" s="24">
        <v>190.0</v>
      </c>
    </row>
    <row r="22">
      <c r="A22" s="18">
        <v>44048.0</v>
      </c>
      <c r="B22" s="19" t="s">
        <v>30</v>
      </c>
      <c r="C22" s="20">
        <v>605.0</v>
      </c>
      <c r="D22" s="21">
        <v>8.0</v>
      </c>
      <c r="E22" s="20">
        <v>0.0</v>
      </c>
      <c r="F22" s="25">
        <v>781.19</v>
      </c>
      <c r="G22" s="23">
        <v>9.0</v>
      </c>
      <c r="H22" s="23">
        <v>30.0</v>
      </c>
      <c r="I22" s="24">
        <v>473400.0</v>
      </c>
      <c r="J22" s="24">
        <v>597.0</v>
      </c>
      <c r="K22" s="24">
        <v>597.0</v>
      </c>
    </row>
    <row r="23">
      <c r="A23" s="18">
        <v>44049.0</v>
      </c>
      <c r="B23" s="19" t="s">
        <v>31</v>
      </c>
      <c r="C23" s="20">
        <v>422.0</v>
      </c>
      <c r="D23" s="21">
        <v>7.0</v>
      </c>
      <c r="E23" s="20">
        <v>9.0</v>
      </c>
      <c r="F23" s="25">
        <v>788.35</v>
      </c>
      <c r="G23" s="23">
        <v>6.0</v>
      </c>
      <c r="H23" s="23">
        <v>28.0</v>
      </c>
      <c r="I23" s="24">
        <v>324800.0</v>
      </c>
      <c r="J23" s="24">
        <v>415.0</v>
      </c>
      <c r="K23" s="24">
        <v>406.0</v>
      </c>
    </row>
    <row r="24">
      <c r="A24" s="18">
        <v>44049.0</v>
      </c>
      <c r="B24" s="19" t="s">
        <v>32</v>
      </c>
      <c r="C24" s="20">
        <v>117.0</v>
      </c>
      <c r="D24" s="21">
        <v>2.0</v>
      </c>
      <c r="E24" s="20">
        <v>8.0</v>
      </c>
      <c r="F24" s="25">
        <v>792.59</v>
      </c>
      <c r="G24" s="23">
        <v>1.0</v>
      </c>
      <c r="H24" s="23">
        <v>44.0</v>
      </c>
      <c r="I24" s="24">
        <v>85600.0</v>
      </c>
      <c r="J24" s="24">
        <v>115.0</v>
      </c>
      <c r="K24" s="24">
        <v>107.0</v>
      </c>
    </row>
    <row r="25">
      <c r="A25" s="18">
        <v>44050.0</v>
      </c>
      <c r="B25" s="19" t="s">
        <v>33</v>
      </c>
      <c r="C25" s="20">
        <v>41.0</v>
      </c>
      <c r="D25" s="21">
        <v>1.0</v>
      </c>
      <c r="E25" s="20">
        <v>3.0</v>
      </c>
      <c r="F25" s="25">
        <v>791.89</v>
      </c>
      <c r="G25" s="23">
        <v>0.0</v>
      </c>
      <c r="H25" s="23">
        <v>37.0</v>
      </c>
      <c r="I25" s="24">
        <v>29300.0</v>
      </c>
      <c r="J25" s="24">
        <v>40.0</v>
      </c>
      <c r="K25" s="24">
        <v>37.0</v>
      </c>
    </row>
    <row r="26">
      <c r="A26" s="18">
        <v>44054.0</v>
      </c>
      <c r="B26" s="19" t="s">
        <v>34</v>
      </c>
      <c r="C26" s="20">
        <v>104.0</v>
      </c>
      <c r="D26" s="21">
        <v>0.0</v>
      </c>
      <c r="E26" s="20">
        <v>4.0</v>
      </c>
      <c r="F26" s="25">
        <v>792.08</v>
      </c>
      <c r="G26" s="23">
        <v>1.0</v>
      </c>
      <c r="H26" s="23">
        <v>37.0</v>
      </c>
      <c r="I26" s="24">
        <v>80000.0</v>
      </c>
      <c r="J26" s="24">
        <v>104.0</v>
      </c>
      <c r="K26" s="24">
        <v>100.0</v>
      </c>
    </row>
    <row r="27">
      <c r="A27" s="18">
        <v>44054.0</v>
      </c>
      <c r="B27" s="19" t="s">
        <v>35</v>
      </c>
      <c r="C27" s="20">
        <v>8.0</v>
      </c>
      <c r="D27" s="21">
        <v>0.0</v>
      </c>
      <c r="E27" s="20">
        <v>0.0</v>
      </c>
      <c r="F27" s="25">
        <v>800.0</v>
      </c>
      <c r="G27" s="23">
        <v>0.0</v>
      </c>
      <c r="H27" s="23">
        <v>8.0</v>
      </c>
      <c r="I27" s="24">
        <v>6400.0</v>
      </c>
      <c r="J27" s="24">
        <v>8.0</v>
      </c>
      <c r="K27" s="24">
        <v>8.0</v>
      </c>
    </row>
    <row r="28">
      <c r="A28" s="18">
        <v>44054.0</v>
      </c>
      <c r="B28" s="19" t="s">
        <v>36</v>
      </c>
      <c r="C28" s="20">
        <v>192.0</v>
      </c>
      <c r="D28" s="21">
        <v>3.0</v>
      </c>
      <c r="E28" s="20"/>
      <c r="F28" s="25">
        <v>791.67</v>
      </c>
      <c r="G28" s="23">
        <v>3.0</v>
      </c>
      <c r="H28" s="23">
        <v>0.0</v>
      </c>
      <c r="I28" s="24">
        <v>152000.0</v>
      </c>
      <c r="J28" s="24">
        <v>189.0</v>
      </c>
      <c r="K28" s="24">
        <v>189.0</v>
      </c>
    </row>
    <row r="29">
      <c r="A29" s="18">
        <v>44056.0</v>
      </c>
      <c r="B29" s="19" t="s">
        <v>37</v>
      </c>
      <c r="C29" s="20">
        <v>350.0</v>
      </c>
      <c r="D29" s="21">
        <v>4.0</v>
      </c>
      <c r="E29" s="20">
        <v>6.0</v>
      </c>
      <c r="F29" s="25">
        <v>798.55</v>
      </c>
      <c r="G29" s="23">
        <v>5.0</v>
      </c>
      <c r="H29" s="23">
        <v>25.0</v>
      </c>
      <c r="I29" s="24">
        <v>275500.0</v>
      </c>
      <c r="J29" s="24">
        <v>346.0</v>
      </c>
      <c r="K29" s="24">
        <v>340.0</v>
      </c>
    </row>
    <row r="30">
      <c r="A30" s="18">
        <v>44062.0</v>
      </c>
      <c r="B30" s="19" t="s">
        <v>38</v>
      </c>
      <c r="C30" s="20">
        <v>174.0</v>
      </c>
      <c r="D30" s="21">
        <v>3.0</v>
      </c>
      <c r="E30" s="20">
        <v>5.0</v>
      </c>
      <c r="F30" s="25">
        <v>810.12</v>
      </c>
      <c r="G30" s="23">
        <v>2.0</v>
      </c>
      <c r="H30" s="23">
        <v>40.0</v>
      </c>
      <c r="I30" s="24">
        <v>136100.0</v>
      </c>
      <c r="J30" s="24">
        <v>171.0</v>
      </c>
      <c r="K30" s="24">
        <v>166.0</v>
      </c>
    </row>
    <row r="31">
      <c r="A31" s="18">
        <v>44062.0</v>
      </c>
      <c r="B31" s="19" t="s">
        <v>39</v>
      </c>
      <c r="C31" s="20">
        <v>84.0</v>
      </c>
      <c r="D31" s="21">
        <v>1.0</v>
      </c>
      <c r="E31" s="20">
        <v>0.0</v>
      </c>
      <c r="F31" s="25">
        <v>819.05</v>
      </c>
      <c r="G31" s="23">
        <v>1.0</v>
      </c>
      <c r="H31" s="23">
        <v>20.0</v>
      </c>
      <c r="I31" s="24">
        <v>68800.0</v>
      </c>
      <c r="J31" s="24">
        <v>83.0</v>
      </c>
      <c r="K31" s="24">
        <v>83.0</v>
      </c>
    </row>
    <row r="32">
      <c r="A32" s="18">
        <v>44067.0</v>
      </c>
      <c r="B32" s="19" t="s">
        <v>40</v>
      </c>
      <c r="C32" s="20">
        <v>39.0</v>
      </c>
      <c r="D32" s="21">
        <v>1.0</v>
      </c>
      <c r="E32" s="20">
        <v>0.0</v>
      </c>
      <c r="F32" s="25">
        <v>818.42</v>
      </c>
      <c r="G32" s="23">
        <v>0.0</v>
      </c>
      <c r="H32" s="23">
        <v>38.0</v>
      </c>
      <c r="I32" s="24">
        <v>31100.0</v>
      </c>
      <c r="J32" s="24">
        <v>38.0</v>
      </c>
      <c r="K32" s="24">
        <v>38.0</v>
      </c>
    </row>
    <row r="33">
      <c r="A33" s="18">
        <v>44067.0</v>
      </c>
      <c r="B33" s="19" t="s">
        <v>41</v>
      </c>
      <c r="C33" s="20">
        <v>402.0</v>
      </c>
      <c r="D33" s="21">
        <v>11.0</v>
      </c>
      <c r="E33" s="20">
        <v>0.0</v>
      </c>
      <c r="F33" s="25">
        <v>827.2</v>
      </c>
      <c r="G33" s="23">
        <v>6.0</v>
      </c>
      <c r="H33" s="23">
        <v>13.0</v>
      </c>
      <c r="I33" s="24">
        <v>328400.0</v>
      </c>
      <c r="J33" s="24">
        <v>391.0</v>
      </c>
      <c r="K33" s="24">
        <v>391.0</v>
      </c>
    </row>
    <row r="34">
      <c r="A34" s="18">
        <v>44067.0</v>
      </c>
      <c r="B34" s="19" t="s">
        <v>42</v>
      </c>
      <c r="C34" s="20">
        <v>185.0</v>
      </c>
      <c r="D34" s="21">
        <v>0.0</v>
      </c>
      <c r="E34" s="20">
        <v>0.0</v>
      </c>
      <c r="F34" s="25">
        <v>756.68</v>
      </c>
      <c r="G34" s="23">
        <v>2.0</v>
      </c>
      <c r="H34" s="23">
        <v>59.0</v>
      </c>
      <c r="I34" s="24">
        <v>141500.0</v>
      </c>
      <c r="J34" s="24">
        <v>185.0</v>
      </c>
      <c r="K34" s="24">
        <v>185.0</v>
      </c>
    </row>
    <row r="35">
      <c r="A35" s="18">
        <v>44069.0</v>
      </c>
      <c r="B35" s="19" t="s">
        <v>43</v>
      </c>
      <c r="C35" s="20">
        <v>758.0</v>
      </c>
      <c r="D35" s="21">
        <v>12.0</v>
      </c>
      <c r="E35" s="20">
        <v>0.0</v>
      </c>
      <c r="F35" s="25">
        <v>389.04</v>
      </c>
      <c r="G35" s="23">
        <v>11.0</v>
      </c>
      <c r="H35" s="23">
        <v>53.0</v>
      </c>
      <c r="I35" s="24">
        <v>294500.0</v>
      </c>
      <c r="J35" s="24">
        <v>746.0</v>
      </c>
      <c r="K35" s="24">
        <v>746.0</v>
      </c>
    </row>
    <row r="36">
      <c r="A36" s="18">
        <v>44070.0</v>
      </c>
      <c r="B36" s="19" t="s">
        <v>44</v>
      </c>
      <c r="C36" s="20">
        <v>86.0</v>
      </c>
      <c r="D36" s="21">
        <v>2.0</v>
      </c>
      <c r="E36" s="20"/>
      <c r="F36" s="25">
        <v>839.76</v>
      </c>
      <c r="G36" s="23">
        <v>1.0</v>
      </c>
      <c r="H36" s="23">
        <v>21.0</v>
      </c>
      <c r="I36" s="24">
        <v>71380.0</v>
      </c>
      <c r="J36" s="24">
        <v>84.0</v>
      </c>
      <c r="K36" s="24">
        <v>84.0</v>
      </c>
    </row>
    <row r="37">
      <c r="A37" s="18">
        <v>44070.0</v>
      </c>
      <c r="B37" s="19" t="s">
        <v>45</v>
      </c>
      <c r="C37" s="20">
        <v>449.0</v>
      </c>
      <c r="D37" s="21">
        <v>7.0</v>
      </c>
      <c r="E37" s="20"/>
      <c r="F37" s="25">
        <v>828.57</v>
      </c>
      <c r="G37" s="23">
        <v>7.0</v>
      </c>
      <c r="H37" s="23">
        <v>0.0</v>
      </c>
      <c r="I37" s="24">
        <v>371200.0</v>
      </c>
      <c r="J37" s="24">
        <v>442.0</v>
      </c>
      <c r="K37" s="24">
        <v>442.0</v>
      </c>
    </row>
    <row r="38">
      <c r="A38" s="18">
        <v>44071.0</v>
      </c>
      <c r="B38" s="19" t="s">
        <v>46</v>
      </c>
      <c r="C38" s="20">
        <v>1477.0</v>
      </c>
      <c r="D38" s="21">
        <v>23.0</v>
      </c>
      <c r="E38" s="20">
        <v>6.0</v>
      </c>
      <c r="F38" s="25">
        <v>875.44</v>
      </c>
      <c r="G38" s="23">
        <v>22.0</v>
      </c>
      <c r="H38" s="23">
        <v>62.0</v>
      </c>
      <c r="I38" s="24">
        <v>1286900.0</v>
      </c>
      <c r="J38" s="24">
        <v>1454.0</v>
      </c>
      <c r="K38" s="24">
        <v>1448.0</v>
      </c>
    </row>
    <row r="39">
      <c r="A39" s="18">
        <v>44071.0</v>
      </c>
      <c r="B39" s="19" t="s">
        <v>47</v>
      </c>
      <c r="C39" s="20">
        <v>3.0</v>
      </c>
      <c r="D39" s="21">
        <v>0.0</v>
      </c>
      <c r="E39" s="20">
        <v>0.0</v>
      </c>
      <c r="F39" s="25">
        <v>833.33</v>
      </c>
      <c r="G39" s="23">
        <v>0.0</v>
      </c>
      <c r="H39" s="23">
        <v>3.0</v>
      </c>
      <c r="I39" s="24">
        <v>2500.0</v>
      </c>
      <c r="J39" s="24">
        <v>3.0</v>
      </c>
      <c r="K39" s="24">
        <v>3.0</v>
      </c>
    </row>
    <row r="40">
      <c r="A40" s="18">
        <v>44074.0</v>
      </c>
      <c r="B40" s="19" t="s">
        <v>41</v>
      </c>
      <c r="C40" s="20">
        <v>798.0</v>
      </c>
      <c r="D40" s="21">
        <v>6.0</v>
      </c>
      <c r="E40" s="20">
        <v>20.0</v>
      </c>
      <c r="F40" s="25">
        <v>837.05</v>
      </c>
      <c r="G40" s="23">
        <v>12.0</v>
      </c>
      <c r="H40" s="23">
        <v>16.0</v>
      </c>
      <c r="I40" s="24">
        <v>656250.0</v>
      </c>
      <c r="J40" s="24">
        <v>792.0</v>
      </c>
      <c r="K40" s="24">
        <v>772.0</v>
      </c>
    </row>
    <row r="41">
      <c r="A41" s="18">
        <v>44074.0</v>
      </c>
      <c r="B41" s="19" t="s">
        <v>41</v>
      </c>
      <c r="C41" s="20">
        <v>16.0</v>
      </c>
      <c r="D41" s="21">
        <v>1.0</v>
      </c>
      <c r="E41" s="20">
        <v>0.0</v>
      </c>
      <c r="F41" s="25">
        <v>850.0</v>
      </c>
      <c r="G41" s="23">
        <v>0.0</v>
      </c>
      <c r="H41" s="23">
        <v>15.0</v>
      </c>
      <c r="I41" s="24">
        <v>12750.0</v>
      </c>
      <c r="J41" s="24">
        <v>15.0</v>
      </c>
      <c r="K41" s="24">
        <v>15.0</v>
      </c>
    </row>
    <row r="42">
      <c r="A42" s="18">
        <v>44075.0</v>
      </c>
      <c r="B42" s="19" t="s">
        <v>48</v>
      </c>
      <c r="C42" s="20">
        <v>790.0</v>
      </c>
      <c r="D42" s="21">
        <v>10.0</v>
      </c>
      <c r="E42" s="20">
        <v>32.0</v>
      </c>
      <c r="F42" s="25">
        <v>831.09</v>
      </c>
      <c r="G42" s="23">
        <v>11.0</v>
      </c>
      <c r="H42" s="23">
        <v>55.0</v>
      </c>
      <c r="I42" s="24">
        <v>630800.0</v>
      </c>
      <c r="J42" s="24">
        <v>780.0</v>
      </c>
      <c r="K42" s="24">
        <v>748.0</v>
      </c>
    </row>
    <row r="43">
      <c r="A43" s="18">
        <v>44075.0</v>
      </c>
      <c r="B43" s="19" t="s">
        <v>49</v>
      </c>
      <c r="C43" s="20">
        <v>194.0</v>
      </c>
      <c r="D43" s="21">
        <v>3.0</v>
      </c>
      <c r="E43" s="20">
        <v>0.0</v>
      </c>
      <c r="F43" s="25">
        <v>823.83</v>
      </c>
      <c r="G43" s="23">
        <v>3.0</v>
      </c>
      <c r="H43" s="23">
        <v>1.0</v>
      </c>
      <c r="I43" s="24">
        <v>159000.0</v>
      </c>
      <c r="J43" s="24">
        <v>191.0</v>
      </c>
      <c r="K43" s="24">
        <v>191.0</v>
      </c>
    </row>
    <row r="44">
      <c r="A44" s="18">
        <v>44075.0</v>
      </c>
      <c r="B44" s="19" t="s">
        <v>50</v>
      </c>
      <c r="C44" s="20">
        <v>24.0</v>
      </c>
      <c r="D44" s="21"/>
      <c r="E44" s="20"/>
      <c r="F44" s="25">
        <v>850.0</v>
      </c>
      <c r="G44" s="23">
        <v>0.0</v>
      </c>
      <c r="H44" s="23">
        <v>24.0</v>
      </c>
      <c r="I44" s="24">
        <v>20400.0</v>
      </c>
      <c r="J44" s="24">
        <v>24.0</v>
      </c>
      <c r="K44" s="24">
        <v>24.0</v>
      </c>
    </row>
    <row r="45">
      <c r="A45" s="18">
        <v>44075.0</v>
      </c>
      <c r="B45" s="19" t="s">
        <v>51</v>
      </c>
      <c r="C45" s="20">
        <v>120.0</v>
      </c>
      <c r="D45" s="21"/>
      <c r="E45" s="20"/>
      <c r="F45" s="25">
        <v>781.82</v>
      </c>
      <c r="G45" s="23">
        <v>1.0</v>
      </c>
      <c r="H45" s="23">
        <v>57.0</v>
      </c>
      <c r="I45" s="24">
        <v>94600.0</v>
      </c>
      <c r="J45" s="24">
        <v>120.0</v>
      </c>
      <c r="K45" s="24">
        <v>120.0</v>
      </c>
    </row>
    <row r="46">
      <c r="A46" s="18">
        <v>44077.0</v>
      </c>
      <c r="B46" s="19" t="s">
        <v>40</v>
      </c>
      <c r="C46" s="20">
        <v>37.0</v>
      </c>
      <c r="D46" s="21"/>
      <c r="E46" s="20">
        <v>2.0</v>
      </c>
      <c r="F46" s="25">
        <v>885.71</v>
      </c>
      <c r="G46" s="23">
        <v>0.0</v>
      </c>
      <c r="H46" s="23">
        <v>35.0</v>
      </c>
      <c r="I46" s="24">
        <v>31000.0</v>
      </c>
      <c r="J46" s="24">
        <v>37.0</v>
      </c>
      <c r="K46" s="24">
        <v>35.0</v>
      </c>
    </row>
    <row r="47">
      <c r="A47" s="18"/>
      <c r="B47" s="19"/>
      <c r="C47" s="20"/>
      <c r="D47" s="21"/>
      <c r="E47" s="20"/>
      <c r="F47" s="25"/>
      <c r="G47" s="23"/>
      <c r="H47" s="23"/>
      <c r="I47" s="26" t="s">
        <v>52</v>
      </c>
      <c r="J47" s="24"/>
      <c r="K47" s="24"/>
    </row>
    <row r="48">
      <c r="A48" s="18">
        <v>44079.0</v>
      </c>
      <c r="B48" s="19" t="s">
        <v>32</v>
      </c>
      <c r="C48" s="20">
        <v>35.0</v>
      </c>
      <c r="D48" s="21">
        <v>1.0</v>
      </c>
      <c r="E48" s="20"/>
      <c r="F48" s="25">
        <v>838.24</v>
      </c>
      <c r="G48" s="23">
        <v>0.0</v>
      </c>
      <c r="H48" s="23">
        <v>34.0</v>
      </c>
      <c r="I48" s="26">
        <v>28500.0</v>
      </c>
      <c r="J48" s="24">
        <v>34.0</v>
      </c>
      <c r="K48" s="24">
        <v>34.0</v>
      </c>
    </row>
    <row r="49">
      <c r="A49" s="18">
        <v>44081.0</v>
      </c>
      <c r="B49" s="19" t="s">
        <v>42</v>
      </c>
      <c r="C49" s="20">
        <v>374.0</v>
      </c>
      <c r="D49" s="21"/>
      <c r="E49" s="20"/>
      <c r="F49" s="25">
        <v>790.24</v>
      </c>
      <c r="G49" s="23">
        <v>5.0</v>
      </c>
      <c r="H49" s="23">
        <v>59.0</v>
      </c>
      <c r="I49" s="26">
        <v>299500.0</v>
      </c>
      <c r="J49" s="24">
        <v>374.0</v>
      </c>
      <c r="K49" s="24">
        <v>374.0</v>
      </c>
    </row>
    <row r="50">
      <c r="A50" s="18">
        <v>44086.0</v>
      </c>
      <c r="B50" s="19" t="s">
        <v>40</v>
      </c>
      <c r="C50" s="20">
        <v>179.0</v>
      </c>
      <c r="D50" s="21">
        <v>3.0</v>
      </c>
      <c r="E50" s="20"/>
      <c r="F50" s="25">
        <v>840.45</v>
      </c>
      <c r="G50" s="23">
        <v>2.0</v>
      </c>
      <c r="H50" s="23">
        <v>50.0</v>
      </c>
      <c r="I50" s="26">
        <v>149600.0</v>
      </c>
      <c r="J50" s="24">
        <v>176.0</v>
      </c>
      <c r="K50" s="24">
        <v>176.0</v>
      </c>
    </row>
    <row r="51">
      <c r="A51" s="18">
        <v>44088.0</v>
      </c>
      <c r="B51" s="19" t="s">
        <v>53</v>
      </c>
      <c r="C51" s="20">
        <v>147.0</v>
      </c>
      <c r="D51" s="21"/>
      <c r="E51" s="20"/>
      <c r="F51" s="25">
        <v>1320.81</v>
      </c>
      <c r="G51" s="23">
        <v>2.0</v>
      </c>
      <c r="H51" s="23">
        <v>21.0</v>
      </c>
      <c r="I51" s="26">
        <v>196800.0</v>
      </c>
      <c r="J51" s="24">
        <v>147.0</v>
      </c>
      <c r="K51" s="24">
        <v>147.0</v>
      </c>
    </row>
    <row r="52">
      <c r="A52" s="18">
        <v>44088.0</v>
      </c>
      <c r="B52" s="19" t="s">
        <v>54</v>
      </c>
      <c r="C52" s="20">
        <v>138.0</v>
      </c>
      <c r="D52" s="21"/>
      <c r="E52" s="20"/>
      <c r="F52" s="25">
        <v>846.43</v>
      </c>
      <c r="G52" s="23">
        <v>2.0</v>
      </c>
      <c r="H52" s="23">
        <v>12.0</v>
      </c>
      <c r="I52" s="26">
        <v>118500.0</v>
      </c>
      <c r="J52" s="24">
        <v>138.0</v>
      </c>
      <c r="K52" s="24">
        <v>138.0</v>
      </c>
    </row>
    <row r="53">
      <c r="A53" s="18">
        <v>44090.0</v>
      </c>
      <c r="B53" s="19" t="s">
        <v>55</v>
      </c>
      <c r="C53" s="20">
        <v>375.0</v>
      </c>
      <c r="D53" s="21">
        <v>7.0</v>
      </c>
      <c r="E53" s="20">
        <v>52.0</v>
      </c>
      <c r="F53" s="25">
        <v>986.88</v>
      </c>
      <c r="G53" s="23">
        <v>5.0</v>
      </c>
      <c r="H53" s="23">
        <v>0.0</v>
      </c>
      <c r="I53" s="26">
        <v>315800.0</v>
      </c>
      <c r="J53" s="24">
        <v>368.0</v>
      </c>
      <c r="K53" s="24">
        <v>316.0</v>
      </c>
    </row>
    <row r="54">
      <c r="A54" s="18">
        <v>44092.0</v>
      </c>
      <c r="B54" s="19" t="s">
        <v>40</v>
      </c>
      <c r="C54" s="20">
        <v>270.0</v>
      </c>
      <c r="D54" s="21">
        <v>4.0</v>
      </c>
      <c r="E54" s="20">
        <v>21.0</v>
      </c>
      <c r="F54" s="25">
        <v>385.48</v>
      </c>
      <c r="G54" s="23">
        <v>3.0</v>
      </c>
      <c r="H54" s="23">
        <v>56.0</v>
      </c>
      <c r="I54" s="26">
        <v>95600.0</v>
      </c>
      <c r="J54" s="24">
        <v>266.0</v>
      </c>
      <c r="K54" s="24">
        <v>245.0</v>
      </c>
    </row>
    <row r="55">
      <c r="A55" s="18">
        <v>44095.0</v>
      </c>
      <c r="B55" s="19" t="s">
        <v>56</v>
      </c>
      <c r="C55" s="20">
        <v>135.0</v>
      </c>
      <c r="D55" s="21">
        <v>2.0</v>
      </c>
      <c r="E55" s="20"/>
      <c r="F55" s="25">
        <v>885.19</v>
      </c>
      <c r="G55" s="23">
        <v>2.0</v>
      </c>
      <c r="H55" s="23">
        <v>7.0</v>
      </c>
      <c r="I55" s="26">
        <v>119500.0</v>
      </c>
      <c r="J55" s="24">
        <v>133.0</v>
      </c>
      <c r="K55" s="24">
        <v>133.0</v>
      </c>
    </row>
    <row r="56">
      <c r="A56" s="18">
        <v>44095.0</v>
      </c>
      <c r="B56" s="19" t="s">
        <v>57</v>
      </c>
      <c r="C56" s="20">
        <v>91.0</v>
      </c>
      <c r="D56" s="21">
        <v>2.0</v>
      </c>
      <c r="E56" s="20">
        <v>8.0</v>
      </c>
      <c r="F56" s="25">
        <v>889.02</v>
      </c>
      <c r="G56" s="23">
        <v>1.0</v>
      </c>
      <c r="H56" s="23">
        <v>18.0</v>
      </c>
      <c r="I56" s="26">
        <v>72900.0</v>
      </c>
      <c r="J56" s="24">
        <v>89.0</v>
      </c>
      <c r="K56" s="24">
        <v>81.0</v>
      </c>
    </row>
    <row r="57">
      <c r="A57" s="18">
        <v>44095.0</v>
      </c>
      <c r="B57" s="19" t="s">
        <v>58</v>
      </c>
      <c r="C57" s="20">
        <v>67.0</v>
      </c>
      <c r="D57" s="21">
        <v>0.0</v>
      </c>
      <c r="E57" s="20">
        <v>4.0</v>
      </c>
      <c r="F57" s="25">
        <v>865.63</v>
      </c>
      <c r="G57" s="23">
        <v>1.0</v>
      </c>
      <c r="H57" s="23">
        <v>0.0</v>
      </c>
      <c r="I57" s="26">
        <v>55400.0</v>
      </c>
      <c r="J57" s="24">
        <v>67.0</v>
      </c>
      <c r="K57" s="24">
        <v>63.0</v>
      </c>
    </row>
    <row r="58">
      <c r="A58" s="18">
        <v>44099.0</v>
      </c>
      <c r="B58" s="19" t="s">
        <v>59</v>
      </c>
      <c r="C58" s="20">
        <v>437.0</v>
      </c>
      <c r="D58" s="21">
        <v>1.0</v>
      </c>
      <c r="E58" s="20">
        <v>24.0</v>
      </c>
      <c r="F58" s="25">
        <v>936.6</v>
      </c>
      <c r="G58" s="23">
        <v>6.0</v>
      </c>
      <c r="H58" s="23">
        <v>34.0</v>
      </c>
      <c r="I58" s="26">
        <v>391500.0</v>
      </c>
      <c r="J58" s="24">
        <v>436.0</v>
      </c>
      <c r="K58" s="24">
        <v>412.0</v>
      </c>
    </row>
    <row r="59">
      <c r="A59" s="18">
        <v>44102.0</v>
      </c>
      <c r="B59" s="19" t="s">
        <v>60</v>
      </c>
      <c r="C59" s="20">
        <v>926.0</v>
      </c>
      <c r="D59" s="21">
        <v>15.0</v>
      </c>
      <c r="E59" s="20"/>
      <c r="F59" s="25">
        <v>936.0</v>
      </c>
      <c r="G59" s="23">
        <v>14.0</v>
      </c>
      <c r="H59" s="23">
        <v>29.0</v>
      </c>
      <c r="I59" s="26">
        <v>865800.0</v>
      </c>
      <c r="J59" s="24">
        <v>911.0</v>
      </c>
      <c r="K59" s="24">
        <v>911.0</v>
      </c>
    </row>
    <row r="60">
      <c r="A60" s="18">
        <v>44103.0</v>
      </c>
      <c r="B60" s="19" t="s">
        <v>57</v>
      </c>
      <c r="C60" s="20">
        <v>22.0</v>
      </c>
      <c r="D60" s="21">
        <v>0.0</v>
      </c>
      <c r="E60" s="20">
        <v>0.0</v>
      </c>
      <c r="F60" s="25">
        <v>950.0</v>
      </c>
      <c r="G60" s="23">
        <v>0.0</v>
      </c>
      <c r="H60" s="23">
        <v>22.0</v>
      </c>
      <c r="I60" s="26">
        <v>20900.0</v>
      </c>
      <c r="J60" s="24">
        <v>22.0</v>
      </c>
      <c r="K60" s="24">
        <v>22.0</v>
      </c>
    </row>
    <row r="61">
      <c r="A61" s="18">
        <v>44103.0</v>
      </c>
      <c r="B61" s="19" t="s">
        <v>61</v>
      </c>
      <c r="C61" s="20">
        <v>182.0</v>
      </c>
      <c r="D61" s="21"/>
      <c r="E61" s="20">
        <v>16.0</v>
      </c>
      <c r="F61" s="25">
        <v>908.93</v>
      </c>
      <c r="G61" s="23">
        <v>2.0</v>
      </c>
      <c r="H61" s="23">
        <v>40.0</v>
      </c>
      <c r="I61" s="26">
        <v>152700.0</v>
      </c>
      <c r="J61" s="24">
        <v>182.0</v>
      </c>
      <c r="K61" s="24">
        <v>166.0</v>
      </c>
    </row>
    <row r="62">
      <c r="A62" s="18">
        <v>44104.0</v>
      </c>
      <c r="B62" s="19" t="s">
        <v>62</v>
      </c>
      <c r="C62" s="20">
        <v>31.0</v>
      </c>
      <c r="D62" s="21"/>
      <c r="E62" s="20">
        <v>1.0</v>
      </c>
      <c r="F62" s="25">
        <v>950.0</v>
      </c>
      <c r="G62" s="23">
        <v>0.0</v>
      </c>
      <c r="H62" s="23">
        <v>30.0</v>
      </c>
      <c r="I62" s="26">
        <v>28500.0</v>
      </c>
      <c r="J62" s="24">
        <v>31.0</v>
      </c>
      <c r="K62" s="24">
        <v>30.0</v>
      </c>
    </row>
    <row r="63">
      <c r="A63" s="18">
        <v>44104.0</v>
      </c>
      <c r="B63" s="19" t="s">
        <v>63</v>
      </c>
      <c r="C63" s="20">
        <v>130.0</v>
      </c>
      <c r="D63" s="21">
        <v>2.0</v>
      </c>
      <c r="E63" s="20"/>
      <c r="F63" s="25">
        <v>976.74</v>
      </c>
      <c r="G63" s="23">
        <v>2.0</v>
      </c>
      <c r="H63" s="23">
        <v>1.0</v>
      </c>
      <c r="I63" s="26">
        <v>126000.0</v>
      </c>
      <c r="J63" s="24">
        <v>128.0</v>
      </c>
      <c r="K63" s="24">
        <v>128.0</v>
      </c>
    </row>
    <row r="64">
      <c r="A64" s="18">
        <v>44103.0</v>
      </c>
      <c r="B64" s="19" t="s">
        <v>64</v>
      </c>
      <c r="C64" s="20">
        <v>5.0</v>
      </c>
      <c r="D64" s="21"/>
      <c r="E64" s="20"/>
      <c r="F64" s="25">
        <v>600.0</v>
      </c>
      <c r="G64" s="23">
        <v>0.0</v>
      </c>
      <c r="H64" s="23">
        <v>5.0</v>
      </c>
      <c r="I64" s="26">
        <v>3000.0</v>
      </c>
      <c r="J64" s="24">
        <v>5.0</v>
      </c>
      <c r="K64" s="24">
        <v>5.0</v>
      </c>
    </row>
    <row r="65">
      <c r="A65" s="18">
        <v>44103.0</v>
      </c>
      <c r="B65" s="19" t="s">
        <v>65</v>
      </c>
      <c r="C65" s="20">
        <v>114.0</v>
      </c>
      <c r="D65" s="21"/>
      <c r="E65" s="20"/>
      <c r="F65" s="25">
        <v>913.04</v>
      </c>
      <c r="G65" s="23">
        <v>1.0</v>
      </c>
      <c r="H65" s="23">
        <v>51.0</v>
      </c>
      <c r="I65" s="26">
        <v>105000.0</v>
      </c>
      <c r="J65" s="24">
        <v>114.0</v>
      </c>
      <c r="K65" s="24">
        <v>114.0</v>
      </c>
    </row>
    <row r="66">
      <c r="A66" s="18">
        <v>44105.0</v>
      </c>
      <c r="B66" s="19" t="s">
        <v>66</v>
      </c>
      <c r="C66" s="20">
        <v>55.0</v>
      </c>
      <c r="D66" s="21">
        <v>1.0</v>
      </c>
      <c r="E66" s="20">
        <v>0.0</v>
      </c>
      <c r="F66" s="25">
        <v>950.0</v>
      </c>
      <c r="G66" s="23">
        <v>0.0</v>
      </c>
      <c r="H66" s="23">
        <v>54.0</v>
      </c>
      <c r="I66" s="26">
        <v>51300.0</v>
      </c>
      <c r="J66" s="24">
        <v>54.0</v>
      </c>
      <c r="K66" s="24">
        <v>54.0</v>
      </c>
    </row>
    <row r="67">
      <c r="A67" s="18">
        <v>44106.0</v>
      </c>
      <c r="B67" s="19" t="s">
        <v>67</v>
      </c>
      <c r="C67" s="20">
        <v>183.0</v>
      </c>
      <c r="D67" s="21">
        <v>3.0</v>
      </c>
      <c r="E67" s="20">
        <v>0.0</v>
      </c>
      <c r="F67" s="25">
        <v>920.33</v>
      </c>
      <c r="G67" s="23">
        <v>2.0</v>
      </c>
      <c r="H67" s="23">
        <v>54.0</v>
      </c>
      <c r="I67" s="26">
        <v>167500.0</v>
      </c>
      <c r="J67" s="24">
        <v>180.0</v>
      </c>
      <c r="K67" s="24">
        <v>180.0</v>
      </c>
    </row>
    <row r="68">
      <c r="A68" s="18">
        <v>44109.0</v>
      </c>
      <c r="B68" s="19" t="s">
        <v>68</v>
      </c>
      <c r="C68" s="20">
        <v>115.0</v>
      </c>
      <c r="D68" s="21">
        <v>2.0</v>
      </c>
      <c r="E68" s="20"/>
      <c r="F68" s="25"/>
      <c r="G68" s="23"/>
      <c r="H68" s="23"/>
      <c r="I68" s="26">
        <v>107300.0</v>
      </c>
      <c r="J68" s="24"/>
      <c r="K68" s="24"/>
    </row>
    <row r="69">
      <c r="A69" s="18">
        <v>44109.0</v>
      </c>
      <c r="B69" s="19" t="s">
        <v>69</v>
      </c>
      <c r="C69" s="20">
        <v>242.0</v>
      </c>
      <c r="D69" s="21">
        <v>4.0</v>
      </c>
      <c r="E69" s="20"/>
      <c r="F69" s="25"/>
      <c r="G69" s="23"/>
      <c r="H69" s="23"/>
      <c r="I69" s="26">
        <v>230800.0</v>
      </c>
      <c r="J69" s="24"/>
      <c r="K69" s="24"/>
    </row>
    <row r="70">
      <c r="A70" s="18">
        <v>44109.0</v>
      </c>
      <c r="B70" s="19" t="s">
        <v>70</v>
      </c>
      <c r="C70" s="20">
        <v>325.0</v>
      </c>
      <c r="D70" s="21">
        <v>5.0</v>
      </c>
      <c r="E70" s="20"/>
      <c r="F70" s="25"/>
      <c r="G70" s="23"/>
      <c r="H70" s="23"/>
      <c r="I70" s="26">
        <v>205700.0</v>
      </c>
      <c r="J70" s="24"/>
      <c r="K70" s="24"/>
    </row>
    <row r="71">
      <c r="A71" s="18">
        <v>44109.0</v>
      </c>
      <c r="B71" s="19" t="s">
        <v>71</v>
      </c>
      <c r="C71" s="20">
        <v>41.0</v>
      </c>
      <c r="D71" s="21"/>
      <c r="E71" s="20">
        <v>16.0</v>
      </c>
      <c r="F71" s="25"/>
      <c r="G71" s="23"/>
      <c r="H71" s="23"/>
      <c r="I71" s="26">
        <v>20500.0</v>
      </c>
      <c r="J71" s="24"/>
      <c r="K71" s="24"/>
    </row>
    <row r="72">
      <c r="A72" s="18">
        <v>44110.0</v>
      </c>
      <c r="B72" s="19" t="s">
        <v>72</v>
      </c>
      <c r="C72" s="20">
        <v>222.0</v>
      </c>
      <c r="D72" s="21">
        <v>3.0</v>
      </c>
      <c r="E72" s="20">
        <v>12.0</v>
      </c>
      <c r="F72" s="25">
        <v>745.71</v>
      </c>
      <c r="G72" s="23">
        <v>3.0</v>
      </c>
      <c r="H72" s="23">
        <v>18.0</v>
      </c>
      <c r="I72" s="26">
        <v>156600.0</v>
      </c>
      <c r="J72" s="24">
        <v>219.0</v>
      </c>
      <c r="K72" s="24">
        <v>207.0</v>
      </c>
    </row>
    <row r="73">
      <c r="A73" s="18">
        <v>44110.0</v>
      </c>
      <c r="B73" s="19" t="s">
        <v>73</v>
      </c>
      <c r="C73" s="20">
        <v>130.0</v>
      </c>
      <c r="D73" s="21">
        <v>2.0</v>
      </c>
      <c r="E73" s="20"/>
      <c r="F73" s="25">
        <v>775.19</v>
      </c>
      <c r="G73" s="23">
        <v>2.0</v>
      </c>
      <c r="H73" s="23">
        <v>1.0</v>
      </c>
      <c r="I73" s="26">
        <v>100000.0</v>
      </c>
      <c r="J73" s="24">
        <v>128.0</v>
      </c>
      <c r="K73" s="24">
        <v>128.0</v>
      </c>
    </row>
    <row r="74">
      <c r="A74" s="18">
        <v>44111.0</v>
      </c>
      <c r="B74" s="19" t="s">
        <v>73</v>
      </c>
      <c r="C74" s="20">
        <v>9.0</v>
      </c>
      <c r="D74" s="21">
        <v>0.0</v>
      </c>
      <c r="E74" s="20">
        <v>2.0</v>
      </c>
      <c r="F74" s="25">
        <v>4428.57</v>
      </c>
      <c r="G74" s="23">
        <v>0.0</v>
      </c>
      <c r="H74" s="23">
        <v>7.0</v>
      </c>
      <c r="I74" s="26">
        <v>31000.0</v>
      </c>
      <c r="J74" s="24">
        <v>9.0</v>
      </c>
      <c r="K74" s="24">
        <v>7.0</v>
      </c>
    </row>
    <row r="75">
      <c r="A75" s="18">
        <v>44111.0</v>
      </c>
      <c r="B75" s="19" t="s">
        <v>74</v>
      </c>
      <c r="C75" s="20">
        <v>428.0</v>
      </c>
      <c r="D75" s="21">
        <v>4.0</v>
      </c>
      <c r="E75" s="20">
        <v>12.0</v>
      </c>
      <c r="F75" s="25">
        <v>917.46</v>
      </c>
      <c r="G75" s="23">
        <v>6.0</v>
      </c>
      <c r="H75" s="23">
        <v>34.0</v>
      </c>
      <c r="I75" s="26">
        <v>383500.0</v>
      </c>
      <c r="J75" s="24">
        <v>424.0</v>
      </c>
      <c r="K75" s="24">
        <v>412.0</v>
      </c>
    </row>
    <row r="76">
      <c r="A76" s="18">
        <v>44112.0</v>
      </c>
      <c r="B76" s="19" t="s">
        <v>75</v>
      </c>
      <c r="C76" s="20">
        <v>142.0</v>
      </c>
      <c r="D76" s="21"/>
      <c r="E76" s="20">
        <v>7.0</v>
      </c>
      <c r="F76" s="25">
        <v>949.64</v>
      </c>
      <c r="G76" s="23">
        <v>2.0</v>
      </c>
      <c r="H76" s="23">
        <v>9.0</v>
      </c>
      <c r="I76" s="26">
        <v>130100.0</v>
      </c>
      <c r="J76" s="24">
        <v>142.0</v>
      </c>
      <c r="K76" s="24">
        <v>135.0</v>
      </c>
    </row>
    <row r="77">
      <c r="A77" s="18">
        <v>44114.0</v>
      </c>
      <c r="B77" s="19" t="s">
        <v>76</v>
      </c>
      <c r="C77" s="20">
        <v>92.0</v>
      </c>
      <c r="D77" s="21">
        <v>2.0</v>
      </c>
      <c r="E77" s="20">
        <v>5.0</v>
      </c>
      <c r="F77" s="25">
        <v>958.14</v>
      </c>
      <c r="G77" s="23">
        <v>1.0</v>
      </c>
      <c r="H77" s="23">
        <v>22.0</v>
      </c>
      <c r="I77" s="26">
        <v>82400.0</v>
      </c>
      <c r="J77" s="24">
        <v>90.0</v>
      </c>
      <c r="K77" s="24">
        <v>85.0</v>
      </c>
    </row>
    <row r="78">
      <c r="A78" s="18">
        <v>44114.0</v>
      </c>
      <c r="B78" s="19" t="s">
        <v>77</v>
      </c>
      <c r="C78" s="20">
        <v>333.0</v>
      </c>
      <c r="D78" s="21">
        <v>5.0</v>
      </c>
      <c r="E78" s="20"/>
      <c r="F78" s="25">
        <v>150.15</v>
      </c>
      <c r="G78" s="23">
        <v>5.0</v>
      </c>
      <c r="H78" s="23">
        <v>13.0</v>
      </c>
      <c r="I78" s="26">
        <v>50000.0</v>
      </c>
      <c r="J78" s="24">
        <v>328.0</v>
      </c>
      <c r="K78" s="24">
        <v>328.0</v>
      </c>
    </row>
    <row r="79">
      <c r="A79" s="18"/>
      <c r="B79" s="19"/>
      <c r="C79" s="20"/>
      <c r="D79" s="21"/>
      <c r="E79" s="20"/>
      <c r="F79" s="25"/>
      <c r="G79" s="23"/>
      <c r="H79" s="23"/>
      <c r="I79" s="26"/>
      <c r="J79" s="24"/>
      <c r="K79" s="24"/>
    </row>
  </sheetData>
  <mergeCells count="1">
    <mergeCell ref="A1:C1"/>
  </mergeCells>
  <dataValidations>
    <dataValidation type="custom" allowBlank="1" showDropDown="1" showErrorMessage="1" sqref="A5:A79">
      <formula1>OR(NOT(ISERROR(DATEVALUE(A5))), AND(ISNUMBER(A5), LEFT(CELL("format", A5))="D"))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7" t="str">
        <f>IFERROR(__xludf.DUMMYFUNCTION("QUERY(PreFinance!A2:R1501,""SELECT *"" &amp; IF(COUNTBLANK(HelperFormulas!D16)=2,"""","" WHERE "" &amp; TEXTJOIN("" AND "", TRUE, HelperFormulas!D16)),1)"),"COUNT")</f>
        <v>COUNT</v>
      </c>
      <c r="B2" s="96" t="str">
        <f>IFERROR(__xludf.DUMMYFUNCTION("""COMPUTED_VALUE"""),"DATE")</f>
        <v>DATE</v>
      </c>
      <c r="C2" s="96" t="str">
        <f>IFERROR(__xludf.DUMMYFUNCTION("""COMPUTED_VALUE"""),"NAMES")</f>
        <v>NAMES</v>
      </c>
      <c r="D2" s="96" t="str">
        <f>IFERROR(__xludf.DUMMYFUNCTION("""COMPUTED_VALUE"""),"Cnam")</f>
        <v>Cnam</v>
      </c>
      <c r="E2" s="96" t="str">
        <f>IFERROR(__xludf.DUMMYFUNCTION("""COMPUTED_VALUE"""),"GROSS WT")</f>
        <v>GROSS WT</v>
      </c>
      <c r="F2" s="96" t="str">
        <f>IFERROR(__xludf.DUMMYFUNCTION("""COMPUTED_VALUE"""),"TOTAL MST")</f>
        <v>TOTAL MST</v>
      </c>
      <c r="G2" s="96" t="str">
        <f>IFERROR(__xludf.DUMMYFUNCTION("""COMPUTED_VALUE"""),"QTY")</f>
        <v>QTY</v>
      </c>
      <c r="H2" s="96" t="str">
        <f>IFERROR(__xludf.DUMMYFUNCTION("""COMPUTED_VALUE"""),"TOTAL BAGS")</f>
        <v>TOTAL BAGS</v>
      </c>
      <c r="I2" s="96" t="str">
        <f>IFERROR(__xludf.DUMMYFUNCTION("""COMPUTED_VALUE""")," CHINA BAGS")</f>
        <v> CHINA BAGS</v>
      </c>
      <c r="J2" s="96" t="str">
        <f>IFERROR(__xludf.DUMMYFUNCTION("""COMPUTED_VALUE"""),"UNIT PRC")</f>
        <v>UNIT PRC</v>
      </c>
      <c r="K2" s="96" t="str">
        <f>IFERROR(__xludf.DUMMYFUNCTION("""COMPUTED_VALUE"""),"ADVANCE")</f>
        <v>ADVANCE</v>
      </c>
      <c r="L2" s="96" t="str">
        <f>IFERROR(__xludf.DUMMYFUNCTION("""COMPUTED_VALUE"""),"BAL~")</f>
        <v>BAL~</v>
      </c>
      <c r="M2" s="96" t="str">
        <f>IFERROR(__xludf.DUMMYFUNCTION("""COMPUTED_VALUE"""),"A M")</f>
        <v>A M</v>
      </c>
      <c r="N2" s="96" t="str">
        <f>IFERROR(__xludf.DUMMYFUNCTION("""COMPUTED_VALUE"""),"MSTRE DISCT")</f>
        <v>MSTRE DISCT</v>
      </c>
      <c r="O2" s="96" t="str">
        <f>IFERROR(__xludf.DUMMYFUNCTION("""COMPUTED_VALUE"""),"BAGS")</f>
        <v>BAGS</v>
      </c>
      <c r="P2" s="96" t="str">
        <f>IFERROR(__xludf.DUMMYFUNCTION("""COMPUTED_VALUE"""),"KGS")</f>
        <v>KGS</v>
      </c>
      <c r="Q2" s="96" t="str">
        <f>IFERROR(__xludf.DUMMYFUNCTION("""COMPUTED_VALUE"""),"PAYABLE")</f>
        <v>PAYABLE</v>
      </c>
      <c r="R2" s="96" t="str">
        <f>IFERROR(__xludf.DUMMYFUNCTION("""COMPUTED_VALUE"""),"AMT")</f>
        <v>AMT</v>
      </c>
      <c r="V2" s="97" t="str">
        <f>IFERROR(__xludf.DUMMYFUNCTION("QUERY(PreFinance!A2:R1501,""SELECT *"" &amp; IF(COUNTBLANK(HelperFormulas!D19)=2,"""","" WHERE "" &amp; TEXTJOIN("" AND "", TRUE, HelperFormulas!D19)),1)"),"COUNT")</f>
        <v>COUNT</v>
      </c>
      <c r="W2" s="96" t="str">
        <f>IFERROR(__xludf.DUMMYFUNCTION("""COMPUTED_VALUE"""),"DATE")</f>
        <v>DATE</v>
      </c>
      <c r="X2" s="96" t="str">
        <f>IFERROR(__xludf.DUMMYFUNCTION("""COMPUTED_VALUE"""),"NAMES")</f>
        <v>NAMES</v>
      </c>
      <c r="Y2" s="96" t="str">
        <f>IFERROR(__xludf.DUMMYFUNCTION("""COMPUTED_VALUE"""),"Cnam")</f>
        <v>Cnam</v>
      </c>
      <c r="Z2" s="96" t="str">
        <f>IFERROR(__xludf.DUMMYFUNCTION("""COMPUTED_VALUE"""),"GROSS WT")</f>
        <v>GROSS WT</v>
      </c>
      <c r="AA2" s="96" t="str">
        <f>IFERROR(__xludf.DUMMYFUNCTION("""COMPUTED_VALUE"""),"TOTAL MST")</f>
        <v>TOTAL MST</v>
      </c>
      <c r="AB2" s="96" t="str">
        <f>IFERROR(__xludf.DUMMYFUNCTION("""COMPUTED_VALUE"""),"QTY")</f>
        <v>QTY</v>
      </c>
      <c r="AC2" s="96" t="str">
        <f>IFERROR(__xludf.DUMMYFUNCTION("""COMPUTED_VALUE"""),"TOTAL BAGS")</f>
        <v>TOTAL BAGS</v>
      </c>
      <c r="AD2" s="96" t="str">
        <f>IFERROR(__xludf.DUMMYFUNCTION("""COMPUTED_VALUE""")," CHINA BAGS")</f>
        <v> CHINA BAGS</v>
      </c>
      <c r="AE2" s="96" t="str">
        <f>IFERROR(__xludf.DUMMYFUNCTION("""COMPUTED_VALUE"""),"UNIT PRC")</f>
        <v>UNIT PRC</v>
      </c>
      <c r="AF2" s="96" t="str">
        <f>IFERROR(__xludf.DUMMYFUNCTION("""COMPUTED_VALUE"""),"ADVANCE")</f>
        <v>ADVANCE</v>
      </c>
      <c r="AG2" s="96" t="str">
        <f>IFERROR(__xludf.DUMMYFUNCTION("""COMPUTED_VALUE"""),"BAL~")</f>
        <v>BAL~</v>
      </c>
      <c r="AH2" s="96" t="str">
        <f>IFERROR(__xludf.DUMMYFUNCTION("""COMPUTED_VALUE"""),"A M")</f>
        <v>A M</v>
      </c>
      <c r="AI2" s="96" t="str">
        <f>IFERROR(__xludf.DUMMYFUNCTION("""COMPUTED_VALUE"""),"MSTRE DISCT")</f>
        <v>MSTRE DISCT</v>
      </c>
      <c r="AJ2" s="96" t="str">
        <f>IFERROR(__xludf.DUMMYFUNCTION("""COMPUTED_VALUE"""),"BAGS")</f>
        <v>BAGS</v>
      </c>
      <c r="AK2" s="96" t="str">
        <f>IFERROR(__xludf.DUMMYFUNCTION("""COMPUTED_VALUE"""),"KGS")</f>
        <v>KGS</v>
      </c>
      <c r="AL2" s="96" t="str">
        <f>IFERROR(__xludf.DUMMYFUNCTION("""COMPUTED_VALUE"""),"PAYABLE")</f>
        <v>PAYABLE</v>
      </c>
      <c r="AM2" s="96" t="str">
        <f>IFERROR(__xludf.DUMMYFUNCTION("""COMPUTED_VALUE"""),"AMT")</f>
        <v>AMT</v>
      </c>
    </row>
    <row r="3">
      <c r="V3" s="96">
        <f>IFERROR(__xludf.DUMMYFUNCTION("""COMPUTED_VALUE"""),1.0)</f>
        <v>1</v>
      </c>
      <c r="W3" s="98">
        <f>IFERROR(__xludf.DUMMYFUNCTION("""COMPUTED_VALUE"""),43743.0)</f>
        <v>43743</v>
      </c>
      <c r="X3" s="96" t="str">
        <f>IFERROR(__xludf.DUMMYFUNCTION("""COMPUTED_VALUE"""),"EDWARD OKO")</f>
        <v>EDWARD OKO</v>
      </c>
      <c r="Y3" s="96" t="str">
        <f>IFERROR(__xludf.DUMMYFUNCTION("""COMPUTED_VALUE"""),"EDWARD OKO1")</f>
        <v>EDWARD OKO1</v>
      </c>
      <c r="Z3" s="96"/>
      <c r="AA3" s="96"/>
      <c r="AB3" s="96"/>
      <c r="AC3" s="96"/>
      <c r="AD3" s="96"/>
      <c r="AE3" s="96"/>
      <c r="AF3" s="96">
        <f>IFERROR(__xludf.DUMMYFUNCTION("""COMPUTED_VALUE"""),521000.0)</f>
        <v>521000</v>
      </c>
      <c r="AG3" s="99">
        <f>IFERROR(__xludf.DUMMYFUNCTION("""COMPUTED_VALUE"""),521000.0)</f>
        <v>521000</v>
      </c>
      <c r="AH3" s="96"/>
      <c r="AI3" s="96">
        <f>IFERROR(__xludf.DUMMYFUNCTION("""COMPUTED_VALUE"""),0.0)</f>
        <v>0</v>
      </c>
      <c r="AJ3" s="96">
        <f>IFERROR(__xludf.DUMMYFUNCTION("""COMPUTED_VALUE"""),0.0)</f>
        <v>0</v>
      </c>
      <c r="AK3" s="96">
        <f>IFERROR(__xludf.DUMMYFUNCTION("""COMPUTED_VALUE"""),0.0)</f>
        <v>0</v>
      </c>
      <c r="AL3" s="129">
        <f>IFERROR(__xludf.DUMMYFUNCTION("""COMPUTED_VALUE"""),0.0)</f>
        <v>0</v>
      </c>
      <c r="AM3" s="99"/>
    </row>
    <row r="4">
      <c r="V4" s="96">
        <f>IFERROR(__xludf.DUMMYFUNCTION("""COMPUTED_VALUE"""),1.0)</f>
        <v>1</v>
      </c>
      <c r="W4" s="98">
        <f>IFERROR(__xludf.DUMMYFUNCTION("""COMPUTED_VALUE"""),43743.0)</f>
        <v>43743</v>
      </c>
      <c r="X4" s="96" t="str">
        <f>IFERROR(__xludf.DUMMYFUNCTION("""COMPUTED_VALUE"""),"INT OTU")</f>
        <v>INT OTU</v>
      </c>
      <c r="Y4" s="96" t="str">
        <f>IFERROR(__xludf.DUMMYFUNCTION("""COMPUTED_VALUE"""),"INT OTU1")</f>
        <v>INT OTU1</v>
      </c>
      <c r="Z4" s="96"/>
      <c r="AA4" s="96"/>
      <c r="AB4" s="96"/>
      <c r="AC4" s="96"/>
      <c r="AD4" s="96"/>
      <c r="AE4" s="96"/>
      <c r="AF4" s="96">
        <f>IFERROR(__xludf.DUMMYFUNCTION("""COMPUTED_VALUE"""),555000.0)</f>
        <v>555000</v>
      </c>
      <c r="AG4" s="99">
        <f>IFERROR(__xludf.DUMMYFUNCTION("""COMPUTED_VALUE"""),555000.0)</f>
        <v>555000</v>
      </c>
      <c r="AH4" s="96"/>
      <c r="AI4" s="96">
        <f>IFERROR(__xludf.DUMMYFUNCTION("""COMPUTED_VALUE"""),0.0)</f>
        <v>0</v>
      </c>
      <c r="AJ4" s="96">
        <f>IFERROR(__xludf.DUMMYFUNCTION("""COMPUTED_VALUE"""),0.0)</f>
        <v>0</v>
      </c>
      <c r="AK4" s="96">
        <f>IFERROR(__xludf.DUMMYFUNCTION("""COMPUTED_VALUE"""),0.0)</f>
        <v>0</v>
      </c>
      <c r="AL4" s="129">
        <f>IFERROR(__xludf.DUMMYFUNCTION("""COMPUTED_VALUE"""),0.0)</f>
        <v>0</v>
      </c>
      <c r="AM4" s="99"/>
    </row>
    <row r="5">
      <c r="V5" s="96">
        <f>IFERROR(__xludf.DUMMYFUNCTION("""COMPUTED_VALUE"""),1.0)</f>
        <v>1</v>
      </c>
      <c r="W5" s="98">
        <f>IFERROR(__xludf.DUMMYFUNCTION("""COMPUTED_VALUE"""),43743.0)</f>
        <v>43743</v>
      </c>
      <c r="X5" s="96" t="str">
        <f>IFERROR(__xludf.DUMMYFUNCTION("""COMPUTED_VALUE"""),"ETUK EFFI")</f>
        <v>ETUK EFFI</v>
      </c>
      <c r="Y5" s="96" t="str">
        <f>IFERROR(__xludf.DUMMYFUNCTION("""COMPUTED_VALUE"""),"ETUK EFFI1")</f>
        <v>ETUK EFFI1</v>
      </c>
      <c r="Z5" s="96"/>
      <c r="AA5" s="96"/>
      <c r="AB5" s="96"/>
      <c r="AC5" s="96"/>
      <c r="AD5" s="96"/>
      <c r="AE5" s="96"/>
      <c r="AF5" s="96">
        <f>IFERROR(__xludf.DUMMYFUNCTION("""COMPUTED_VALUE"""),700000.0)</f>
        <v>700000</v>
      </c>
      <c r="AG5" s="99">
        <f>IFERROR(__xludf.DUMMYFUNCTION("""COMPUTED_VALUE"""),700000.0)</f>
        <v>700000</v>
      </c>
      <c r="AH5" s="96"/>
      <c r="AI5" s="96">
        <f>IFERROR(__xludf.DUMMYFUNCTION("""COMPUTED_VALUE"""),0.0)</f>
        <v>0</v>
      </c>
      <c r="AJ5" s="96">
        <f>IFERROR(__xludf.DUMMYFUNCTION("""COMPUTED_VALUE"""),0.0)</f>
        <v>0</v>
      </c>
      <c r="AK5" s="96">
        <f>IFERROR(__xludf.DUMMYFUNCTION("""COMPUTED_VALUE"""),0.0)</f>
        <v>0</v>
      </c>
      <c r="AL5" s="129">
        <f>IFERROR(__xludf.DUMMYFUNCTION("""COMPUTED_VALUE"""),0.0)</f>
        <v>0</v>
      </c>
      <c r="AM5" s="99"/>
    </row>
    <row r="6">
      <c r="V6" s="96">
        <f>IFERROR(__xludf.DUMMYFUNCTION("""COMPUTED_VALUE"""),1.0)</f>
        <v>1</v>
      </c>
      <c r="W6" s="98">
        <f>IFERROR(__xludf.DUMMYFUNCTION("""COMPUTED_VALUE"""),43743.0)</f>
        <v>43743</v>
      </c>
      <c r="X6" s="96" t="str">
        <f>IFERROR(__xludf.DUMMYFUNCTION("""COMPUTED_VALUE"""),"ADE ADE")</f>
        <v>ADE ADE</v>
      </c>
      <c r="Y6" s="96" t="str">
        <f>IFERROR(__xludf.DUMMYFUNCTION("""COMPUTED_VALUE"""),"ADE ADE1")</f>
        <v>ADE ADE1</v>
      </c>
      <c r="Z6" s="96"/>
      <c r="AA6" s="96"/>
      <c r="AB6" s="96"/>
      <c r="AC6" s="96"/>
      <c r="AD6" s="96"/>
      <c r="AE6" s="96"/>
      <c r="AF6" s="96">
        <f>IFERROR(__xludf.DUMMYFUNCTION("""COMPUTED_VALUE"""),328000.0)</f>
        <v>328000</v>
      </c>
      <c r="AG6" s="99">
        <f>IFERROR(__xludf.DUMMYFUNCTION("""COMPUTED_VALUE"""),328000.0)</f>
        <v>328000</v>
      </c>
      <c r="AH6" s="96"/>
      <c r="AI6" s="96">
        <f>IFERROR(__xludf.DUMMYFUNCTION("""COMPUTED_VALUE"""),0.0)</f>
        <v>0</v>
      </c>
      <c r="AJ6" s="96">
        <f>IFERROR(__xludf.DUMMYFUNCTION("""COMPUTED_VALUE"""),0.0)</f>
        <v>0</v>
      </c>
      <c r="AK6" s="96">
        <f>IFERROR(__xludf.DUMMYFUNCTION("""COMPUTED_VALUE"""),0.0)</f>
        <v>0</v>
      </c>
      <c r="AL6" s="129">
        <f>IFERROR(__xludf.DUMMYFUNCTION("""COMPUTED_VALUE"""),0.0)</f>
        <v>0</v>
      </c>
      <c r="AM6" s="99"/>
    </row>
    <row r="7">
      <c r="V7" s="96">
        <f>IFERROR(__xludf.DUMMYFUNCTION("""COMPUTED_VALUE"""),1.0)</f>
        <v>1</v>
      </c>
      <c r="W7" s="98">
        <f>IFERROR(__xludf.DUMMYFUNCTION("""COMPUTED_VALUE"""),43743.0)</f>
        <v>43743</v>
      </c>
      <c r="X7" s="96" t="str">
        <f>IFERROR(__xludf.DUMMYFUNCTION("""COMPUTED_VALUE"""),"BESSONG BESONG")</f>
        <v>BESSONG BESONG</v>
      </c>
      <c r="Y7" s="96" t="str">
        <f>IFERROR(__xludf.DUMMYFUNCTION("""COMPUTED_VALUE"""),"BESSONG BESONG1")</f>
        <v>BESSONG BESONG1</v>
      </c>
      <c r="Z7" s="96"/>
      <c r="AA7" s="96"/>
      <c r="AB7" s="96"/>
      <c r="AC7" s="96"/>
      <c r="AD7" s="96"/>
      <c r="AE7" s="96"/>
      <c r="AF7" s="96">
        <f>IFERROR(__xludf.DUMMYFUNCTION("""COMPUTED_VALUE"""),497440.0)</f>
        <v>497440</v>
      </c>
      <c r="AG7" s="99">
        <f>IFERROR(__xludf.DUMMYFUNCTION("""COMPUTED_VALUE"""),497440.0)</f>
        <v>497440</v>
      </c>
      <c r="AH7" s="96"/>
      <c r="AI7" s="96">
        <f>IFERROR(__xludf.DUMMYFUNCTION("""COMPUTED_VALUE"""),0.0)</f>
        <v>0</v>
      </c>
      <c r="AJ7" s="96">
        <f>IFERROR(__xludf.DUMMYFUNCTION("""COMPUTED_VALUE"""),0.0)</f>
        <v>0</v>
      </c>
      <c r="AK7" s="96">
        <f>IFERROR(__xludf.DUMMYFUNCTION("""COMPUTED_VALUE"""),0.0)</f>
        <v>0</v>
      </c>
      <c r="AL7" s="129">
        <f>IFERROR(__xludf.DUMMYFUNCTION("""COMPUTED_VALUE"""),0.0)</f>
        <v>0</v>
      </c>
      <c r="AM7" s="99"/>
    </row>
    <row r="8">
      <c r="V8" s="96">
        <f>IFERROR(__xludf.DUMMYFUNCTION("""COMPUTED_VALUE"""),1.0)</f>
        <v>1</v>
      </c>
      <c r="W8" s="98">
        <f>IFERROR(__xludf.DUMMYFUNCTION("""COMPUTED_VALUE"""),43743.0)</f>
        <v>43743</v>
      </c>
      <c r="X8" s="96" t="str">
        <f>IFERROR(__xludf.DUMMYFUNCTION("""COMPUTED_VALUE"""),"MINOR")</f>
        <v>MINOR</v>
      </c>
      <c r="Y8" s="96" t="str">
        <f>IFERROR(__xludf.DUMMYFUNCTION("""COMPUTED_VALUE"""),"MINOR1")</f>
        <v>MINOR1</v>
      </c>
      <c r="Z8" s="96"/>
      <c r="AA8" s="96"/>
      <c r="AB8" s="96"/>
      <c r="AC8" s="96"/>
      <c r="AD8" s="96"/>
      <c r="AE8" s="96"/>
      <c r="AF8" s="96">
        <f>IFERROR(__xludf.DUMMYFUNCTION("""COMPUTED_VALUE"""),409300.0)</f>
        <v>409300</v>
      </c>
      <c r="AG8" s="99">
        <f>IFERROR(__xludf.DUMMYFUNCTION("""COMPUTED_VALUE"""),409300.0)</f>
        <v>409300</v>
      </c>
      <c r="AH8" s="96"/>
      <c r="AI8" s="96">
        <f>IFERROR(__xludf.DUMMYFUNCTION("""COMPUTED_VALUE"""),0.0)</f>
        <v>0</v>
      </c>
      <c r="AJ8" s="96">
        <f>IFERROR(__xludf.DUMMYFUNCTION("""COMPUTED_VALUE"""),0.0)</f>
        <v>0</v>
      </c>
      <c r="AK8" s="96">
        <f>IFERROR(__xludf.DUMMYFUNCTION("""COMPUTED_VALUE"""),0.0)</f>
        <v>0</v>
      </c>
      <c r="AL8" s="129">
        <f>IFERROR(__xludf.DUMMYFUNCTION("""COMPUTED_VALUE"""),0.0)</f>
        <v>0</v>
      </c>
      <c r="AM8" s="99"/>
    </row>
    <row r="9">
      <c r="V9" s="96">
        <f>IFERROR(__xludf.DUMMYFUNCTION("""COMPUTED_VALUE"""),1.0)</f>
        <v>1</v>
      </c>
      <c r="W9" s="98">
        <f>IFERROR(__xludf.DUMMYFUNCTION("""COMPUTED_VALUE"""),43743.0)</f>
        <v>43743</v>
      </c>
      <c r="X9" s="96" t="str">
        <f>IFERROR(__xludf.DUMMYFUNCTION("""COMPUTED_VALUE"""),"COLLINS  OFFA")</f>
        <v>COLLINS  OFFA</v>
      </c>
      <c r="Y9" s="96" t="str">
        <f>IFERROR(__xludf.DUMMYFUNCTION("""COMPUTED_VALUE"""),"COLLINS  OFFA1")</f>
        <v>COLLINS  OFFA1</v>
      </c>
      <c r="Z9" s="96"/>
      <c r="AA9" s="96"/>
      <c r="AB9" s="96"/>
      <c r="AC9" s="96"/>
      <c r="AD9" s="96"/>
      <c r="AE9" s="96"/>
      <c r="AF9" s="96">
        <f>IFERROR(__xludf.DUMMYFUNCTION("""COMPUTED_VALUE"""),1090000.0)</f>
        <v>1090000</v>
      </c>
      <c r="AG9" s="99">
        <f>IFERROR(__xludf.DUMMYFUNCTION("""COMPUTED_VALUE"""),1090000.0)</f>
        <v>1090000</v>
      </c>
      <c r="AH9" s="96"/>
      <c r="AI9" s="96">
        <f>IFERROR(__xludf.DUMMYFUNCTION("""COMPUTED_VALUE"""),0.0)</f>
        <v>0</v>
      </c>
      <c r="AJ9" s="96">
        <f>IFERROR(__xludf.DUMMYFUNCTION("""COMPUTED_VALUE"""),0.0)</f>
        <v>0</v>
      </c>
      <c r="AK9" s="96">
        <f>IFERROR(__xludf.DUMMYFUNCTION("""COMPUTED_VALUE"""),0.0)</f>
        <v>0</v>
      </c>
      <c r="AL9" s="129">
        <f>IFERROR(__xludf.DUMMYFUNCTION("""COMPUTED_VALUE"""),0.0)</f>
        <v>0</v>
      </c>
      <c r="AM9" s="99"/>
    </row>
    <row r="10">
      <c r="V10" s="96">
        <f>IFERROR(__xludf.DUMMYFUNCTION("""COMPUTED_VALUE"""),1.0)</f>
        <v>1</v>
      </c>
      <c r="W10" s="98">
        <f>IFERROR(__xludf.DUMMYFUNCTION("""COMPUTED_VALUE"""),43743.0)</f>
        <v>43743</v>
      </c>
      <c r="X10" s="96" t="str">
        <f>IFERROR(__xludf.DUMMYFUNCTION("""COMPUTED_VALUE"""),"SEPH ODEY")</f>
        <v>SEPH ODEY</v>
      </c>
      <c r="Y10" s="96" t="str">
        <f>IFERROR(__xludf.DUMMYFUNCTION("""COMPUTED_VALUE"""),"SEPH ODEY1")</f>
        <v>SEPH ODEY1</v>
      </c>
      <c r="Z10" s="96"/>
      <c r="AA10" s="96"/>
      <c r="AB10" s="96"/>
      <c r="AC10" s="96"/>
      <c r="AD10" s="96"/>
      <c r="AE10" s="96"/>
      <c r="AF10" s="96">
        <f>IFERROR(__xludf.DUMMYFUNCTION("""COMPUTED_VALUE"""),126000.0)</f>
        <v>126000</v>
      </c>
      <c r="AG10" s="99">
        <f>IFERROR(__xludf.DUMMYFUNCTION("""COMPUTED_VALUE"""),126000.0)</f>
        <v>126000</v>
      </c>
      <c r="AH10" s="96"/>
      <c r="AI10" s="96">
        <f>IFERROR(__xludf.DUMMYFUNCTION("""COMPUTED_VALUE"""),0.0)</f>
        <v>0</v>
      </c>
      <c r="AJ10" s="96">
        <f>IFERROR(__xludf.DUMMYFUNCTION("""COMPUTED_VALUE"""),0.0)</f>
        <v>0</v>
      </c>
      <c r="AK10" s="96">
        <f>IFERROR(__xludf.DUMMYFUNCTION("""COMPUTED_VALUE"""),0.0)</f>
        <v>0</v>
      </c>
      <c r="AL10" s="129">
        <f>IFERROR(__xludf.DUMMYFUNCTION("""COMPUTED_VALUE"""),0.0)</f>
        <v>0</v>
      </c>
      <c r="AM10" s="99"/>
    </row>
    <row r="11">
      <c r="V11" s="96">
        <f>IFERROR(__xludf.DUMMYFUNCTION("""COMPUTED_VALUE"""),1.0)</f>
        <v>1</v>
      </c>
      <c r="W11" s="98">
        <f>IFERROR(__xludf.DUMMYFUNCTION("""COMPUTED_VALUE"""),43743.0)</f>
        <v>43743</v>
      </c>
      <c r="X11" s="96" t="str">
        <f>IFERROR(__xludf.DUMMYFUNCTION("""COMPUTED_VALUE"""),"OSIM MARIAM")</f>
        <v>OSIM MARIAM</v>
      </c>
      <c r="Y11" s="96" t="str">
        <f>IFERROR(__xludf.DUMMYFUNCTION("""COMPUTED_VALUE"""),"OSIM MARIAM1")</f>
        <v>OSIM MARIAM1</v>
      </c>
      <c r="Z11" s="96"/>
      <c r="AA11" s="96"/>
      <c r="AB11" s="96"/>
      <c r="AC11" s="96"/>
      <c r="AD11" s="96"/>
      <c r="AE11" s="96"/>
      <c r="AF11" s="96">
        <f>IFERROR(__xludf.DUMMYFUNCTION("""COMPUTED_VALUE"""),400000.0)</f>
        <v>400000</v>
      </c>
      <c r="AG11" s="99">
        <f>IFERROR(__xludf.DUMMYFUNCTION("""COMPUTED_VALUE"""),400000.0)</f>
        <v>400000</v>
      </c>
      <c r="AH11" s="96"/>
      <c r="AI11" s="96">
        <f>IFERROR(__xludf.DUMMYFUNCTION("""COMPUTED_VALUE"""),0.0)</f>
        <v>0</v>
      </c>
      <c r="AJ11" s="96">
        <f>IFERROR(__xludf.DUMMYFUNCTION("""COMPUTED_VALUE"""),0.0)</f>
        <v>0</v>
      </c>
      <c r="AK11" s="96">
        <f>IFERROR(__xludf.DUMMYFUNCTION("""COMPUTED_VALUE"""),0.0)</f>
        <v>0</v>
      </c>
      <c r="AL11" s="129">
        <f>IFERROR(__xludf.DUMMYFUNCTION("""COMPUTED_VALUE"""),0.0)</f>
        <v>0</v>
      </c>
      <c r="AM11" s="99"/>
    </row>
    <row r="12">
      <c r="V12" s="96">
        <f>IFERROR(__xludf.DUMMYFUNCTION("""COMPUTED_VALUE"""),1.0)</f>
        <v>1</v>
      </c>
      <c r="W12" s="98">
        <f>IFERROR(__xludf.DUMMYFUNCTION("""COMPUTED_VALUE"""),43743.0)</f>
        <v>43743</v>
      </c>
      <c r="X12" s="96" t="str">
        <f>IFERROR(__xludf.DUMMYFUNCTION("""COMPUTED_VALUE"""),"ENYA HN")</f>
        <v>ENYA HN</v>
      </c>
      <c r="Y12" s="96" t="str">
        <f>IFERROR(__xludf.DUMMYFUNCTION("""COMPUTED_VALUE"""),"ENYA HN1")</f>
        <v>ENYA HN1</v>
      </c>
      <c r="Z12" s="96"/>
      <c r="AA12" s="96"/>
      <c r="AB12" s="96"/>
      <c r="AC12" s="96"/>
      <c r="AD12" s="96"/>
      <c r="AE12" s="96"/>
      <c r="AF12" s="96">
        <f>IFERROR(__xludf.DUMMYFUNCTION("""COMPUTED_VALUE"""),187000.0)</f>
        <v>187000</v>
      </c>
      <c r="AG12" s="99">
        <f>IFERROR(__xludf.DUMMYFUNCTION("""COMPUTED_VALUE"""),187000.0)</f>
        <v>187000</v>
      </c>
      <c r="AH12" s="96"/>
      <c r="AI12" s="96">
        <f>IFERROR(__xludf.DUMMYFUNCTION("""COMPUTED_VALUE"""),0.0)</f>
        <v>0</v>
      </c>
      <c r="AJ12" s="96">
        <f>IFERROR(__xludf.DUMMYFUNCTION("""COMPUTED_VALUE"""),0.0)</f>
        <v>0</v>
      </c>
      <c r="AK12" s="96">
        <f>IFERROR(__xludf.DUMMYFUNCTION("""COMPUTED_VALUE"""),0.0)</f>
        <v>0</v>
      </c>
      <c r="AL12" s="129">
        <f>IFERROR(__xludf.DUMMYFUNCTION("""COMPUTED_VALUE"""),0.0)</f>
        <v>0</v>
      </c>
      <c r="AM12" s="99"/>
    </row>
    <row r="13">
      <c r="V13" s="96">
        <f>IFERROR(__xludf.DUMMYFUNCTION("""COMPUTED_VALUE"""),1.0)</f>
        <v>1</v>
      </c>
      <c r="W13" s="98">
        <f>IFERROR(__xludf.DUMMYFUNCTION("""COMPUTED_VALUE"""),43743.0)</f>
        <v>43743</v>
      </c>
      <c r="X13" s="96" t="str">
        <f>IFERROR(__xludf.DUMMYFUNCTION("""COMPUTED_VALUE"""),"BOSURU  BOSURU")</f>
        <v>BOSURU  BOSURU</v>
      </c>
      <c r="Y13" s="96" t="str">
        <f>IFERROR(__xludf.DUMMYFUNCTION("""COMPUTED_VALUE"""),"BOSURU  BOSURU1")</f>
        <v>BOSURU  BOSURU1</v>
      </c>
      <c r="Z13" s="96"/>
      <c r="AA13" s="96"/>
      <c r="AB13" s="96"/>
      <c r="AC13" s="96"/>
      <c r="AD13" s="96"/>
      <c r="AE13" s="96"/>
      <c r="AF13" s="96">
        <f>IFERROR(__xludf.DUMMYFUNCTION("""COMPUTED_VALUE"""),1000000.0)</f>
        <v>1000000</v>
      </c>
      <c r="AG13" s="99">
        <f>IFERROR(__xludf.DUMMYFUNCTION("""COMPUTED_VALUE"""),1000000.0)</f>
        <v>1000000</v>
      </c>
      <c r="AH13" s="96"/>
      <c r="AI13" s="96">
        <f>IFERROR(__xludf.DUMMYFUNCTION("""COMPUTED_VALUE"""),0.0)</f>
        <v>0</v>
      </c>
      <c r="AJ13" s="96">
        <f>IFERROR(__xludf.DUMMYFUNCTION("""COMPUTED_VALUE"""),0.0)</f>
        <v>0</v>
      </c>
      <c r="AK13" s="96">
        <f>IFERROR(__xludf.DUMMYFUNCTION("""COMPUTED_VALUE"""),0.0)</f>
        <v>0</v>
      </c>
      <c r="AL13" s="129">
        <f>IFERROR(__xludf.DUMMYFUNCTION("""COMPUTED_VALUE"""),0.0)</f>
        <v>0</v>
      </c>
      <c r="AM13" s="99"/>
    </row>
    <row r="14">
      <c r="V14" s="96">
        <f>IFERROR(__xludf.DUMMYFUNCTION("""COMPUTED_VALUE"""),1.0)</f>
        <v>1</v>
      </c>
      <c r="W14" s="98">
        <f>IFERROR(__xludf.DUMMYFUNCTION("""COMPUTED_VALUE"""),43743.0)</f>
        <v>43743</v>
      </c>
      <c r="X14" s="96" t="str">
        <f>IFERROR(__xludf.DUMMYFUNCTION("""COMPUTED_VALUE"""),"ASOQUO SUNDAY")</f>
        <v>ASOQUO SUNDAY</v>
      </c>
      <c r="Y14" s="96" t="str">
        <f>IFERROR(__xludf.DUMMYFUNCTION("""COMPUTED_VALUE"""),"ASOQUO SUNDAY1")</f>
        <v>ASOQUO SUNDAY1</v>
      </c>
      <c r="Z14" s="96"/>
      <c r="AA14" s="96"/>
      <c r="AB14" s="96"/>
      <c r="AC14" s="96"/>
      <c r="AD14" s="96"/>
      <c r="AE14" s="96"/>
      <c r="AF14" s="96">
        <f>IFERROR(__xludf.DUMMYFUNCTION("""COMPUTED_VALUE"""),620000.0)</f>
        <v>620000</v>
      </c>
      <c r="AG14" s="99">
        <f>IFERROR(__xludf.DUMMYFUNCTION("""COMPUTED_VALUE"""),620000.0)</f>
        <v>620000</v>
      </c>
      <c r="AH14" s="96"/>
      <c r="AI14" s="96">
        <f>IFERROR(__xludf.DUMMYFUNCTION("""COMPUTED_VALUE"""),0.0)</f>
        <v>0</v>
      </c>
      <c r="AJ14" s="96">
        <f>IFERROR(__xludf.DUMMYFUNCTION("""COMPUTED_VALUE"""),0.0)</f>
        <v>0</v>
      </c>
      <c r="AK14" s="96">
        <f>IFERROR(__xludf.DUMMYFUNCTION("""COMPUTED_VALUE"""),0.0)</f>
        <v>0</v>
      </c>
      <c r="AL14" s="129">
        <f>IFERROR(__xludf.DUMMYFUNCTION("""COMPUTED_VALUE"""),0.0)</f>
        <v>0</v>
      </c>
      <c r="AM14" s="99"/>
    </row>
    <row r="15">
      <c r="V15" s="96">
        <f>IFERROR(__xludf.DUMMYFUNCTION("""COMPUTED_VALUE"""),1.0)</f>
        <v>1</v>
      </c>
      <c r="W15" s="98">
        <f>IFERROR(__xludf.DUMMYFUNCTION("""COMPUTED_VALUE"""),43743.0)</f>
        <v>43743</v>
      </c>
      <c r="X15" s="96" t="str">
        <f>IFERROR(__xludf.DUMMYFUNCTION("""COMPUTED_VALUE"""),"OTU KOKO KEIBO")</f>
        <v>OTU KOKO KEIBO</v>
      </c>
      <c r="Y15" s="96" t="str">
        <f>IFERROR(__xludf.DUMMYFUNCTION("""COMPUTED_VALUE"""),"OTU KOKO KEIBO1")</f>
        <v>OTU KOKO KEIBO1</v>
      </c>
      <c r="Z15" s="96"/>
      <c r="AA15" s="96"/>
      <c r="AB15" s="96"/>
      <c r="AC15" s="96"/>
      <c r="AD15" s="96"/>
      <c r="AE15" s="96"/>
      <c r="AF15" s="96">
        <f>IFERROR(__xludf.DUMMYFUNCTION("""COMPUTED_VALUE"""),2399925.0)</f>
        <v>2399925</v>
      </c>
      <c r="AG15" s="99">
        <f>IFERROR(__xludf.DUMMYFUNCTION("""COMPUTED_VALUE"""),2399925.0)</f>
        <v>2399925</v>
      </c>
      <c r="AH15" s="96"/>
      <c r="AI15" s="96">
        <f>IFERROR(__xludf.DUMMYFUNCTION("""COMPUTED_VALUE"""),0.0)</f>
        <v>0</v>
      </c>
      <c r="AJ15" s="96">
        <f>IFERROR(__xludf.DUMMYFUNCTION("""COMPUTED_VALUE"""),0.0)</f>
        <v>0</v>
      </c>
      <c r="AK15" s="96">
        <f>IFERROR(__xludf.DUMMYFUNCTION("""COMPUTED_VALUE"""),0.0)</f>
        <v>0</v>
      </c>
      <c r="AL15" s="129">
        <f>IFERROR(__xludf.DUMMYFUNCTION("""COMPUTED_VALUE"""),0.0)</f>
        <v>0</v>
      </c>
      <c r="AM15" s="99"/>
    </row>
    <row r="16">
      <c r="V16" s="96">
        <f>IFERROR(__xludf.DUMMYFUNCTION("""COMPUTED_VALUE"""),1.0)</f>
        <v>1</v>
      </c>
      <c r="W16" s="98">
        <f>IFERROR(__xludf.DUMMYFUNCTION("""COMPUTED_VALUE"""),43743.0)</f>
        <v>43743</v>
      </c>
      <c r="X16" s="96" t="str">
        <f>IFERROR(__xludf.DUMMYFUNCTION("""COMPUTED_VALUE"""),"AUGUSTINE IGBA")</f>
        <v>AUGUSTINE IGBA</v>
      </c>
      <c r="Y16" s="96" t="str">
        <f>IFERROR(__xludf.DUMMYFUNCTION("""COMPUTED_VALUE"""),"AUGUSTINE IGBA1")</f>
        <v>AUGUSTINE IGBA1</v>
      </c>
      <c r="Z16" s="96"/>
      <c r="AA16" s="96"/>
      <c r="AB16" s="96"/>
      <c r="AC16" s="96"/>
      <c r="AD16" s="96"/>
      <c r="AE16" s="96"/>
      <c r="AF16" s="96">
        <f>IFERROR(__xludf.DUMMYFUNCTION("""COMPUTED_VALUE"""),2.025962E7)</f>
        <v>20259620</v>
      </c>
      <c r="AG16" s="99">
        <f>IFERROR(__xludf.DUMMYFUNCTION("""COMPUTED_VALUE"""),2.025962E7)</f>
        <v>20259620</v>
      </c>
      <c r="AH16" s="96"/>
      <c r="AI16" s="96">
        <f>IFERROR(__xludf.DUMMYFUNCTION("""COMPUTED_VALUE"""),0.0)</f>
        <v>0</v>
      </c>
      <c r="AJ16" s="96">
        <f>IFERROR(__xludf.DUMMYFUNCTION("""COMPUTED_VALUE"""),0.0)</f>
        <v>0</v>
      </c>
      <c r="AK16" s="96">
        <f>IFERROR(__xludf.DUMMYFUNCTION("""COMPUTED_VALUE"""),0.0)</f>
        <v>0</v>
      </c>
      <c r="AL16" s="129">
        <f>IFERROR(__xludf.DUMMYFUNCTION("""COMPUTED_VALUE"""),0.0)</f>
        <v>0</v>
      </c>
      <c r="AM16" s="99"/>
    </row>
    <row r="17">
      <c r="V17" s="96">
        <f>IFERROR(__xludf.DUMMYFUNCTION("""COMPUTED_VALUE"""),1.0)</f>
        <v>1</v>
      </c>
      <c r="W17" s="98">
        <f>IFERROR(__xludf.DUMMYFUNCTION("""COMPUTED_VALUE"""),43743.0)</f>
        <v>43743</v>
      </c>
      <c r="X17" s="96" t="str">
        <f>IFERROR(__xludf.DUMMYFUNCTION("""COMPUTED_VALUE"""),"PETER JAMES")</f>
        <v>PETER JAMES</v>
      </c>
      <c r="Y17" s="96" t="str">
        <f>IFERROR(__xludf.DUMMYFUNCTION("""COMPUTED_VALUE"""),"PETER JAMES1")</f>
        <v>PETER JAMES1</v>
      </c>
      <c r="Z17" s="96"/>
      <c r="AA17" s="96"/>
      <c r="AB17" s="96"/>
      <c r="AC17" s="96"/>
      <c r="AD17" s="96"/>
      <c r="AE17" s="96"/>
      <c r="AF17" s="96">
        <f>IFERROR(__xludf.DUMMYFUNCTION("""COMPUTED_VALUE"""),340094.0)</f>
        <v>340094</v>
      </c>
      <c r="AG17" s="99">
        <f>IFERROR(__xludf.DUMMYFUNCTION("""COMPUTED_VALUE"""),340094.0)</f>
        <v>340094</v>
      </c>
      <c r="AH17" s="96"/>
      <c r="AI17" s="96">
        <f>IFERROR(__xludf.DUMMYFUNCTION("""COMPUTED_VALUE"""),0.0)</f>
        <v>0</v>
      </c>
      <c r="AJ17" s="96">
        <f>IFERROR(__xludf.DUMMYFUNCTION("""COMPUTED_VALUE"""),0.0)</f>
        <v>0</v>
      </c>
      <c r="AK17" s="96">
        <f>IFERROR(__xludf.DUMMYFUNCTION("""COMPUTED_VALUE"""),0.0)</f>
        <v>0</v>
      </c>
      <c r="AL17" s="129">
        <f>IFERROR(__xludf.DUMMYFUNCTION("""COMPUTED_VALUE"""),0.0)</f>
        <v>0</v>
      </c>
      <c r="AM17" s="99"/>
    </row>
    <row r="18">
      <c r="V18" s="96">
        <f>IFERROR(__xludf.DUMMYFUNCTION("""COMPUTED_VALUE"""),1.0)</f>
        <v>1</v>
      </c>
      <c r="W18" s="98">
        <f>IFERROR(__xludf.DUMMYFUNCTION("""COMPUTED_VALUE"""),43743.0)</f>
        <v>43743</v>
      </c>
      <c r="X18" s="96" t="str">
        <f>IFERROR(__xludf.DUMMYFUNCTION("""COMPUTED_VALUE"""),"AYUK AYUK")</f>
        <v>AYUK AYUK</v>
      </c>
      <c r="Y18" s="96" t="str">
        <f>IFERROR(__xludf.DUMMYFUNCTION("""COMPUTED_VALUE"""),"AYUK AYUK1")</f>
        <v>AYUK AYUK1</v>
      </c>
      <c r="Z18" s="96"/>
      <c r="AA18" s="96"/>
      <c r="AB18" s="96"/>
      <c r="AC18" s="96"/>
      <c r="AD18" s="96"/>
      <c r="AE18" s="96"/>
      <c r="AF18" s="96">
        <f>IFERROR(__xludf.DUMMYFUNCTION("""COMPUTED_VALUE"""),120000.0)</f>
        <v>120000</v>
      </c>
      <c r="AG18" s="99">
        <f>IFERROR(__xludf.DUMMYFUNCTION("""COMPUTED_VALUE"""),120000.0)</f>
        <v>120000</v>
      </c>
      <c r="AH18" s="96"/>
      <c r="AI18" s="96">
        <f>IFERROR(__xludf.DUMMYFUNCTION("""COMPUTED_VALUE"""),0.0)</f>
        <v>0</v>
      </c>
      <c r="AJ18" s="96">
        <f>IFERROR(__xludf.DUMMYFUNCTION("""COMPUTED_VALUE"""),0.0)</f>
        <v>0</v>
      </c>
      <c r="AK18" s="96">
        <f>IFERROR(__xludf.DUMMYFUNCTION("""COMPUTED_VALUE"""),0.0)</f>
        <v>0</v>
      </c>
      <c r="AL18" s="129">
        <f>IFERROR(__xludf.DUMMYFUNCTION("""COMPUTED_VALUE"""),0.0)</f>
        <v>0</v>
      </c>
      <c r="AM18" s="99"/>
    </row>
    <row r="19">
      <c r="V19" s="96">
        <f>IFERROR(__xludf.DUMMYFUNCTION("""COMPUTED_VALUE"""),1.0)</f>
        <v>1</v>
      </c>
      <c r="W19" s="98">
        <f>IFERROR(__xludf.DUMMYFUNCTION("""COMPUTED_VALUE"""),43743.0)</f>
        <v>43743</v>
      </c>
      <c r="X19" s="96" t="str">
        <f>IFERROR(__xludf.DUMMYFUNCTION("""COMPUTED_VALUE""")," MAXWELL AGRO")</f>
        <v> MAXWELL AGRO</v>
      </c>
      <c r="Y19" s="96" t="str">
        <f>IFERROR(__xludf.DUMMYFUNCTION("""COMPUTED_VALUE""")," MAXWELL AGRO1")</f>
        <v> MAXWELL AGRO1</v>
      </c>
      <c r="Z19" s="96"/>
      <c r="AA19" s="96"/>
      <c r="AB19" s="96"/>
      <c r="AC19" s="96"/>
      <c r="AD19" s="96"/>
      <c r="AE19" s="96"/>
      <c r="AF19" s="96">
        <f>IFERROR(__xludf.DUMMYFUNCTION("""COMPUTED_VALUE"""),300000.0)</f>
        <v>300000</v>
      </c>
      <c r="AG19" s="99">
        <f>IFERROR(__xludf.DUMMYFUNCTION("""COMPUTED_VALUE"""),300000.0)</f>
        <v>300000</v>
      </c>
      <c r="AH19" s="96"/>
      <c r="AI19" s="96">
        <f>IFERROR(__xludf.DUMMYFUNCTION("""COMPUTED_VALUE"""),0.0)</f>
        <v>0</v>
      </c>
      <c r="AJ19" s="96">
        <f>IFERROR(__xludf.DUMMYFUNCTION("""COMPUTED_VALUE"""),0.0)</f>
        <v>0</v>
      </c>
      <c r="AK19" s="96">
        <f>IFERROR(__xludf.DUMMYFUNCTION("""COMPUTED_VALUE"""),0.0)</f>
        <v>0</v>
      </c>
      <c r="AL19" s="129">
        <f>IFERROR(__xludf.DUMMYFUNCTION("""COMPUTED_VALUE"""),0.0)</f>
        <v>0</v>
      </c>
      <c r="AM19" s="99"/>
    </row>
    <row r="20">
      <c r="V20" s="96">
        <f>IFERROR(__xludf.DUMMYFUNCTION("""COMPUTED_VALUE"""),1.0)</f>
        <v>1</v>
      </c>
      <c r="W20" s="98">
        <f>IFERROR(__xludf.DUMMYFUNCTION("""COMPUTED_VALUE"""),43743.0)</f>
        <v>43743</v>
      </c>
      <c r="X20" s="96" t="str">
        <f>IFERROR(__xludf.DUMMYFUNCTION("""COMPUTED_VALUE"""),"RAPHEAL OKON")</f>
        <v>RAPHEAL OKON</v>
      </c>
      <c r="Y20" s="96" t="str">
        <f>IFERROR(__xludf.DUMMYFUNCTION("""COMPUTED_VALUE"""),"RAPHEAL OKON1")</f>
        <v>RAPHEAL OKON1</v>
      </c>
      <c r="Z20" s="96"/>
      <c r="AA20" s="96"/>
      <c r="AB20" s="96"/>
      <c r="AC20" s="96"/>
      <c r="AD20" s="96"/>
      <c r="AE20" s="96"/>
      <c r="AF20" s="96">
        <f>IFERROR(__xludf.DUMMYFUNCTION("""COMPUTED_VALUE"""),200000.0)</f>
        <v>200000</v>
      </c>
      <c r="AG20" s="99">
        <f>IFERROR(__xludf.DUMMYFUNCTION("""COMPUTED_VALUE"""),200000.0)</f>
        <v>200000</v>
      </c>
      <c r="AH20" s="96"/>
      <c r="AI20" s="96">
        <f>IFERROR(__xludf.DUMMYFUNCTION("""COMPUTED_VALUE"""),0.0)</f>
        <v>0</v>
      </c>
      <c r="AJ20" s="96">
        <f>IFERROR(__xludf.DUMMYFUNCTION("""COMPUTED_VALUE"""),0.0)</f>
        <v>0</v>
      </c>
      <c r="AK20" s="96">
        <f>IFERROR(__xludf.DUMMYFUNCTION("""COMPUTED_VALUE"""),0.0)</f>
        <v>0</v>
      </c>
      <c r="AL20" s="129">
        <f>IFERROR(__xludf.DUMMYFUNCTION("""COMPUTED_VALUE"""),0.0)</f>
        <v>0</v>
      </c>
      <c r="AM20" s="99"/>
    </row>
    <row r="21">
      <c r="V21" s="96">
        <f>IFERROR(__xludf.DUMMYFUNCTION("""COMPUTED_VALUE"""),1.0)</f>
        <v>1</v>
      </c>
      <c r="W21" s="98">
        <f>IFERROR(__xludf.DUMMYFUNCTION("""COMPUTED_VALUE"""),43743.0)</f>
        <v>43743</v>
      </c>
      <c r="X21" s="96" t="str">
        <f>IFERROR(__xludf.DUMMYFUNCTION("""COMPUTED_VALUE"""),"EKABA ETTA")</f>
        <v>EKABA ETTA</v>
      </c>
      <c r="Y21" s="96" t="str">
        <f>IFERROR(__xludf.DUMMYFUNCTION("""COMPUTED_VALUE"""),"EKABA ETTA1")</f>
        <v>EKABA ETTA1</v>
      </c>
      <c r="Z21" s="96"/>
      <c r="AA21" s="96"/>
      <c r="AB21" s="96"/>
      <c r="AC21" s="96"/>
      <c r="AD21" s="96"/>
      <c r="AE21" s="96"/>
      <c r="AF21" s="96">
        <f>IFERROR(__xludf.DUMMYFUNCTION("""COMPUTED_VALUE"""),1200000.0)</f>
        <v>1200000</v>
      </c>
      <c r="AG21" s="99">
        <f>IFERROR(__xludf.DUMMYFUNCTION("""COMPUTED_VALUE"""),1200000.0)</f>
        <v>1200000</v>
      </c>
      <c r="AH21" s="96"/>
      <c r="AI21" s="96">
        <f>IFERROR(__xludf.DUMMYFUNCTION("""COMPUTED_VALUE"""),0.0)</f>
        <v>0</v>
      </c>
      <c r="AJ21" s="96">
        <f>IFERROR(__xludf.DUMMYFUNCTION("""COMPUTED_VALUE"""),0.0)</f>
        <v>0</v>
      </c>
      <c r="AK21" s="96">
        <f>IFERROR(__xludf.DUMMYFUNCTION("""COMPUTED_VALUE"""),0.0)</f>
        <v>0</v>
      </c>
      <c r="AL21" s="129">
        <f>IFERROR(__xludf.DUMMYFUNCTION("""COMPUTED_VALUE"""),0.0)</f>
        <v>0</v>
      </c>
      <c r="AM21" s="99"/>
    </row>
    <row r="22">
      <c r="V22" s="96">
        <f>IFERROR(__xludf.DUMMYFUNCTION("""COMPUTED_VALUE"""),1.0)</f>
        <v>1</v>
      </c>
      <c r="W22" s="98">
        <f>IFERROR(__xludf.DUMMYFUNCTION("""COMPUTED_VALUE"""),43743.0)</f>
        <v>43743</v>
      </c>
      <c r="X22" s="96" t="str">
        <f>IFERROR(__xludf.DUMMYFUNCTION("""COMPUTED_VALUE"""),"LAWERENCE ETTA OGAR")</f>
        <v>LAWERENCE ETTA OGAR</v>
      </c>
      <c r="Y22" s="96" t="str">
        <f>IFERROR(__xludf.DUMMYFUNCTION("""COMPUTED_VALUE"""),"LAWERENCE ETTA OGAR1")</f>
        <v>LAWERENCE ETTA OGAR1</v>
      </c>
      <c r="Z22" s="96"/>
      <c r="AA22" s="96"/>
      <c r="AB22" s="96"/>
      <c r="AC22" s="96"/>
      <c r="AD22" s="96"/>
      <c r="AE22" s="96"/>
      <c r="AF22" s="96">
        <f>IFERROR(__xludf.DUMMYFUNCTION("""COMPUTED_VALUE"""),323719.0)</f>
        <v>323719</v>
      </c>
      <c r="AG22" s="99">
        <f>IFERROR(__xludf.DUMMYFUNCTION("""COMPUTED_VALUE"""),323719.0)</f>
        <v>323719</v>
      </c>
      <c r="AH22" s="96"/>
      <c r="AI22" s="96">
        <f>IFERROR(__xludf.DUMMYFUNCTION("""COMPUTED_VALUE"""),0.0)</f>
        <v>0</v>
      </c>
      <c r="AJ22" s="96">
        <f>IFERROR(__xludf.DUMMYFUNCTION("""COMPUTED_VALUE"""),0.0)</f>
        <v>0</v>
      </c>
      <c r="AK22" s="96">
        <f>IFERROR(__xludf.DUMMYFUNCTION("""COMPUTED_VALUE"""),0.0)</f>
        <v>0</v>
      </c>
      <c r="AL22" s="129">
        <f>IFERROR(__xludf.DUMMYFUNCTION("""COMPUTED_VALUE"""),0.0)</f>
        <v>0</v>
      </c>
      <c r="AM22" s="99"/>
    </row>
    <row r="23">
      <c r="V23" s="96">
        <f>IFERROR(__xludf.DUMMYFUNCTION("""COMPUTED_VALUE"""),1.0)</f>
        <v>1</v>
      </c>
      <c r="W23" s="98">
        <f>IFERROR(__xludf.DUMMYFUNCTION("""COMPUTED_VALUE"""),43743.0)</f>
        <v>43743</v>
      </c>
      <c r="X23" s="96" t="str">
        <f>IFERROR(__xludf.DUMMYFUNCTION("""COMPUTED_VALUE"""),"LYDIA HNSON ")</f>
        <v>LYDIA HNSON </v>
      </c>
      <c r="Y23" s="96" t="str">
        <f>IFERROR(__xludf.DUMMYFUNCTION("""COMPUTED_VALUE"""),"LYDIA HNSON 1")</f>
        <v>LYDIA HNSON 1</v>
      </c>
      <c r="Z23" s="96"/>
      <c r="AA23" s="96"/>
      <c r="AB23" s="96"/>
      <c r="AC23" s="96"/>
      <c r="AD23" s="96"/>
      <c r="AE23" s="96"/>
      <c r="AF23" s="96">
        <f>IFERROR(__xludf.DUMMYFUNCTION("""COMPUTED_VALUE"""),2600000.0)</f>
        <v>2600000</v>
      </c>
      <c r="AG23" s="99">
        <f>IFERROR(__xludf.DUMMYFUNCTION("""COMPUTED_VALUE"""),2600000.0)</f>
        <v>2600000</v>
      </c>
      <c r="AH23" s="96"/>
      <c r="AI23" s="96">
        <f>IFERROR(__xludf.DUMMYFUNCTION("""COMPUTED_VALUE"""),0.0)</f>
        <v>0</v>
      </c>
      <c r="AJ23" s="96">
        <f>IFERROR(__xludf.DUMMYFUNCTION("""COMPUTED_VALUE"""),0.0)</f>
        <v>0</v>
      </c>
      <c r="AK23" s="96">
        <f>IFERROR(__xludf.DUMMYFUNCTION("""COMPUTED_VALUE"""),0.0)</f>
        <v>0</v>
      </c>
      <c r="AL23" s="129">
        <f>IFERROR(__xludf.DUMMYFUNCTION("""COMPUTED_VALUE"""),0.0)</f>
        <v>0</v>
      </c>
      <c r="AM23" s="99"/>
    </row>
    <row r="24">
      <c r="V24" s="96">
        <f>IFERROR(__xludf.DUMMYFUNCTION("""COMPUTED_VALUE"""),1.0)</f>
        <v>1</v>
      </c>
      <c r="W24" s="98">
        <f>IFERROR(__xludf.DUMMYFUNCTION("""COMPUTED_VALUE"""),43743.0)</f>
        <v>43743</v>
      </c>
      <c r="X24" s="96" t="str">
        <f>IFERROR(__xludf.DUMMYFUNCTION("""COMPUTED_VALUE"""),"NAOMI")</f>
        <v>NAOMI</v>
      </c>
      <c r="Y24" s="96" t="str">
        <f>IFERROR(__xludf.DUMMYFUNCTION("""COMPUTED_VALUE"""),"NAOMI1")</f>
        <v>NAOMI1</v>
      </c>
      <c r="Z24" s="96"/>
      <c r="AA24" s="96"/>
      <c r="AB24" s="96"/>
      <c r="AC24" s="96"/>
      <c r="AD24" s="96"/>
      <c r="AE24" s="96"/>
      <c r="AF24" s="96">
        <f>IFERROR(__xludf.DUMMYFUNCTION("""COMPUTED_VALUE"""),1.3090265E7)</f>
        <v>13090265</v>
      </c>
      <c r="AG24" s="99">
        <f>IFERROR(__xludf.DUMMYFUNCTION("""COMPUTED_VALUE"""),1.3090265E7)</f>
        <v>13090265</v>
      </c>
      <c r="AH24" s="96"/>
      <c r="AI24" s="96">
        <f>IFERROR(__xludf.DUMMYFUNCTION("""COMPUTED_VALUE"""),0.0)</f>
        <v>0</v>
      </c>
      <c r="AJ24" s="96">
        <f>IFERROR(__xludf.DUMMYFUNCTION("""COMPUTED_VALUE"""),0.0)</f>
        <v>0</v>
      </c>
      <c r="AK24" s="96">
        <f>IFERROR(__xludf.DUMMYFUNCTION("""COMPUTED_VALUE"""),0.0)</f>
        <v>0</v>
      </c>
      <c r="AL24" s="129">
        <f>IFERROR(__xludf.DUMMYFUNCTION("""COMPUTED_VALUE"""),0.0)</f>
        <v>0</v>
      </c>
      <c r="AM24" s="99"/>
    </row>
    <row r="25">
      <c r="V25" s="96">
        <f>IFERROR(__xludf.DUMMYFUNCTION("""COMPUTED_VALUE"""),1.0)</f>
        <v>1</v>
      </c>
      <c r="W25" s="98">
        <f>IFERROR(__xludf.DUMMYFUNCTION("""COMPUTED_VALUE"""),43743.0)</f>
        <v>43743</v>
      </c>
      <c r="X25" s="96" t="str">
        <f>IFERROR(__xludf.DUMMYFUNCTION("""COMPUTED_VALUE"""),"MAXWELL AGRO OBI")</f>
        <v>MAXWELL AGRO OBI</v>
      </c>
      <c r="Y25" s="96" t="str">
        <f>IFERROR(__xludf.DUMMYFUNCTION("""COMPUTED_VALUE"""),"MAXWELL AGRO OBI1")</f>
        <v>MAXWELL AGRO OBI1</v>
      </c>
      <c r="Z25" s="96"/>
      <c r="AA25" s="96"/>
      <c r="AB25" s="96"/>
      <c r="AC25" s="96"/>
      <c r="AD25" s="96"/>
      <c r="AE25" s="96"/>
      <c r="AF25" s="96">
        <f>IFERROR(__xludf.DUMMYFUNCTION("""COMPUTED_VALUE"""),500000.0)</f>
        <v>500000</v>
      </c>
      <c r="AG25" s="99">
        <f>IFERROR(__xludf.DUMMYFUNCTION("""COMPUTED_VALUE"""),500000.0)</f>
        <v>500000</v>
      </c>
      <c r="AH25" s="96"/>
      <c r="AI25" s="96">
        <f>IFERROR(__xludf.DUMMYFUNCTION("""COMPUTED_VALUE"""),0.0)</f>
        <v>0</v>
      </c>
      <c r="AJ25" s="96">
        <f>IFERROR(__xludf.DUMMYFUNCTION("""COMPUTED_VALUE"""),0.0)</f>
        <v>0</v>
      </c>
      <c r="AK25" s="96">
        <f>IFERROR(__xludf.DUMMYFUNCTION("""COMPUTED_VALUE"""),0.0)</f>
        <v>0</v>
      </c>
      <c r="AL25" s="129">
        <f>IFERROR(__xludf.DUMMYFUNCTION("""COMPUTED_VALUE"""),0.0)</f>
        <v>0</v>
      </c>
      <c r="AM25" s="99"/>
    </row>
    <row r="26">
      <c r="V26" s="96">
        <f>IFERROR(__xludf.DUMMYFUNCTION("""COMPUTED_VALUE"""),1.0)</f>
        <v>1</v>
      </c>
      <c r="W26" s="98">
        <f>IFERROR(__xludf.DUMMYFUNCTION("""COMPUTED_VALUE"""),43743.0)</f>
        <v>43743</v>
      </c>
      <c r="X26" s="96" t="str">
        <f>IFERROR(__xludf.DUMMYFUNCTION("""COMPUTED_VALUE"""),"R.  MAXWELL AGRO")</f>
        <v>R.  MAXWELL AGRO</v>
      </c>
      <c r="Y26" s="96" t="str">
        <f>IFERROR(__xludf.DUMMYFUNCTION("""COMPUTED_VALUE"""),"R.  MAXWELL AGRO1")</f>
        <v>R.  MAXWELL AGRO1</v>
      </c>
      <c r="Z26" s="96"/>
      <c r="AA26" s="96"/>
      <c r="AB26" s="96"/>
      <c r="AC26" s="96"/>
      <c r="AD26" s="96"/>
      <c r="AE26" s="96"/>
      <c r="AF26" s="96">
        <f>IFERROR(__xludf.DUMMYFUNCTION("""COMPUTED_VALUE"""),840000.0)</f>
        <v>840000</v>
      </c>
      <c r="AG26" s="99">
        <f>IFERROR(__xludf.DUMMYFUNCTION("""COMPUTED_VALUE"""),840000.0)</f>
        <v>840000</v>
      </c>
      <c r="AH26" s="96"/>
      <c r="AI26" s="96">
        <f>IFERROR(__xludf.DUMMYFUNCTION("""COMPUTED_VALUE"""),0.0)</f>
        <v>0</v>
      </c>
      <c r="AJ26" s="96">
        <f>IFERROR(__xludf.DUMMYFUNCTION("""COMPUTED_VALUE"""),0.0)</f>
        <v>0</v>
      </c>
      <c r="AK26" s="96">
        <f>IFERROR(__xludf.DUMMYFUNCTION("""COMPUTED_VALUE"""),0.0)</f>
        <v>0</v>
      </c>
      <c r="AL26" s="129">
        <f>IFERROR(__xludf.DUMMYFUNCTION("""COMPUTED_VALUE"""),0.0)</f>
        <v>0</v>
      </c>
      <c r="AM26" s="99"/>
    </row>
    <row r="27">
      <c r="V27" s="96">
        <f>IFERROR(__xludf.DUMMYFUNCTION("""COMPUTED_VALUE"""),1.0)</f>
        <v>1</v>
      </c>
      <c r="W27" s="98">
        <f>IFERROR(__xludf.DUMMYFUNCTION("""COMPUTED_VALUE"""),43743.0)</f>
        <v>43743</v>
      </c>
      <c r="X27" s="96" t="str">
        <f>IFERROR(__xludf.DUMMYFUNCTION("""COMPUTED_VALUE"""),"ABANG. BEN OLUM")</f>
        <v>ABANG. BEN OLUM</v>
      </c>
      <c r="Y27" s="96" t="str">
        <f>IFERROR(__xludf.DUMMYFUNCTION("""COMPUTED_VALUE"""),"ABANG. BEN OLUM1")</f>
        <v>ABANG. BEN OLUM1</v>
      </c>
      <c r="Z27" s="96"/>
      <c r="AA27" s="96"/>
      <c r="AB27" s="96"/>
      <c r="AC27" s="96"/>
      <c r="AD27" s="96"/>
      <c r="AE27" s="96"/>
      <c r="AF27" s="96">
        <f>IFERROR(__xludf.DUMMYFUNCTION("""COMPUTED_VALUE"""),920000.0)</f>
        <v>920000</v>
      </c>
      <c r="AG27" s="99">
        <f>IFERROR(__xludf.DUMMYFUNCTION("""COMPUTED_VALUE"""),920000.0)</f>
        <v>920000</v>
      </c>
      <c r="AH27" s="96"/>
      <c r="AI27" s="96">
        <f>IFERROR(__xludf.DUMMYFUNCTION("""COMPUTED_VALUE"""),0.0)</f>
        <v>0</v>
      </c>
      <c r="AJ27" s="96">
        <f>IFERROR(__xludf.DUMMYFUNCTION("""COMPUTED_VALUE"""),0.0)</f>
        <v>0</v>
      </c>
      <c r="AK27" s="96">
        <f>IFERROR(__xludf.DUMMYFUNCTION("""COMPUTED_VALUE"""),0.0)</f>
        <v>0</v>
      </c>
      <c r="AL27" s="129">
        <f>IFERROR(__xludf.DUMMYFUNCTION("""COMPUTED_VALUE"""),0.0)</f>
        <v>0</v>
      </c>
      <c r="AM27" s="99"/>
    </row>
    <row r="28">
      <c r="V28" s="96">
        <f>IFERROR(__xludf.DUMMYFUNCTION("""COMPUTED_VALUE"""),1.0)</f>
        <v>1</v>
      </c>
      <c r="W28" s="98">
        <f>IFERROR(__xludf.DUMMYFUNCTION("""COMPUTED_VALUE"""),43743.0)</f>
        <v>43743</v>
      </c>
      <c r="X28" s="96" t="str">
        <f>IFERROR(__xludf.DUMMYFUNCTION("""COMPUTED_VALUE"""),"NYIAM FREDERICK JUSTINE")</f>
        <v>NYIAM FREDERICK JUSTINE</v>
      </c>
      <c r="Y28" s="96" t="str">
        <f>IFERROR(__xludf.DUMMYFUNCTION("""COMPUTED_VALUE"""),"NYIAM FREDERICK JUSTINE1")</f>
        <v>NYIAM FREDERICK JUSTINE1</v>
      </c>
      <c r="Z28" s="96"/>
      <c r="AA28" s="96"/>
      <c r="AB28" s="96"/>
      <c r="AC28" s="96"/>
      <c r="AD28" s="96"/>
      <c r="AE28" s="96"/>
      <c r="AF28" s="96">
        <f>IFERROR(__xludf.DUMMYFUNCTION("""COMPUTED_VALUE"""),400000.0)</f>
        <v>400000</v>
      </c>
      <c r="AG28" s="99">
        <f>IFERROR(__xludf.DUMMYFUNCTION("""COMPUTED_VALUE"""),400000.0)</f>
        <v>400000</v>
      </c>
      <c r="AH28" s="96"/>
      <c r="AI28" s="96">
        <f>IFERROR(__xludf.DUMMYFUNCTION("""COMPUTED_VALUE"""),0.0)</f>
        <v>0</v>
      </c>
      <c r="AJ28" s="96">
        <f>IFERROR(__xludf.DUMMYFUNCTION("""COMPUTED_VALUE"""),0.0)</f>
        <v>0</v>
      </c>
      <c r="AK28" s="96">
        <f>IFERROR(__xludf.DUMMYFUNCTION("""COMPUTED_VALUE"""),0.0)</f>
        <v>0</v>
      </c>
      <c r="AL28" s="129">
        <f>IFERROR(__xludf.DUMMYFUNCTION("""COMPUTED_VALUE"""),0.0)</f>
        <v>0</v>
      </c>
      <c r="AM28" s="99"/>
    </row>
    <row r="29">
      <c r="V29" s="96">
        <f>IFERROR(__xludf.DUMMYFUNCTION("""COMPUTED_VALUE"""),1.0)</f>
        <v>1</v>
      </c>
      <c r="W29" s="98">
        <f>IFERROR(__xludf.DUMMYFUNCTION("""COMPUTED_VALUE"""),43743.0)</f>
        <v>43743</v>
      </c>
      <c r="X29" s="96" t="str">
        <f>IFERROR(__xludf.DUMMYFUNCTION("""COMPUTED_VALUE"""),"RI SAMP")</f>
        <v>RI SAMP</v>
      </c>
      <c r="Y29" s="96" t="str">
        <f>IFERROR(__xludf.DUMMYFUNCTION("""COMPUTED_VALUE"""),"RI SAMP1")</f>
        <v>RI SAMP1</v>
      </c>
      <c r="Z29" s="96"/>
      <c r="AA29" s="96"/>
      <c r="AB29" s="96"/>
      <c r="AC29" s="96"/>
      <c r="AD29" s="96"/>
      <c r="AE29" s="96"/>
      <c r="AF29" s="96">
        <f>IFERROR(__xludf.DUMMYFUNCTION("""COMPUTED_VALUE"""),1000000.0)</f>
        <v>1000000</v>
      </c>
      <c r="AG29" s="99">
        <f>IFERROR(__xludf.DUMMYFUNCTION("""COMPUTED_VALUE"""),1000000.0)</f>
        <v>1000000</v>
      </c>
      <c r="AH29" s="96"/>
      <c r="AI29" s="96">
        <f>IFERROR(__xludf.DUMMYFUNCTION("""COMPUTED_VALUE"""),0.0)</f>
        <v>0</v>
      </c>
      <c r="AJ29" s="96">
        <f>IFERROR(__xludf.DUMMYFUNCTION("""COMPUTED_VALUE"""),0.0)</f>
        <v>0</v>
      </c>
      <c r="AK29" s="96">
        <f>IFERROR(__xludf.DUMMYFUNCTION("""COMPUTED_VALUE"""),0.0)</f>
        <v>0</v>
      </c>
      <c r="AL29" s="129">
        <f>IFERROR(__xludf.DUMMYFUNCTION("""COMPUTED_VALUE"""),0.0)</f>
        <v>0</v>
      </c>
      <c r="AM29" s="99"/>
    </row>
    <row r="30">
      <c r="V30" s="96">
        <f>IFERROR(__xludf.DUMMYFUNCTION("""COMPUTED_VALUE"""),1.0)</f>
        <v>1</v>
      </c>
      <c r="W30" s="98">
        <f>IFERROR(__xludf.DUMMYFUNCTION("""COMPUTED_VALUE"""),43743.0)</f>
        <v>43743</v>
      </c>
      <c r="X30" s="96" t="str">
        <f>IFERROR(__xludf.DUMMYFUNCTION("""COMPUTED_VALUE"""),"REMMY BODES")</f>
        <v>REMMY BODES</v>
      </c>
      <c r="Y30" s="96" t="str">
        <f>IFERROR(__xludf.DUMMYFUNCTION("""COMPUTED_VALUE"""),"REMMY BODES1")</f>
        <v>REMMY BODES1</v>
      </c>
      <c r="Z30" s="96"/>
      <c r="AA30" s="96"/>
      <c r="AB30" s="96"/>
      <c r="AC30" s="96"/>
      <c r="AD30" s="96"/>
      <c r="AE30" s="96"/>
      <c r="AF30" s="96">
        <f>IFERROR(__xludf.DUMMYFUNCTION("""COMPUTED_VALUE"""),510000.0)</f>
        <v>510000</v>
      </c>
      <c r="AG30" s="99">
        <f>IFERROR(__xludf.DUMMYFUNCTION("""COMPUTED_VALUE"""),510000.0)</f>
        <v>510000</v>
      </c>
      <c r="AH30" s="96"/>
      <c r="AI30" s="96">
        <f>IFERROR(__xludf.DUMMYFUNCTION("""COMPUTED_VALUE"""),0.0)</f>
        <v>0</v>
      </c>
      <c r="AJ30" s="96">
        <f>IFERROR(__xludf.DUMMYFUNCTION("""COMPUTED_VALUE"""),0.0)</f>
        <v>0</v>
      </c>
      <c r="AK30" s="96">
        <f>IFERROR(__xludf.DUMMYFUNCTION("""COMPUTED_VALUE"""),0.0)</f>
        <v>0</v>
      </c>
      <c r="AL30" s="129">
        <f>IFERROR(__xludf.DUMMYFUNCTION("""COMPUTED_VALUE"""),0.0)</f>
        <v>0</v>
      </c>
      <c r="AM30" s="99"/>
    </row>
    <row r="31">
      <c r="V31" s="96">
        <f>IFERROR(__xludf.DUMMYFUNCTION("""COMPUTED_VALUE"""),1.0)</f>
        <v>1</v>
      </c>
      <c r="W31" s="98">
        <f>IFERROR(__xludf.DUMMYFUNCTION("""COMPUTED_VALUE"""),43743.0)</f>
        <v>43743</v>
      </c>
      <c r="X31" s="96" t="str">
        <f>IFERROR(__xludf.DUMMYFUNCTION("""COMPUTED_VALUE"""),"ANDRDEW GREAT")</f>
        <v>ANDRDEW GREAT</v>
      </c>
      <c r="Y31" s="96" t="str">
        <f>IFERROR(__xludf.DUMMYFUNCTION("""COMPUTED_VALUE"""),"ANDRDEW GREAT1")</f>
        <v>ANDRDEW GREAT1</v>
      </c>
      <c r="Z31" s="96"/>
      <c r="AA31" s="96"/>
      <c r="AB31" s="96"/>
      <c r="AC31" s="96"/>
      <c r="AD31" s="96"/>
      <c r="AE31" s="96"/>
      <c r="AF31" s="96">
        <f>IFERROR(__xludf.DUMMYFUNCTION("""COMPUTED_VALUE"""),1517570.0)</f>
        <v>1517570</v>
      </c>
      <c r="AG31" s="99">
        <f>IFERROR(__xludf.DUMMYFUNCTION("""COMPUTED_VALUE"""),1517570.0)</f>
        <v>1517570</v>
      </c>
      <c r="AH31" s="96"/>
      <c r="AI31" s="96">
        <f>IFERROR(__xludf.DUMMYFUNCTION("""COMPUTED_VALUE"""),0.0)</f>
        <v>0</v>
      </c>
      <c r="AJ31" s="96">
        <f>IFERROR(__xludf.DUMMYFUNCTION("""COMPUTED_VALUE"""),0.0)</f>
        <v>0</v>
      </c>
      <c r="AK31" s="96">
        <f>IFERROR(__xludf.DUMMYFUNCTION("""COMPUTED_VALUE"""),0.0)</f>
        <v>0</v>
      </c>
      <c r="AL31" s="129">
        <f>IFERROR(__xludf.DUMMYFUNCTION("""COMPUTED_VALUE"""),0.0)</f>
        <v>0</v>
      </c>
      <c r="AM31" s="99"/>
    </row>
    <row r="32">
      <c r="V32" s="96">
        <f>IFERROR(__xludf.DUMMYFUNCTION("""COMPUTED_VALUE"""),1.0)</f>
        <v>1</v>
      </c>
      <c r="W32" s="98">
        <f>IFERROR(__xludf.DUMMYFUNCTION("""COMPUTED_VALUE"""),43743.0)</f>
        <v>43743</v>
      </c>
      <c r="X32" s="96" t="str">
        <f>IFERROR(__xludf.DUMMYFUNCTION("""COMPUTED_VALUE"""),"NDOMA BODE I.D")</f>
        <v>NDOMA BODE I.D</v>
      </c>
      <c r="Y32" s="96" t="str">
        <f>IFERROR(__xludf.DUMMYFUNCTION("""COMPUTED_VALUE"""),"NDOMA BODE I.D1")</f>
        <v>NDOMA BODE I.D1</v>
      </c>
      <c r="Z32" s="96"/>
      <c r="AA32" s="96"/>
      <c r="AB32" s="96"/>
      <c r="AC32" s="96"/>
      <c r="AD32" s="96"/>
      <c r="AE32" s="96"/>
      <c r="AF32" s="96">
        <f>IFERROR(__xludf.DUMMYFUNCTION("""COMPUTED_VALUE"""),800000.0)</f>
        <v>800000</v>
      </c>
      <c r="AG32" s="99">
        <f>IFERROR(__xludf.DUMMYFUNCTION("""COMPUTED_VALUE"""),800000.0)</f>
        <v>800000</v>
      </c>
      <c r="AH32" s="96"/>
      <c r="AI32" s="96">
        <f>IFERROR(__xludf.DUMMYFUNCTION("""COMPUTED_VALUE"""),0.0)</f>
        <v>0</v>
      </c>
      <c r="AJ32" s="96">
        <f>IFERROR(__xludf.DUMMYFUNCTION("""COMPUTED_VALUE"""),0.0)</f>
        <v>0</v>
      </c>
      <c r="AK32" s="96">
        <f>IFERROR(__xludf.DUMMYFUNCTION("""COMPUTED_VALUE"""),0.0)</f>
        <v>0</v>
      </c>
      <c r="AL32" s="129">
        <f>IFERROR(__xludf.DUMMYFUNCTION("""COMPUTED_VALUE"""),0.0)</f>
        <v>0</v>
      </c>
      <c r="AM32" s="99"/>
    </row>
    <row r="33">
      <c r="V33" s="96">
        <f>IFERROR(__xludf.DUMMYFUNCTION("""COMPUTED_VALUE"""),1.0)</f>
        <v>1</v>
      </c>
      <c r="W33" s="98">
        <f>IFERROR(__xludf.DUMMYFUNCTION("""COMPUTED_VALUE"""),43743.0)</f>
        <v>43743</v>
      </c>
      <c r="X33" s="96" t="str">
        <f>IFERROR(__xludf.DUMMYFUNCTION("""COMPUTED_VALUE"""),"ALLI SYLVESTER")</f>
        <v>ALLI SYLVESTER</v>
      </c>
      <c r="Y33" s="96" t="str">
        <f>IFERROR(__xludf.DUMMYFUNCTION("""COMPUTED_VALUE"""),"ALLI SYLVESTER1")</f>
        <v>ALLI SYLVESTER1</v>
      </c>
      <c r="Z33" s="96"/>
      <c r="AA33" s="96"/>
      <c r="AB33" s="96"/>
      <c r="AC33" s="96"/>
      <c r="AD33" s="96"/>
      <c r="AE33" s="96"/>
      <c r="AF33" s="96">
        <f>IFERROR(__xludf.DUMMYFUNCTION("""COMPUTED_VALUE"""),2376910.0)</f>
        <v>2376910</v>
      </c>
      <c r="AG33" s="99">
        <f>IFERROR(__xludf.DUMMYFUNCTION("""COMPUTED_VALUE"""),2376910.0)</f>
        <v>2376910</v>
      </c>
      <c r="AH33" s="96"/>
      <c r="AI33" s="96">
        <f>IFERROR(__xludf.DUMMYFUNCTION("""COMPUTED_VALUE"""),0.0)</f>
        <v>0</v>
      </c>
      <c r="AJ33" s="96">
        <f>IFERROR(__xludf.DUMMYFUNCTION("""COMPUTED_VALUE"""),0.0)</f>
        <v>0</v>
      </c>
      <c r="AK33" s="96">
        <f>IFERROR(__xludf.DUMMYFUNCTION("""COMPUTED_VALUE"""),0.0)</f>
        <v>0</v>
      </c>
      <c r="AL33" s="129">
        <f>IFERROR(__xludf.DUMMYFUNCTION("""COMPUTED_VALUE"""),0.0)</f>
        <v>0</v>
      </c>
      <c r="AM33" s="99"/>
    </row>
    <row r="34">
      <c r="V34" s="96">
        <f>IFERROR(__xludf.DUMMYFUNCTION("""COMPUTED_VALUE"""),1.0)</f>
        <v>1</v>
      </c>
      <c r="W34" s="98">
        <f>IFERROR(__xludf.DUMMYFUNCTION("""COMPUTED_VALUE"""),43743.0)</f>
        <v>43743</v>
      </c>
      <c r="X34" s="96" t="str">
        <f>IFERROR(__xludf.DUMMYFUNCTION("""COMPUTED_VALUE""")," OP OJUA")</f>
        <v> OP OJUA</v>
      </c>
      <c r="Y34" s="96" t="str">
        <f>IFERROR(__xludf.DUMMYFUNCTION("""COMPUTED_VALUE""")," OP OJUA1")</f>
        <v> OP OJUA1</v>
      </c>
      <c r="Z34" s="96"/>
      <c r="AA34" s="96"/>
      <c r="AB34" s="96"/>
      <c r="AC34" s="96"/>
      <c r="AD34" s="96"/>
      <c r="AE34" s="96"/>
      <c r="AF34" s="96">
        <f>IFERROR(__xludf.DUMMYFUNCTION("""COMPUTED_VALUE"""),46550.0)</f>
        <v>46550</v>
      </c>
      <c r="AG34" s="99">
        <f>IFERROR(__xludf.DUMMYFUNCTION("""COMPUTED_VALUE"""),46550.0)</f>
        <v>46550</v>
      </c>
      <c r="AH34" s="96"/>
      <c r="AI34" s="96">
        <f>IFERROR(__xludf.DUMMYFUNCTION("""COMPUTED_VALUE"""),0.0)</f>
        <v>0</v>
      </c>
      <c r="AJ34" s="96">
        <f>IFERROR(__xludf.DUMMYFUNCTION("""COMPUTED_VALUE"""),0.0)</f>
        <v>0</v>
      </c>
      <c r="AK34" s="96">
        <f>IFERROR(__xludf.DUMMYFUNCTION("""COMPUTED_VALUE"""),0.0)</f>
        <v>0</v>
      </c>
      <c r="AL34" s="129">
        <f>IFERROR(__xludf.DUMMYFUNCTION("""COMPUTED_VALUE"""),0.0)</f>
        <v>0</v>
      </c>
      <c r="AM34" s="99"/>
    </row>
    <row r="35">
      <c r="V35" s="96">
        <f>IFERROR(__xludf.DUMMYFUNCTION("""COMPUTED_VALUE"""),1.0)</f>
        <v>1</v>
      </c>
      <c r="W35" s="98">
        <f>IFERROR(__xludf.DUMMYFUNCTION("""COMPUTED_VALUE"""),43743.0)</f>
        <v>43743</v>
      </c>
      <c r="X35" s="96" t="str">
        <f>IFERROR(__xludf.DUMMYFUNCTION("""COMPUTED_VALUE"""),"HN KEIBO")</f>
        <v>HN KEIBO</v>
      </c>
      <c r="Y35" s="96" t="str">
        <f>IFERROR(__xludf.DUMMYFUNCTION("""COMPUTED_VALUE"""),"HN KEIBO1")</f>
        <v>HN KEIBO1</v>
      </c>
      <c r="Z35" s="96"/>
      <c r="AA35" s="96"/>
      <c r="AB35" s="96"/>
      <c r="AC35" s="96"/>
      <c r="AD35" s="96"/>
      <c r="AE35" s="96"/>
      <c r="AF35" s="96">
        <f>IFERROR(__xludf.DUMMYFUNCTION("""COMPUTED_VALUE"""),249707.0)</f>
        <v>249707</v>
      </c>
      <c r="AG35" s="99">
        <f>IFERROR(__xludf.DUMMYFUNCTION("""COMPUTED_VALUE"""),249707.0)</f>
        <v>249707</v>
      </c>
      <c r="AH35" s="96"/>
      <c r="AI35" s="96">
        <f>IFERROR(__xludf.DUMMYFUNCTION("""COMPUTED_VALUE"""),0.0)</f>
        <v>0</v>
      </c>
      <c r="AJ35" s="96">
        <f>IFERROR(__xludf.DUMMYFUNCTION("""COMPUTED_VALUE"""),0.0)</f>
        <v>0</v>
      </c>
      <c r="AK35" s="96">
        <f>IFERROR(__xludf.DUMMYFUNCTION("""COMPUTED_VALUE"""),0.0)</f>
        <v>0</v>
      </c>
      <c r="AL35" s="129">
        <f>IFERROR(__xludf.DUMMYFUNCTION("""COMPUTED_VALUE"""),0.0)</f>
        <v>0</v>
      </c>
      <c r="AM35" s="99"/>
    </row>
    <row r="36">
      <c r="V36" s="96">
        <f>IFERROR(__xludf.DUMMYFUNCTION("""COMPUTED_VALUE"""),1.0)</f>
        <v>1</v>
      </c>
      <c r="W36" s="98">
        <f>IFERROR(__xludf.DUMMYFUNCTION("""COMPUTED_VALUE"""),43743.0)</f>
        <v>43743</v>
      </c>
      <c r="X36" s="96" t="str">
        <f>IFERROR(__xludf.DUMMYFUNCTION("""COMPUTED_VALUE""")," OP OCHICHIE")</f>
        <v> OP OCHICHIE</v>
      </c>
      <c r="Y36" s="96" t="str">
        <f>IFERROR(__xludf.DUMMYFUNCTION("""COMPUTED_VALUE""")," OP OCHICHIE1")</f>
        <v> OP OCHICHIE1</v>
      </c>
      <c r="Z36" s="96"/>
      <c r="AA36" s="96"/>
      <c r="AB36" s="96"/>
      <c r="AC36" s="96"/>
      <c r="AD36" s="96"/>
      <c r="AE36" s="96"/>
      <c r="AF36" s="96">
        <f>IFERROR(__xludf.DUMMYFUNCTION("""COMPUTED_VALUE"""),535525.0)</f>
        <v>535525</v>
      </c>
      <c r="AG36" s="99">
        <f>IFERROR(__xludf.DUMMYFUNCTION("""COMPUTED_VALUE"""),535525.0)</f>
        <v>535525</v>
      </c>
      <c r="AH36" s="96"/>
      <c r="AI36" s="96">
        <f>IFERROR(__xludf.DUMMYFUNCTION("""COMPUTED_VALUE"""),0.0)</f>
        <v>0</v>
      </c>
      <c r="AJ36" s="96">
        <f>IFERROR(__xludf.DUMMYFUNCTION("""COMPUTED_VALUE"""),0.0)</f>
        <v>0</v>
      </c>
      <c r="AK36" s="96">
        <f>IFERROR(__xludf.DUMMYFUNCTION("""COMPUTED_VALUE"""),0.0)</f>
        <v>0</v>
      </c>
      <c r="AL36" s="129">
        <f>IFERROR(__xludf.DUMMYFUNCTION("""COMPUTED_VALUE"""),0.0)</f>
        <v>0</v>
      </c>
      <c r="AM36" s="99"/>
    </row>
    <row r="37">
      <c r="V37" s="96">
        <f>IFERROR(__xludf.DUMMYFUNCTION("""COMPUTED_VALUE"""),1.0)</f>
        <v>1</v>
      </c>
      <c r="W37" s="98">
        <f>IFERROR(__xludf.DUMMYFUNCTION("""COMPUTED_VALUE"""),43743.0)</f>
        <v>43743</v>
      </c>
      <c r="X37" s="96" t="str">
        <f>IFERROR(__xludf.DUMMYFUNCTION("""COMPUTED_VALUE"""),"PETER KEIBO SIDE")</f>
        <v>PETER KEIBO SIDE</v>
      </c>
      <c r="Y37" s="96" t="str">
        <f>IFERROR(__xludf.DUMMYFUNCTION("""COMPUTED_VALUE"""),"PETER KEIBO SIDE1")</f>
        <v>PETER KEIBO SIDE1</v>
      </c>
      <c r="Z37" s="96"/>
      <c r="AA37" s="96"/>
      <c r="AB37" s="96"/>
      <c r="AC37" s="96"/>
      <c r="AD37" s="96"/>
      <c r="AE37" s="96"/>
      <c r="AF37" s="96">
        <f>IFERROR(__xludf.DUMMYFUNCTION("""COMPUTED_VALUE"""),1318980.0)</f>
        <v>1318980</v>
      </c>
      <c r="AG37" s="99">
        <f>IFERROR(__xludf.DUMMYFUNCTION("""COMPUTED_VALUE"""),1318980.0)</f>
        <v>1318980</v>
      </c>
      <c r="AH37" s="96"/>
      <c r="AI37" s="96">
        <f>IFERROR(__xludf.DUMMYFUNCTION("""COMPUTED_VALUE"""),0.0)</f>
        <v>0</v>
      </c>
      <c r="AJ37" s="96">
        <f>IFERROR(__xludf.DUMMYFUNCTION("""COMPUTED_VALUE"""),0.0)</f>
        <v>0</v>
      </c>
      <c r="AK37" s="96">
        <f>IFERROR(__xludf.DUMMYFUNCTION("""COMPUTED_VALUE"""),0.0)</f>
        <v>0</v>
      </c>
      <c r="AL37" s="129">
        <f>IFERROR(__xludf.DUMMYFUNCTION("""COMPUTED_VALUE"""),0.0)</f>
        <v>0</v>
      </c>
      <c r="AM37" s="99"/>
    </row>
    <row r="38">
      <c r="V38" s="96">
        <f>IFERROR(__xludf.DUMMYFUNCTION("""COMPUTED_VALUE"""),1.0)</f>
        <v>1</v>
      </c>
      <c r="W38" s="98">
        <f>IFERROR(__xludf.DUMMYFUNCTION("""COMPUTED_VALUE"""),43743.0)</f>
        <v>43743</v>
      </c>
      <c r="X38" s="96" t="str">
        <f>IFERROR(__xludf.DUMMYFUNCTION("""COMPUTED_VALUE"""),"CONFIDENCE")</f>
        <v>CONFIDENCE</v>
      </c>
      <c r="Y38" s="96" t="str">
        <f>IFERROR(__xludf.DUMMYFUNCTION("""COMPUTED_VALUE"""),"CONFIDENCE1")</f>
        <v>CONFIDENCE1</v>
      </c>
      <c r="Z38" s="96"/>
      <c r="AA38" s="96"/>
      <c r="AB38" s="96"/>
      <c r="AC38" s="96"/>
      <c r="AD38" s="96"/>
      <c r="AE38" s="96"/>
      <c r="AF38" s="96">
        <f>IFERROR(__xludf.DUMMYFUNCTION("""COMPUTED_VALUE"""),300000.0)</f>
        <v>300000</v>
      </c>
      <c r="AG38" s="99">
        <f>IFERROR(__xludf.DUMMYFUNCTION("""COMPUTED_VALUE"""),300000.0)</f>
        <v>300000</v>
      </c>
      <c r="AH38" s="96"/>
      <c r="AI38" s="96">
        <f>IFERROR(__xludf.DUMMYFUNCTION("""COMPUTED_VALUE"""),0.0)</f>
        <v>0</v>
      </c>
      <c r="AJ38" s="96">
        <f>IFERROR(__xludf.DUMMYFUNCTION("""COMPUTED_VALUE"""),0.0)</f>
        <v>0</v>
      </c>
      <c r="AK38" s="96">
        <f>IFERROR(__xludf.DUMMYFUNCTION("""COMPUTED_VALUE"""),0.0)</f>
        <v>0</v>
      </c>
      <c r="AL38" s="129">
        <f>IFERROR(__xludf.DUMMYFUNCTION("""COMPUTED_VALUE"""),0.0)</f>
        <v>0</v>
      </c>
      <c r="AM38" s="99"/>
    </row>
    <row r="39">
      <c r="V39" s="96">
        <f>IFERROR(__xludf.DUMMYFUNCTION("""COMPUTED_VALUE"""),1.0)</f>
        <v>1</v>
      </c>
      <c r="W39" s="98">
        <f>IFERROR(__xludf.DUMMYFUNCTION("""COMPUTED_VALUE"""),43743.0)</f>
        <v>43743</v>
      </c>
      <c r="X39" s="96" t="str">
        <f>IFERROR(__xludf.DUMMYFUNCTION("""COMPUTED_VALUE"""),"LAI BIG MAN")</f>
        <v>LAI BIG MAN</v>
      </c>
      <c r="Y39" s="96" t="str">
        <f>IFERROR(__xludf.DUMMYFUNCTION("""COMPUTED_VALUE"""),"LAI BIG MAN1")</f>
        <v>LAI BIG MAN1</v>
      </c>
      <c r="Z39" s="96"/>
      <c r="AA39" s="96"/>
      <c r="AB39" s="96"/>
      <c r="AC39" s="96"/>
      <c r="AD39" s="96"/>
      <c r="AE39" s="96"/>
      <c r="AF39" s="96">
        <f>IFERROR(__xludf.DUMMYFUNCTION("""COMPUTED_VALUE"""),200000.0)</f>
        <v>200000</v>
      </c>
      <c r="AG39" s="99">
        <f>IFERROR(__xludf.DUMMYFUNCTION("""COMPUTED_VALUE"""),200000.0)</f>
        <v>200000</v>
      </c>
      <c r="AH39" s="96"/>
      <c r="AI39" s="96">
        <f>IFERROR(__xludf.DUMMYFUNCTION("""COMPUTED_VALUE"""),0.0)</f>
        <v>0</v>
      </c>
      <c r="AJ39" s="96">
        <f>IFERROR(__xludf.DUMMYFUNCTION("""COMPUTED_VALUE"""),0.0)</f>
        <v>0</v>
      </c>
      <c r="AK39" s="96">
        <f>IFERROR(__xludf.DUMMYFUNCTION("""COMPUTED_VALUE"""),0.0)</f>
        <v>0</v>
      </c>
      <c r="AL39" s="129">
        <f>IFERROR(__xludf.DUMMYFUNCTION("""COMPUTED_VALUE"""),0.0)</f>
        <v>0</v>
      </c>
      <c r="AM39" s="99"/>
    </row>
    <row r="40">
      <c r="V40" s="96">
        <f>IFERROR(__xludf.DUMMYFUNCTION("""COMPUTED_VALUE"""),1.0)</f>
        <v>1</v>
      </c>
      <c r="W40" s="98">
        <f>IFERROR(__xludf.DUMMYFUNCTION("""COMPUTED_VALUE"""),43743.0)</f>
        <v>43743</v>
      </c>
      <c r="X40" s="96" t="str">
        <f>IFERROR(__xludf.DUMMYFUNCTION("""COMPUTED_VALUE"""),"ABANG TATAW CAMEROUN")</f>
        <v>ABANG TATAW CAMEROUN</v>
      </c>
      <c r="Y40" s="96" t="str">
        <f>IFERROR(__xludf.DUMMYFUNCTION("""COMPUTED_VALUE"""),"ABANG TATAW CAMEROUN1")</f>
        <v>ABANG TATAW CAMEROUN1</v>
      </c>
      <c r="Z40" s="96"/>
      <c r="AA40" s="96"/>
      <c r="AB40" s="96"/>
      <c r="AC40" s="96"/>
      <c r="AD40" s="96"/>
      <c r="AE40" s="96"/>
      <c r="AF40" s="96">
        <f>IFERROR(__xludf.DUMMYFUNCTION("""COMPUTED_VALUE"""),16000.0)</f>
        <v>16000</v>
      </c>
      <c r="AG40" s="99">
        <f>IFERROR(__xludf.DUMMYFUNCTION("""COMPUTED_VALUE"""),16000.0)</f>
        <v>16000</v>
      </c>
      <c r="AH40" s="96"/>
      <c r="AI40" s="96">
        <f>IFERROR(__xludf.DUMMYFUNCTION("""COMPUTED_VALUE"""),0.0)</f>
        <v>0</v>
      </c>
      <c r="AJ40" s="96">
        <f>IFERROR(__xludf.DUMMYFUNCTION("""COMPUTED_VALUE"""),0.0)</f>
        <v>0</v>
      </c>
      <c r="AK40" s="96">
        <f>IFERROR(__xludf.DUMMYFUNCTION("""COMPUTED_VALUE"""),0.0)</f>
        <v>0</v>
      </c>
      <c r="AL40" s="129">
        <f>IFERROR(__xludf.DUMMYFUNCTION("""COMPUTED_VALUE"""),0.0)</f>
        <v>0</v>
      </c>
      <c r="AM40" s="99"/>
    </row>
    <row r="41">
      <c r="V41" s="96">
        <f>IFERROR(__xludf.DUMMYFUNCTION("""COMPUTED_VALUE"""),1.0)</f>
        <v>1</v>
      </c>
      <c r="W41" s="98">
        <f>IFERROR(__xludf.DUMMYFUNCTION("""COMPUTED_VALUE"""),43743.0)</f>
        <v>43743</v>
      </c>
      <c r="X41" s="96" t="str">
        <f>IFERROR(__xludf.DUMMYFUNCTION("""COMPUTED_VALUE"""),"ABANG FREDINARD")</f>
        <v>ABANG FREDINARD</v>
      </c>
      <c r="Y41" s="96" t="str">
        <f>IFERROR(__xludf.DUMMYFUNCTION("""COMPUTED_VALUE"""),"ABANG FREDINARD1")</f>
        <v>ABANG FREDINARD1</v>
      </c>
      <c r="Z41" s="96"/>
      <c r="AA41" s="96"/>
      <c r="AB41" s="96"/>
      <c r="AC41" s="96"/>
      <c r="AD41" s="96"/>
      <c r="AE41" s="96"/>
      <c r="AF41" s="96">
        <f>IFERROR(__xludf.DUMMYFUNCTION("""COMPUTED_VALUE"""),30000.0)</f>
        <v>30000</v>
      </c>
      <c r="AG41" s="99">
        <f>IFERROR(__xludf.DUMMYFUNCTION("""COMPUTED_VALUE"""),30000.0)</f>
        <v>30000</v>
      </c>
      <c r="AH41" s="96"/>
      <c r="AI41" s="96">
        <f>IFERROR(__xludf.DUMMYFUNCTION("""COMPUTED_VALUE"""),0.0)</f>
        <v>0</v>
      </c>
      <c r="AJ41" s="96">
        <f>IFERROR(__xludf.DUMMYFUNCTION("""COMPUTED_VALUE"""),0.0)</f>
        <v>0</v>
      </c>
      <c r="AK41" s="96">
        <f>IFERROR(__xludf.DUMMYFUNCTION("""COMPUTED_VALUE"""),0.0)</f>
        <v>0</v>
      </c>
      <c r="AL41" s="129">
        <f>IFERROR(__xludf.DUMMYFUNCTION("""COMPUTED_VALUE"""),0.0)</f>
        <v>0</v>
      </c>
      <c r="AM41" s="99"/>
    </row>
    <row r="42">
      <c r="V42" s="96">
        <f>IFERROR(__xludf.DUMMYFUNCTION("""COMPUTED_VALUE"""),1.0)</f>
        <v>1</v>
      </c>
      <c r="W42" s="98">
        <f>IFERROR(__xludf.DUMMYFUNCTION("""COMPUTED_VALUE"""),43743.0)</f>
        <v>43743</v>
      </c>
      <c r="X42" s="96" t="str">
        <f>IFERROR(__xludf.DUMMYFUNCTION("""COMPUTED_VALUE"""),"KOKOK PRIN")</f>
        <v>KOKOK PRIN</v>
      </c>
      <c r="Y42" s="96" t="str">
        <f>IFERROR(__xludf.DUMMYFUNCTION("""COMPUTED_VALUE"""),"KOKOK PRIN1")</f>
        <v>KOKOK PRIN1</v>
      </c>
      <c r="Z42" s="96"/>
      <c r="AA42" s="96"/>
      <c r="AB42" s="96"/>
      <c r="AC42" s="96"/>
      <c r="AD42" s="96"/>
      <c r="AE42" s="96"/>
      <c r="AF42" s="96">
        <f>IFERROR(__xludf.DUMMYFUNCTION("""COMPUTED_VALUE"""),215000.0)</f>
        <v>215000</v>
      </c>
      <c r="AG42" s="99">
        <f>IFERROR(__xludf.DUMMYFUNCTION("""COMPUTED_VALUE"""),215000.0)</f>
        <v>215000</v>
      </c>
      <c r="AH42" s="96"/>
      <c r="AI42" s="96">
        <f>IFERROR(__xludf.DUMMYFUNCTION("""COMPUTED_VALUE"""),0.0)</f>
        <v>0</v>
      </c>
      <c r="AJ42" s="96">
        <f>IFERROR(__xludf.DUMMYFUNCTION("""COMPUTED_VALUE"""),0.0)</f>
        <v>0</v>
      </c>
      <c r="AK42" s="96">
        <f>IFERROR(__xludf.DUMMYFUNCTION("""COMPUTED_VALUE"""),0.0)</f>
        <v>0</v>
      </c>
      <c r="AL42" s="129">
        <f>IFERROR(__xludf.DUMMYFUNCTION("""COMPUTED_VALUE"""),0.0)</f>
        <v>0</v>
      </c>
      <c r="AM42" s="99"/>
    </row>
    <row r="43">
      <c r="V43" s="96">
        <f>IFERROR(__xludf.DUMMYFUNCTION("""COMPUTED_VALUE"""),1.0)</f>
        <v>1</v>
      </c>
      <c r="W43" s="98">
        <f>IFERROR(__xludf.DUMMYFUNCTION("""COMPUTED_VALUE"""),43743.0)</f>
        <v>43743</v>
      </c>
      <c r="X43" s="96" t="str">
        <f>IFERROR(__xludf.DUMMYFUNCTION("""COMPUTED_VALUE"""),"BABA NDIFON")</f>
        <v>BABA NDIFON</v>
      </c>
      <c r="Y43" s="96" t="str">
        <f>IFERROR(__xludf.DUMMYFUNCTION("""COMPUTED_VALUE"""),"BABA NDIFON1")</f>
        <v>BABA NDIFON1</v>
      </c>
      <c r="Z43" s="96"/>
      <c r="AA43" s="96"/>
      <c r="AB43" s="96"/>
      <c r="AC43" s="96"/>
      <c r="AD43" s="96"/>
      <c r="AE43" s="96"/>
      <c r="AF43" s="96">
        <f>IFERROR(__xludf.DUMMYFUNCTION("""COMPUTED_VALUE"""),190000.0)</f>
        <v>190000</v>
      </c>
      <c r="AG43" s="99">
        <f>IFERROR(__xludf.DUMMYFUNCTION("""COMPUTED_VALUE"""),190000.0)</f>
        <v>190000</v>
      </c>
      <c r="AH43" s="96"/>
      <c r="AI43" s="96">
        <f>IFERROR(__xludf.DUMMYFUNCTION("""COMPUTED_VALUE"""),0.0)</f>
        <v>0</v>
      </c>
      <c r="AJ43" s="96">
        <f>IFERROR(__xludf.DUMMYFUNCTION("""COMPUTED_VALUE"""),0.0)</f>
        <v>0</v>
      </c>
      <c r="AK43" s="96">
        <f>IFERROR(__xludf.DUMMYFUNCTION("""COMPUTED_VALUE"""),0.0)</f>
        <v>0</v>
      </c>
      <c r="AL43" s="129">
        <f>IFERROR(__xludf.DUMMYFUNCTION("""COMPUTED_VALUE"""),0.0)</f>
        <v>0</v>
      </c>
      <c r="AM43" s="99"/>
    </row>
    <row r="44">
      <c r="V44" s="96">
        <f>IFERROR(__xludf.DUMMYFUNCTION("""COMPUTED_VALUE"""),1.0)</f>
        <v>1</v>
      </c>
      <c r="W44" s="98">
        <f>IFERROR(__xludf.DUMMYFUNCTION("""COMPUTED_VALUE"""),43743.0)</f>
        <v>43743</v>
      </c>
      <c r="X44" s="96" t="str">
        <f>IFERROR(__xludf.DUMMYFUNCTION("""COMPUTED_VALUE"""),"TIMOTHY  OLUM")</f>
        <v>TIMOTHY  OLUM</v>
      </c>
      <c r="Y44" s="96" t="str">
        <f>IFERROR(__xludf.DUMMYFUNCTION("""COMPUTED_VALUE"""),"TIMOTHY  OLUM1")</f>
        <v>TIMOTHY  OLUM1</v>
      </c>
      <c r="Z44" s="96"/>
      <c r="AA44" s="96"/>
      <c r="AB44" s="96"/>
      <c r="AC44" s="96"/>
      <c r="AD44" s="96"/>
      <c r="AE44" s="96"/>
      <c r="AF44" s="96">
        <f>IFERROR(__xludf.DUMMYFUNCTION("""COMPUTED_VALUE"""),150000.0)</f>
        <v>150000</v>
      </c>
      <c r="AG44" s="99">
        <f>IFERROR(__xludf.DUMMYFUNCTION("""COMPUTED_VALUE"""),150000.0)</f>
        <v>150000</v>
      </c>
      <c r="AH44" s="96"/>
      <c r="AI44" s="96">
        <f>IFERROR(__xludf.DUMMYFUNCTION("""COMPUTED_VALUE"""),0.0)</f>
        <v>0</v>
      </c>
      <c r="AJ44" s="96">
        <f>IFERROR(__xludf.DUMMYFUNCTION("""COMPUTED_VALUE"""),0.0)</f>
        <v>0</v>
      </c>
      <c r="AK44" s="96">
        <f>IFERROR(__xludf.DUMMYFUNCTION("""COMPUTED_VALUE"""),0.0)</f>
        <v>0</v>
      </c>
      <c r="AL44" s="129">
        <f>IFERROR(__xludf.DUMMYFUNCTION("""COMPUTED_VALUE"""),0.0)</f>
        <v>0</v>
      </c>
      <c r="AM44" s="99"/>
    </row>
    <row r="45">
      <c r="V45" s="96">
        <f>IFERROR(__xludf.DUMMYFUNCTION("""COMPUTED_VALUE"""),1.0)</f>
        <v>1</v>
      </c>
      <c r="W45" s="98">
        <f>IFERROR(__xludf.DUMMYFUNCTION("""COMPUTED_VALUE"""),43743.0)</f>
        <v>43743</v>
      </c>
      <c r="X45" s="96" t="str">
        <f>IFERROR(__xludf.DUMMYFUNCTION("""COMPUTED_VALUE"""),"AGEGE BOY")</f>
        <v>AGEGE BOY</v>
      </c>
      <c r="Y45" s="96" t="str">
        <f>IFERROR(__xludf.DUMMYFUNCTION("""COMPUTED_VALUE"""),"AGEGE BOY1")</f>
        <v>AGEGE BOY1</v>
      </c>
      <c r="Z45" s="96"/>
      <c r="AA45" s="96"/>
      <c r="AB45" s="96"/>
      <c r="AC45" s="96"/>
      <c r="AD45" s="96"/>
      <c r="AE45" s="96"/>
      <c r="AF45" s="96">
        <f>IFERROR(__xludf.DUMMYFUNCTION("""COMPUTED_VALUE"""),300000.0)</f>
        <v>300000</v>
      </c>
      <c r="AG45" s="99">
        <f>IFERROR(__xludf.DUMMYFUNCTION("""COMPUTED_VALUE"""),300000.0)</f>
        <v>300000</v>
      </c>
      <c r="AH45" s="96"/>
      <c r="AI45" s="96">
        <f>IFERROR(__xludf.DUMMYFUNCTION("""COMPUTED_VALUE"""),0.0)</f>
        <v>0</v>
      </c>
      <c r="AJ45" s="96">
        <f>IFERROR(__xludf.DUMMYFUNCTION("""COMPUTED_VALUE"""),0.0)</f>
        <v>0</v>
      </c>
      <c r="AK45" s="96">
        <f>IFERROR(__xludf.DUMMYFUNCTION("""COMPUTED_VALUE"""),0.0)</f>
        <v>0</v>
      </c>
      <c r="AL45" s="129">
        <f>IFERROR(__xludf.DUMMYFUNCTION("""COMPUTED_VALUE"""),0.0)</f>
        <v>0</v>
      </c>
      <c r="AM45" s="99"/>
    </row>
    <row r="46">
      <c r="V46" s="96">
        <f>IFERROR(__xludf.DUMMYFUNCTION("""COMPUTED_VALUE"""),1.0)</f>
        <v>1</v>
      </c>
      <c r="W46" s="98">
        <f>IFERROR(__xludf.DUMMYFUNCTION("""COMPUTED_VALUE"""),43743.0)</f>
        <v>43743</v>
      </c>
      <c r="X46" s="96" t="str">
        <f>IFERROR(__xludf.DUMMYFUNCTION("""COMPUTED_VALUE"""),"PRINNESS")</f>
        <v>PRINNESS</v>
      </c>
      <c r="Y46" s="96" t="str">
        <f>IFERROR(__xludf.DUMMYFUNCTION("""COMPUTED_VALUE"""),"PRINNESS1")</f>
        <v>PRINNESS1</v>
      </c>
      <c r="Z46" s="96"/>
      <c r="AA46" s="96"/>
      <c r="AB46" s="96"/>
      <c r="AC46" s="96"/>
      <c r="AD46" s="96"/>
      <c r="AE46" s="96"/>
      <c r="AF46" s="96">
        <f>IFERROR(__xludf.DUMMYFUNCTION("""COMPUTED_VALUE"""),200000.0)</f>
        <v>200000</v>
      </c>
      <c r="AG46" s="99">
        <f>IFERROR(__xludf.DUMMYFUNCTION("""COMPUTED_VALUE"""),200000.0)</f>
        <v>200000</v>
      </c>
      <c r="AH46" s="96"/>
      <c r="AI46" s="96">
        <f>IFERROR(__xludf.DUMMYFUNCTION("""COMPUTED_VALUE"""),0.0)</f>
        <v>0</v>
      </c>
      <c r="AJ46" s="96">
        <f>IFERROR(__xludf.DUMMYFUNCTION("""COMPUTED_VALUE"""),0.0)</f>
        <v>0</v>
      </c>
      <c r="AK46" s="96">
        <f>IFERROR(__xludf.DUMMYFUNCTION("""COMPUTED_VALUE"""),0.0)</f>
        <v>0</v>
      </c>
      <c r="AL46" s="129">
        <f>IFERROR(__xludf.DUMMYFUNCTION("""COMPUTED_VALUE"""),0.0)</f>
        <v>0</v>
      </c>
      <c r="AM46" s="99"/>
    </row>
    <row r="47">
      <c r="V47" s="96">
        <f>IFERROR(__xludf.DUMMYFUNCTION("""COMPUTED_VALUE"""),1.0)</f>
        <v>1</v>
      </c>
      <c r="W47" s="98">
        <f>IFERROR(__xludf.DUMMYFUNCTION("""COMPUTED_VALUE"""),43743.0)</f>
        <v>43743</v>
      </c>
      <c r="X47" s="96" t="str">
        <f>IFERROR(__xludf.DUMMYFUNCTION("""COMPUTED_VALUE"""),"CORNWELL")</f>
        <v>CORNWELL</v>
      </c>
      <c r="Y47" s="96" t="str">
        <f>IFERROR(__xludf.DUMMYFUNCTION("""COMPUTED_VALUE"""),"CORNWELL1")</f>
        <v>CORNWELL1</v>
      </c>
      <c r="Z47" s="96"/>
      <c r="AA47" s="96"/>
      <c r="AB47" s="96"/>
      <c r="AC47" s="96"/>
      <c r="AD47" s="96"/>
      <c r="AE47" s="96"/>
      <c r="AF47" s="96">
        <f>IFERROR(__xludf.DUMMYFUNCTION("""COMPUTED_VALUE"""),879440.0)</f>
        <v>879440</v>
      </c>
      <c r="AG47" s="99">
        <f>IFERROR(__xludf.DUMMYFUNCTION("""COMPUTED_VALUE"""),879440.0)</f>
        <v>879440</v>
      </c>
      <c r="AH47" s="96"/>
      <c r="AI47" s="96">
        <f>IFERROR(__xludf.DUMMYFUNCTION("""COMPUTED_VALUE"""),0.0)</f>
        <v>0</v>
      </c>
      <c r="AJ47" s="96">
        <f>IFERROR(__xludf.DUMMYFUNCTION("""COMPUTED_VALUE"""),0.0)</f>
        <v>0</v>
      </c>
      <c r="AK47" s="96">
        <f>IFERROR(__xludf.DUMMYFUNCTION("""COMPUTED_VALUE"""),0.0)</f>
        <v>0</v>
      </c>
      <c r="AL47" s="129">
        <f>IFERROR(__xludf.DUMMYFUNCTION("""COMPUTED_VALUE"""),0.0)</f>
        <v>0</v>
      </c>
      <c r="AM47" s="99"/>
    </row>
    <row r="48">
      <c r="V48" s="96">
        <f>IFERROR(__xludf.DUMMYFUNCTION("""COMPUTED_VALUE"""),1.0)</f>
        <v>1</v>
      </c>
      <c r="W48" s="98">
        <f>IFERROR(__xludf.DUMMYFUNCTION("""COMPUTED_VALUE"""),43743.0)</f>
        <v>43743</v>
      </c>
      <c r="X48" s="96" t="str">
        <f>IFERROR(__xludf.DUMMYFUNCTION("""COMPUTED_VALUE"""),"DUN ODI A.")</f>
        <v>DUN ODI A.</v>
      </c>
      <c r="Y48" s="96" t="str">
        <f>IFERROR(__xludf.DUMMYFUNCTION("""COMPUTED_VALUE"""),"DUN ODI A.1")</f>
        <v>DUN ODI A.1</v>
      </c>
      <c r="Z48" s="96"/>
      <c r="AA48" s="96"/>
      <c r="AB48" s="96"/>
      <c r="AC48" s="96"/>
      <c r="AD48" s="96"/>
      <c r="AE48" s="96"/>
      <c r="AF48" s="96">
        <f>IFERROR(__xludf.DUMMYFUNCTION("""COMPUTED_VALUE"""),30000.0)</f>
        <v>30000</v>
      </c>
      <c r="AG48" s="99">
        <f>IFERROR(__xludf.DUMMYFUNCTION("""COMPUTED_VALUE"""),30000.0)</f>
        <v>30000</v>
      </c>
      <c r="AH48" s="96"/>
      <c r="AI48" s="96">
        <f>IFERROR(__xludf.DUMMYFUNCTION("""COMPUTED_VALUE"""),0.0)</f>
        <v>0</v>
      </c>
      <c r="AJ48" s="96">
        <f>IFERROR(__xludf.DUMMYFUNCTION("""COMPUTED_VALUE"""),0.0)</f>
        <v>0</v>
      </c>
      <c r="AK48" s="96">
        <f>IFERROR(__xludf.DUMMYFUNCTION("""COMPUTED_VALUE"""),0.0)</f>
        <v>0</v>
      </c>
      <c r="AL48" s="129">
        <f>IFERROR(__xludf.DUMMYFUNCTION("""COMPUTED_VALUE"""),0.0)</f>
        <v>0</v>
      </c>
      <c r="AM48" s="99"/>
    </row>
    <row r="49">
      <c r="V49" s="96">
        <f>IFERROR(__xludf.DUMMYFUNCTION("""COMPUTED_VALUE"""),1.0)</f>
        <v>1</v>
      </c>
      <c r="W49" s="98">
        <f>IFERROR(__xludf.DUMMYFUNCTION("""COMPUTED_VALUE"""),43743.0)</f>
        <v>43743</v>
      </c>
      <c r="X49" s="96" t="str">
        <f>IFERROR(__xludf.DUMMYFUNCTION("""COMPUTED_VALUE"""),"MAXWELL AGRO PRIN")</f>
        <v>MAXWELL AGRO PRIN</v>
      </c>
      <c r="Y49" s="96" t="str">
        <f>IFERROR(__xludf.DUMMYFUNCTION("""COMPUTED_VALUE"""),"MAXWELL AGRO PRIN1")</f>
        <v>MAXWELL AGRO PRIN1</v>
      </c>
      <c r="Z49" s="96"/>
      <c r="AA49" s="96"/>
      <c r="AB49" s="96"/>
      <c r="AC49" s="96"/>
      <c r="AD49" s="96"/>
      <c r="AE49" s="96"/>
      <c r="AF49" s="96">
        <f>IFERROR(__xludf.DUMMYFUNCTION("""COMPUTED_VALUE"""),280000.0)</f>
        <v>280000</v>
      </c>
      <c r="AG49" s="99">
        <f>IFERROR(__xludf.DUMMYFUNCTION("""COMPUTED_VALUE"""),280000.0)</f>
        <v>280000</v>
      </c>
      <c r="AH49" s="96"/>
      <c r="AI49" s="96">
        <f>IFERROR(__xludf.DUMMYFUNCTION("""COMPUTED_VALUE"""),0.0)</f>
        <v>0</v>
      </c>
      <c r="AJ49" s="96">
        <f>IFERROR(__xludf.DUMMYFUNCTION("""COMPUTED_VALUE"""),0.0)</f>
        <v>0</v>
      </c>
      <c r="AK49" s="96">
        <f>IFERROR(__xludf.DUMMYFUNCTION("""COMPUTED_VALUE"""),0.0)</f>
        <v>0</v>
      </c>
      <c r="AL49" s="129">
        <f>IFERROR(__xludf.DUMMYFUNCTION("""COMPUTED_VALUE"""),0.0)</f>
        <v>0</v>
      </c>
      <c r="AM49" s="99"/>
    </row>
    <row r="50">
      <c r="V50" s="96">
        <f>IFERROR(__xludf.DUMMYFUNCTION("""COMPUTED_VALUE"""),1.0)</f>
        <v>1</v>
      </c>
      <c r="W50" s="98">
        <f>IFERROR(__xludf.DUMMYFUNCTION("""COMPUTED_VALUE"""),43743.0)</f>
        <v>43743</v>
      </c>
      <c r="X50" s="96" t="str">
        <f>IFERROR(__xludf.DUMMYFUNCTION("""COMPUTED_VALUE"""),"FRANCIS KEIBO")</f>
        <v>FRANCIS KEIBO</v>
      </c>
      <c r="Y50" s="96" t="str">
        <f>IFERROR(__xludf.DUMMYFUNCTION("""COMPUTED_VALUE"""),"FRANCIS KEIBO1")</f>
        <v>FRANCIS KEIBO1</v>
      </c>
      <c r="Z50" s="96"/>
      <c r="AA50" s="96"/>
      <c r="AB50" s="96"/>
      <c r="AC50" s="96"/>
      <c r="AD50" s="96"/>
      <c r="AE50" s="96"/>
      <c r="AF50" s="96">
        <f>IFERROR(__xludf.DUMMYFUNCTION("""COMPUTED_VALUE"""),237000.0)</f>
        <v>237000</v>
      </c>
      <c r="AG50" s="99">
        <f>IFERROR(__xludf.DUMMYFUNCTION("""COMPUTED_VALUE"""),237000.0)</f>
        <v>237000</v>
      </c>
      <c r="AH50" s="96"/>
      <c r="AI50" s="96">
        <f>IFERROR(__xludf.DUMMYFUNCTION("""COMPUTED_VALUE"""),0.0)</f>
        <v>0</v>
      </c>
      <c r="AJ50" s="96">
        <f>IFERROR(__xludf.DUMMYFUNCTION("""COMPUTED_VALUE"""),0.0)</f>
        <v>0</v>
      </c>
      <c r="AK50" s="96">
        <f>IFERROR(__xludf.DUMMYFUNCTION("""COMPUTED_VALUE"""),0.0)</f>
        <v>0</v>
      </c>
      <c r="AL50" s="129">
        <f>IFERROR(__xludf.DUMMYFUNCTION("""COMPUTED_VALUE"""),0.0)</f>
        <v>0</v>
      </c>
      <c r="AM50" s="99"/>
    </row>
    <row r="51">
      <c r="V51" s="96">
        <f>IFERROR(__xludf.DUMMYFUNCTION("""COMPUTED_VALUE"""),1.0)</f>
        <v>1</v>
      </c>
      <c r="W51" s="98">
        <f>IFERROR(__xludf.DUMMYFUNCTION("""COMPUTED_VALUE"""),43743.0)</f>
        <v>43743</v>
      </c>
      <c r="X51" s="96" t="str">
        <f>IFERROR(__xludf.DUMMYFUNCTION("""COMPUTED_VALUE"""),"COLLABS")</f>
        <v>COLLABS</v>
      </c>
      <c r="Y51" s="96" t="str">
        <f>IFERROR(__xludf.DUMMYFUNCTION("""COMPUTED_VALUE"""),"COLLABS1")</f>
        <v>COLLABS1</v>
      </c>
      <c r="Z51" s="96"/>
      <c r="AA51" s="96"/>
      <c r="AB51" s="96"/>
      <c r="AC51" s="96"/>
      <c r="AD51" s="96"/>
      <c r="AE51" s="96"/>
      <c r="AF51" s="96">
        <f>IFERROR(__xludf.DUMMYFUNCTION("""COMPUTED_VALUE"""),220000.0)</f>
        <v>220000</v>
      </c>
      <c r="AG51" s="99">
        <f>IFERROR(__xludf.DUMMYFUNCTION("""COMPUTED_VALUE"""),220000.0)</f>
        <v>220000</v>
      </c>
      <c r="AH51" s="96"/>
      <c r="AI51" s="96">
        <f>IFERROR(__xludf.DUMMYFUNCTION("""COMPUTED_VALUE"""),0.0)</f>
        <v>0</v>
      </c>
      <c r="AJ51" s="96">
        <f>IFERROR(__xludf.DUMMYFUNCTION("""COMPUTED_VALUE"""),0.0)</f>
        <v>0</v>
      </c>
      <c r="AK51" s="96">
        <f>IFERROR(__xludf.DUMMYFUNCTION("""COMPUTED_VALUE"""),0.0)</f>
        <v>0</v>
      </c>
      <c r="AL51" s="129">
        <f>IFERROR(__xludf.DUMMYFUNCTION("""COMPUTED_VALUE"""),0.0)</f>
        <v>0</v>
      </c>
      <c r="AM51" s="99"/>
    </row>
    <row r="52">
      <c r="V52" s="96">
        <f>IFERROR(__xludf.DUMMYFUNCTION("""COMPUTED_VALUE"""),1.0)</f>
        <v>1</v>
      </c>
      <c r="W52" s="98">
        <f>IFERROR(__xludf.DUMMYFUNCTION("""COMPUTED_VALUE"""),43743.0)</f>
        <v>43743</v>
      </c>
      <c r="X52" s="96" t="str">
        <f>IFERROR(__xludf.DUMMYFUNCTION("""COMPUTED_VALUE"""),"CONNECT")</f>
        <v>CONNECT</v>
      </c>
      <c r="Y52" s="96" t="str">
        <f>IFERROR(__xludf.DUMMYFUNCTION("""COMPUTED_VALUE"""),"CONNECT1")</f>
        <v>CONNECT1</v>
      </c>
      <c r="Z52" s="96"/>
      <c r="AA52" s="96"/>
      <c r="AB52" s="96"/>
      <c r="AC52" s="96"/>
      <c r="AD52" s="96"/>
      <c r="AE52" s="96"/>
      <c r="AF52" s="96">
        <f>IFERROR(__xludf.DUMMYFUNCTION("""COMPUTED_VALUE"""),1200000.0)</f>
        <v>1200000</v>
      </c>
      <c r="AG52" s="99">
        <f>IFERROR(__xludf.DUMMYFUNCTION("""COMPUTED_VALUE"""),1200000.0)</f>
        <v>1200000</v>
      </c>
      <c r="AH52" s="96"/>
      <c r="AI52" s="96">
        <f>IFERROR(__xludf.DUMMYFUNCTION("""COMPUTED_VALUE"""),0.0)</f>
        <v>0</v>
      </c>
      <c r="AJ52" s="96">
        <f>IFERROR(__xludf.DUMMYFUNCTION("""COMPUTED_VALUE"""),0.0)</f>
        <v>0</v>
      </c>
      <c r="AK52" s="96">
        <f>IFERROR(__xludf.DUMMYFUNCTION("""COMPUTED_VALUE"""),0.0)</f>
        <v>0</v>
      </c>
      <c r="AL52" s="129">
        <f>IFERROR(__xludf.DUMMYFUNCTION("""COMPUTED_VALUE"""),0.0)</f>
        <v>0</v>
      </c>
      <c r="AM52" s="99"/>
    </row>
    <row r="53">
      <c r="V53" s="96">
        <f>IFERROR(__xludf.DUMMYFUNCTION("""COMPUTED_VALUE"""),1.0)</f>
        <v>1</v>
      </c>
      <c r="W53" s="98">
        <f>IFERROR(__xludf.DUMMYFUNCTION("""COMPUTED_VALUE"""),43743.0)</f>
        <v>43743</v>
      </c>
      <c r="X53" s="96" t="str">
        <f>IFERROR(__xludf.DUMMYFUNCTION("""COMPUTED_VALUE"""),"KARIEN EBAN")</f>
        <v>KARIEN EBAN</v>
      </c>
      <c r="Y53" s="96" t="str">
        <f>IFERROR(__xludf.DUMMYFUNCTION("""COMPUTED_VALUE"""),"KARIEN EBAN1")</f>
        <v>KARIEN EBAN1</v>
      </c>
      <c r="Z53" s="96"/>
      <c r="AA53" s="96"/>
      <c r="AB53" s="96"/>
      <c r="AC53" s="96"/>
      <c r="AD53" s="96"/>
      <c r="AE53" s="96"/>
      <c r="AF53" s="96">
        <f>IFERROR(__xludf.DUMMYFUNCTION("""COMPUTED_VALUE"""),1500000.0)</f>
        <v>1500000</v>
      </c>
      <c r="AG53" s="99">
        <f>IFERROR(__xludf.DUMMYFUNCTION("""COMPUTED_VALUE"""),1500000.0)</f>
        <v>1500000</v>
      </c>
      <c r="AH53" s="96"/>
      <c r="AI53" s="96">
        <f>IFERROR(__xludf.DUMMYFUNCTION("""COMPUTED_VALUE"""),0.0)</f>
        <v>0</v>
      </c>
      <c r="AJ53" s="96">
        <f>IFERROR(__xludf.DUMMYFUNCTION("""COMPUTED_VALUE"""),0.0)</f>
        <v>0</v>
      </c>
      <c r="AK53" s="96">
        <f>IFERROR(__xludf.DUMMYFUNCTION("""COMPUTED_VALUE"""),0.0)</f>
        <v>0</v>
      </c>
      <c r="AL53" s="129">
        <f>IFERROR(__xludf.DUMMYFUNCTION("""COMPUTED_VALUE"""),0.0)</f>
        <v>0</v>
      </c>
      <c r="AM53" s="99"/>
    </row>
    <row r="54">
      <c r="V54" s="96">
        <f>IFERROR(__xludf.DUMMYFUNCTION("""COMPUTED_VALUE"""),1.0)</f>
        <v>1</v>
      </c>
      <c r="W54" s="98">
        <f>IFERROR(__xludf.DUMMYFUNCTION("""COMPUTED_VALUE"""),43743.0)</f>
        <v>43743</v>
      </c>
      <c r="X54" s="96" t="str">
        <f>IFERROR(__xludf.DUMMYFUNCTION("""COMPUTED_VALUE"""),"ZULU &amp; NDOMA")</f>
        <v>ZULU &amp; NDOMA</v>
      </c>
      <c r="Y54" s="96" t="str">
        <f>IFERROR(__xludf.DUMMYFUNCTION("""COMPUTED_VALUE"""),"ZULU &amp; NDOMA1")</f>
        <v>ZULU &amp; NDOMA1</v>
      </c>
      <c r="Z54" s="96"/>
      <c r="AA54" s="96"/>
      <c r="AB54" s="96"/>
      <c r="AC54" s="96"/>
      <c r="AD54" s="96"/>
      <c r="AE54" s="96"/>
      <c r="AF54" s="96">
        <f>IFERROR(__xludf.DUMMYFUNCTION("""COMPUTED_VALUE"""),165400.0)</f>
        <v>165400</v>
      </c>
      <c r="AG54" s="99">
        <f>IFERROR(__xludf.DUMMYFUNCTION("""COMPUTED_VALUE"""),165400.0)</f>
        <v>165400</v>
      </c>
      <c r="AH54" s="96"/>
      <c r="AI54" s="96">
        <f>IFERROR(__xludf.DUMMYFUNCTION("""COMPUTED_VALUE"""),0.0)</f>
        <v>0</v>
      </c>
      <c r="AJ54" s="96">
        <f>IFERROR(__xludf.DUMMYFUNCTION("""COMPUTED_VALUE"""),0.0)</f>
        <v>0</v>
      </c>
      <c r="AK54" s="96">
        <f>IFERROR(__xludf.DUMMYFUNCTION("""COMPUTED_VALUE"""),0.0)</f>
        <v>0</v>
      </c>
      <c r="AL54" s="129">
        <f>IFERROR(__xludf.DUMMYFUNCTION("""COMPUTED_VALUE"""),0.0)</f>
        <v>0</v>
      </c>
      <c r="AM54" s="99"/>
    </row>
    <row r="55">
      <c r="V55" s="96">
        <f>IFERROR(__xludf.DUMMYFUNCTION("""COMPUTED_VALUE"""),1.0)</f>
        <v>1</v>
      </c>
      <c r="W55" s="98">
        <f>IFERROR(__xludf.DUMMYFUNCTION("""COMPUTED_VALUE"""),43743.0)</f>
        <v>43743</v>
      </c>
      <c r="X55" s="96" t="str">
        <f>IFERROR(__xludf.DUMMYFUNCTION("""COMPUTED_VALUE"""),"TIWA AGBA")</f>
        <v>TIWA AGBA</v>
      </c>
      <c r="Y55" s="96" t="str">
        <f>IFERROR(__xludf.DUMMYFUNCTION("""COMPUTED_VALUE"""),"TIWA AGBA1")</f>
        <v>TIWA AGBA1</v>
      </c>
      <c r="Z55" s="96"/>
      <c r="AA55" s="96"/>
      <c r="AB55" s="96"/>
      <c r="AC55" s="96"/>
      <c r="AD55" s="96"/>
      <c r="AE55" s="96"/>
      <c r="AF55" s="96">
        <f>IFERROR(__xludf.DUMMYFUNCTION("""COMPUTED_VALUE"""),5000.0)</f>
        <v>5000</v>
      </c>
      <c r="AG55" s="99">
        <f>IFERROR(__xludf.DUMMYFUNCTION("""COMPUTED_VALUE"""),5000.0)</f>
        <v>5000</v>
      </c>
      <c r="AH55" s="96"/>
      <c r="AI55" s="96">
        <f>IFERROR(__xludf.DUMMYFUNCTION("""COMPUTED_VALUE"""),0.0)</f>
        <v>0</v>
      </c>
      <c r="AJ55" s="96">
        <f>IFERROR(__xludf.DUMMYFUNCTION("""COMPUTED_VALUE"""),0.0)</f>
        <v>0</v>
      </c>
      <c r="AK55" s="96">
        <f>IFERROR(__xludf.DUMMYFUNCTION("""COMPUTED_VALUE"""),0.0)</f>
        <v>0</v>
      </c>
      <c r="AL55" s="129">
        <f>IFERROR(__xludf.DUMMYFUNCTION("""COMPUTED_VALUE"""),0.0)</f>
        <v>0</v>
      </c>
      <c r="AM55" s="99"/>
    </row>
    <row r="56">
      <c r="V56" s="96">
        <f>IFERROR(__xludf.DUMMYFUNCTION("""COMPUTED_VALUE"""),1.0)</f>
        <v>1</v>
      </c>
      <c r="W56" s="98">
        <f>IFERROR(__xludf.DUMMYFUNCTION("""COMPUTED_VALUE"""),43743.0)</f>
        <v>43743</v>
      </c>
      <c r="X56" s="96" t="str">
        <f>IFERROR(__xludf.DUMMYFUNCTION("""COMPUTED_VALUE"""),"PAPA AJASCO BETTE")</f>
        <v>PAPA AJASCO BETTE</v>
      </c>
      <c r="Y56" s="96" t="str">
        <f>IFERROR(__xludf.DUMMYFUNCTION("""COMPUTED_VALUE"""),"PAPA AJASCO BETTE1")</f>
        <v>PAPA AJASCO BETTE1</v>
      </c>
      <c r="Z56" s="96"/>
      <c r="AA56" s="96"/>
      <c r="AB56" s="96"/>
      <c r="AC56" s="96"/>
      <c r="AD56" s="96"/>
      <c r="AE56" s="96"/>
      <c r="AF56" s="96">
        <f>IFERROR(__xludf.DUMMYFUNCTION("""COMPUTED_VALUE"""),200000.0)</f>
        <v>200000</v>
      </c>
      <c r="AG56" s="99">
        <f>IFERROR(__xludf.DUMMYFUNCTION("""COMPUTED_VALUE"""),200000.0)</f>
        <v>200000</v>
      </c>
      <c r="AH56" s="96"/>
      <c r="AI56" s="96">
        <f>IFERROR(__xludf.DUMMYFUNCTION("""COMPUTED_VALUE"""),0.0)</f>
        <v>0</v>
      </c>
      <c r="AJ56" s="96">
        <f>IFERROR(__xludf.DUMMYFUNCTION("""COMPUTED_VALUE"""),0.0)</f>
        <v>0</v>
      </c>
      <c r="AK56" s="96">
        <f>IFERROR(__xludf.DUMMYFUNCTION("""COMPUTED_VALUE"""),0.0)</f>
        <v>0</v>
      </c>
      <c r="AL56" s="129">
        <f>IFERROR(__xludf.DUMMYFUNCTION("""COMPUTED_VALUE"""),0.0)</f>
        <v>0</v>
      </c>
      <c r="AM56" s="99"/>
    </row>
    <row r="57">
      <c r="V57" s="96">
        <f>IFERROR(__xludf.DUMMYFUNCTION("""COMPUTED_VALUE"""),2.0)</f>
        <v>2</v>
      </c>
      <c r="W57" s="98">
        <f>IFERROR(__xludf.DUMMYFUNCTION("""COMPUTED_VALUE"""),44027.0)</f>
        <v>44027</v>
      </c>
      <c r="X57" s="96" t="str">
        <f>IFERROR(__xludf.DUMMYFUNCTION("""COMPUTED_VALUE"""),"REMMY BODES")</f>
        <v>REMMY BODES</v>
      </c>
      <c r="Y57" s="96" t="str">
        <f>IFERROR(__xludf.DUMMYFUNCTION("""COMPUTED_VALUE"""),"REMMY BODES2")</f>
        <v>REMMY BODES2</v>
      </c>
      <c r="Z57" s="96"/>
      <c r="AA57" s="96"/>
      <c r="AB57" s="96"/>
      <c r="AC57" s="96"/>
      <c r="AD57" s="96"/>
      <c r="AE57" s="96"/>
      <c r="AF57" s="96">
        <f>IFERROR(__xludf.DUMMYFUNCTION("""COMPUTED_VALUE"""),200000.0)</f>
        <v>200000</v>
      </c>
      <c r="AG57" s="99">
        <f>IFERROR(__xludf.DUMMYFUNCTION("""COMPUTED_VALUE"""),200000.0)</f>
        <v>200000</v>
      </c>
      <c r="AH57" s="96"/>
      <c r="AI57" s="96">
        <f>IFERROR(__xludf.DUMMYFUNCTION("""COMPUTED_VALUE"""),0.0)</f>
        <v>0</v>
      </c>
      <c r="AJ57" s="96">
        <f>IFERROR(__xludf.DUMMYFUNCTION("""COMPUTED_VALUE"""),0.0)</f>
        <v>0</v>
      </c>
      <c r="AK57" s="96">
        <f>IFERROR(__xludf.DUMMYFUNCTION("""COMPUTED_VALUE"""),0.0)</f>
        <v>0</v>
      </c>
      <c r="AL57" s="129">
        <f>IFERROR(__xludf.DUMMYFUNCTION("""COMPUTED_VALUE"""),0.0)</f>
        <v>0</v>
      </c>
      <c r="AM57" s="99"/>
    </row>
    <row r="58">
      <c r="K58" s="99"/>
      <c r="V58" s="96">
        <f>IFERROR(__xludf.DUMMYFUNCTION("""COMPUTED_VALUE"""),2.0)</f>
        <v>2</v>
      </c>
      <c r="W58" s="98">
        <f>IFERROR(__xludf.DUMMYFUNCTION("""COMPUTED_VALUE"""),44027.0)</f>
        <v>44027</v>
      </c>
      <c r="X58" s="96" t="str">
        <f>IFERROR(__xludf.DUMMYFUNCTION("""COMPUTED_VALUE"""),"CORNWELL")</f>
        <v>CORNWELL</v>
      </c>
      <c r="Y58" s="96" t="str">
        <f>IFERROR(__xludf.DUMMYFUNCTION("""COMPUTED_VALUE"""),"CORNWELL2")</f>
        <v>CORNWELL2</v>
      </c>
      <c r="Z58" s="96"/>
      <c r="AA58" s="96"/>
      <c r="AB58" s="96"/>
      <c r="AC58" s="96"/>
      <c r="AD58" s="96"/>
      <c r="AE58" s="96"/>
      <c r="AF58" s="96">
        <f>IFERROR(__xludf.DUMMYFUNCTION("""COMPUTED_VALUE"""),5000000.0)</f>
        <v>5000000</v>
      </c>
      <c r="AG58" s="99">
        <f>IFERROR(__xludf.DUMMYFUNCTION("""COMPUTED_VALUE"""),5000000.0)</f>
        <v>5000000</v>
      </c>
      <c r="AH58" s="96"/>
      <c r="AI58" s="96">
        <f>IFERROR(__xludf.DUMMYFUNCTION("""COMPUTED_VALUE"""),0.0)</f>
        <v>0</v>
      </c>
      <c r="AJ58" s="96">
        <f>IFERROR(__xludf.DUMMYFUNCTION("""COMPUTED_VALUE"""),0.0)</f>
        <v>0</v>
      </c>
      <c r="AK58" s="96">
        <f>IFERROR(__xludf.DUMMYFUNCTION("""COMPUTED_VALUE"""),0.0)</f>
        <v>0</v>
      </c>
      <c r="AL58" s="129">
        <f>IFERROR(__xludf.DUMMYFUNCTION("""COMPUTED_VALUE"""),0.0)</f>
        <v>0</v>
      </c>
      <c r="AM58" s="99"/>
    </row>
    <row r="59">
      <c r="V59" s="96">
        <f>IFERROR(__xludf.DUMMYFUNCTION("""COMPUTED_VALUE"""),1.0)</f>
        <v>1</v>
      </c>
      <c r="W59" s="98">
        <f>IFERROR(__xludf.DUMMYFUNCTION("""COMPUTED_VALUE"""),44027.0)</f>
        <v>44027</v>
      </c>
      <c r="X59" s="96" t="str">
        <f>IFERROR(__xludf.DUMMYFUNCTION("""COMPUTED_VALUE"""),"LIVINUS")</f>
        <v>LIVINUS</v>
      </c>
      <c r="Y59" s="96" t="str">
        <f>IFERROR(__xludf.DUMMYFUNCTION("""COMPUTED_VALUE"""),"LIVINUS1")</f>
        <v>LIVINUS1</v>
      </c>
      <c r="Z59" s="96"/>
      <c r="AA59" s="96"/>
      <c r="AB59" s="96"/>
      <c r="AC59" s="96"/>
      <c r="AD59" s="96"/>
      <c r="AE59" s="96"/>
      <c r="AF59" s="96">
        <f>IFERROR(__xludf.DUMMYFUNCTION("""COMPUTED_VALUE"""),240000.0)</f>
        <v>240000</v>
      </c>
      <c r="AG59" s="99">
        <f>IFERROR(__xludf.DUMMYFUNCTION("""COMPUTED_VALUE"""),240000.0)</f>
        <v>240000</v>
      </c>
      <c r="AH59" s="96"/>
      <c r="AI59" s="96">
        <f>IFERROR(__xludf.DUMMYFUNCTION("""COMPUTED_VALUE"""),0.0)</f>
        <v>0</v>
      </c>
      <c r="AJ59" s="96">
        <f>IFERROR(__xludf.DUMMYFUNCTION("""COMPUTED_VALUE"""),0.0)</f>
        <v>0</v>
      </c>
      <c r="AK59" s="96">
        <f>IFERROR(__xludf.DUMMYFUNCTION("""COMPUTED_VALUE"""),0.0)</f>
        <v>0</v>
      </c>
      <c r="AL59" s="129">
        <f>IFERROR(__xludf.DUMMYFUNCTION("""COMPUTED_VALUE"""),0.0)</f>
        <v>0</v>
      </c>
      <c r="AM59" s="99"/>
    </row>
    <row r="60">
      <c r="V60" s="96">
        <f>IFERROR(__xludf.DUMMYFUNCTION("""COMPUTED_VALUE"""),1.0)</f>
        <v>1</v>
      </c>
      <c r="W60" s="98">
        <f>IFERROR(__xludf.DUMMYFUNCTION("""COMPUTED_VALUE"""),44027.0)</f>
        <v>44027</v>
      </c>
      <c r="X60" s="96" t="str">
        <f>IFERROR(__xludf.DUMMYFUNCTION("""COMPUTED_VALUE"""),"JAMES AKAN")</f>
        <v>JAMES AKAN</v>
      </c>
      <c r="Y60" s="96" t="str">
        <f>IFERROR(__xludf.DUMMYFUNCTION("""COMPUTED_VALUE"""),"JAMES AKAN1")</f>
        <v>JAMES AKAN1</v>
      </c>
      <c r="Z60" s="96"/>
      <c r="AA60" s="96"/>
      <c r="AB60" s="96"/>
      <c r="AC60" s="96"/>
      <c r="AD60" s="96"/>
      <c r="AE60" s="96"/>
      <c r="AF60" s="96">
        <f>IFERROR(__xludf.DUMMYFUNCTION("""COMPUTED_VALUE"""),245000.0)</f>
        <v>245000</v>
      </c>
      <c r="AG60" s="99">
        <f>IFERROR(__xludf.DUMMYFUNCTION("""COMPUTED_VALUE"""),245000.0)</f>
        <v>245000</v>
      </c>
      <c r="AH60" s="96"/>
      <c r="AI60" s="96">
        <f>IFERROR(__xludf.DUMMYFUNCTION("""COMPUTED_VALUE"""),0.0)</f>
        <v>0</v>
      </c>
      <c r="AJ60" s="96">
        <f>IFERROR(__xludf.DUMMYFUNCTION("""COMPUTED_VALUE"""),0.0)</f>
        <v>0</v>
      </c>
      <c r="AK60" s="96">
        <f>IFERROR(__xludf.DUMMYFUNCTION("""COMPUTED_VALUE"""),0.0)</f>
        <v>0</v>
      </c>
      <c r="AL60" s="129">
        <f>IFERROR(__xludf.DUMMYFUNCTION("""COMPUTED_VALUE"""),0.0)</f>
        <v>0</v>
      </c>
      <c r="AM60" s="99"/>
    </row>
    <row r="61">
      <c r="V61" s="96">
        <f>IFERROR(__xludf.DUMMYFUNCTION("""COMPUTED_VALUE"""),1.0)</f>
        <v>1</v>
      </c>
      <c r="W61" s="98">
        <f>IFERROR(__xludf.DUMMYFUNCTION("""COMPUTED_VALUE"""),44029.0)</f>
        <v>44029</v>
      </c>
      <c r="X61" s="96" t="str">
        <f>IFERROR(__xludf.DUMMYFUNCTION("""COMPUTED_VALUE"""),"RECTOR W.")</f>
        <v>RECTOR W.</v>
      </c>
      <c r="Y61" s="96" t="str">
        <f>IFERROR(__xludf.DUMMYFUNCTION("""COMPUTED_VALUE"""),"RECTOR W.1")</f>
        <v>RECTOR W.1</v>
      </c>
      <c r="Z61" s="96">
        <f>IFERROR(__xludf.DUMMYFUNCTION("""COMPUTED_VALUE"""),1316.0)</f>
        <v>1316</v>
      </c>
      <c r="AA61" s="96">
        <f>IFERROR(__xludf.DUMMYFUNCTION("""COMPUTED_VALUE"""),160.0)</f>
        <v>160</v>
      </c>
      <c r="AB61" s="96"/>
      <c r="AC61" s="96">
        <f>IFERROR(__xludf.DUMMYFUNCTION("""COMPUTED_VALUE"""),20.0)</f>
        <v>20</v>
      </c>
      <c r="AD61" s="96">
        <f>IFERROR(__xludf.DUMMYFUNCTION("""COMPUTED_VALUE"""),0.0)</f>
        <v>0</v>
      </c>
      <c r="AE61" s="96">
        <f>IFERROR(__xludf.DUMMYFUNCTION("""COMPUTED_VALUE"""),780.0)</f>
        <v>780</v>
      </c>
      <c r="AF61" s="96"/>
      <c r="AG61" s="99">
        <f>IFERROR(__xludf.DUMMYFUNCTION("""COMPUTED_VALUE"""),-1010880.0)</f>
        <v>-1010880</v>
      </c>
      <c r="AH61" s="96">
        <f>IFERROR(__xludf.DUMMYFUNCTION("""COMPUTED_VALUE"""),8.0)</f>
        <v>8</v>
      </c>
      <c r="AI61" s="96">
        <f>IFERROR(__xludf.DUMMYFUNCTION("""COMPUTED_VALUE"""),0.0)</f>
        <v>0</v>
      </c>
      <c r="AJ61" s="96">
        <f>IFERROR(__xludf.DUMMYFUNCTION("""COMPUTED_VALUE"""),20.0)</f>
        <v>20</v>
      </c>
      <c r="AK61" s="96">
        <f>IFERROR(__xludf.DUMMYFUNCTION("""COMPUTED_VALUE"""),36.0)</f>
        <v>36</v>
      </c>
      <c r="AL61" s="129">
        <f>IFERROR(__xludf.DUMMYFUNCTION("""COMPUTED_VALUE"""),1296.0)</f>
        <v>1296</v>
      </c>
      <c r="AM61" s="99">
        <f>IFERROR(__xludf.DUMMYFUNCTION("""COMPUTED_VALUE"""),1010880.0)</f>
        <v>1010880</v>
      </c>
    </row>
    <row r="62">
      <c r="V62" s="96">
        <f>IFERROR(__xludf.DUMMYFUNCTION("""COMPUTED_VALUE"""),2.0)</f>
        <v>2</v>
      </c>
      <c r="W62" s="98">
        <f>IFERROR(__xludf.DUMMYFUNCTION("""COMPUTED_VALUE"""),44030.0)</f>
        <v>44030</v>
      </c>
      <c r="X62" s="96" t="str">
        <f>IFERROR(__xludf.DUMMYFUNCTION("""COMPUTED_VALUE"""),"CONNECT")</f>
        <v>CONNECT</v>
      </c>
      <c r="Y62" s="96" t="str">
        <f>IFERROR(__xludf.DUMMYFUNCTION("""COMPUTED_VALUE"""),"CONNECT2")</f>
        <v>CONNECT2</v>
      </c>
      <c r="Z62" s="96"/>
      <c r="AA62" s="96"/>
      <c r="AB62" s="96"/>
      <c r="AC62" s="96"/>
      <c r="AD62" s="96"/>
      <c r="AE62" s="96"/>
      <c r="AF62" s="96"/>
      <c r="AG62" s="99">
        <f>IFERROR(__xludf.DUMMYFUNCTION("""COMPUTED_VALUE"""),0.0)</f>
        <v>0</v>
      </c>
      <c r="AH62" s="96"/>
      <c r="AI62" s="96">
        <f>IFERROR(__xludf.DUMMYFUNCTION("""COMPUTED_VALUE"""),0.0)</f>
        <v>0</v>
      </c>
      <c r="AJ62" s="96">
        <f>IFERROR(__xludf.DUMMYFUNCTION("""COMPUTED_VALUE"""),0.0)</f>
        <v>0</v>
      </c>
      <c r="AK62" s="96">
        <f>IFERROR(__xludf.DUMMYFUNCTION("""COMPUTED_VALUE"""),0.0)</f>
        <v>0</v>
      </c>
      <c r="AL62" s="129">
        <f>IFERROR(__xludf.DUMMYFUNCTION("""COMPUTED_VALUE"""),0.0)</f>
        <v>0</v>
      </c>
      <c r="AM62" s="99"/>
    </row>
    <row r="63">
      <c r="V63" s="96">
        <f>IFERROR(__xludf.DUMMYFUNCTION("""COMPUTED_VALUE"""),2.0)</f>
        <v>2</v>
      </c>
      <c r="W63" s="98">
        <f>IFERROR(__xludf.DUMMYFUNCTION("""COMPUTED_VALUE"""),44028.0)</f>
        <v>44028</v>
      </c>
      <c r="X63" s="96" t="str">
        <f>IFERROR(__xludf.DUMMYFUNCTION("""COMPUTED_VALUE"""),"RECTOR W.")</f>
        <v>RECTOR W.</v>
      </c>
      <c r="Y63" s="96" t="str">
        <f>IFERROR(__xludf.DUMMYFUNCTION("""COMPUTED_VALUE"""),"RECTOR W.2")</f>
        <v>RECTOR W.2</v>
      </c>
      <c r="Z63" s="96"/>
      <c r="AA63" s="96"/>
      <c r="AB63" s="96"/>
      <c r="AC63" s="96"/>
      <c r="AD63" s="96"/>
      <c r="AE63" s="96"/>
      <c r="AF63" s="96">
        <f>IFERROR(__xludf.DUMMYFUNCTION("""COMPUTED_VALUE"""),567000.0)</f>
        <v>567000</v>
      </c>
      <c r="AG63" s="99">
        <f>IFERROR(__xludf.DUMMYFUNCTION("""COMPUTED_VALUE"""),567000.0)</f>
        <v>567000</v>
      </c>
      <c r="AH63" s="96"/>
      <c r="AI63" s="96">
        <f>IFERROR(__xludf.DUMMYFUNCTION("""COMPUTED_VALUE"""),0.0)</f>
        <v>0</v>
      </c>
      <c r="AJ63" s="96">
        <f>IFERROR(__xludf.DUMMYFUNCTION("""COMPUTED_VALUE"""),0.0)</f>
        <v>0</v>
      </c>
      <c r="AK63" s="96">
        <f>IFERROR(__xludf.DUMMYFUNCTION("""COMPUTED_VALUE"""),0.0)</f>
        <v>0</v>
      </c>
      <c r="AL63" s="129">
        <f>IFERROR(__xludf.DUMMYFUNCTION("""COMPUTED_VALUE"""),0.0)</f>
        <v>0</v>
      </c>
      <c r="AM63" s="99"/>
    </row>
    <row r="64">
      <c r="V64" s="96">
        <f>IFERROR(__xludf.DUMMYFUNCTION("""COMPUTED_VALUE"""),3.0)</f>
        <v>3</v>
      </c>
      <c r="W64" s="98">
        <f>IFERROR(__xludf.DUMMYFUNCTION("""COMPUTED_VALUE"""),44028.0)</f>
        <v>44028</v>
      </c>
      <c r="X64" s="96" t="str">
        <f>IFERROR(__xludf.DUMMYFUNCTION("""COMPUTED_VALUE"""),"RECTOR W.")</f>
        <v>RECTOR W.</v>
      </c>
      <c r="Y64" s="96" t="str">
        <f>IFERROR(__xludf.DUMMYFUNCTION("""COMPUTED_VALUE"""),"RECTOR W.3")</f>
        <v>RECTOR W.3</v>
      </c>
      <c r="Z64" s="96"/>
      <c r="AA64" s="96"/>
      <c r="AB64" s="96"/>
      <c r="AC64" s="96"/>
      <c r="AD64" s="96"/>
      <c r="AE64" s="96"/>
      <c r="AF64" s="96">
        <f>IFERROR(__xludf.DUMMYFUNCTION("""COMPUTED_VALUE"""),50000.0)</f>
        <v>50000</v>
      </c>
      <c r="AG64" s="99">
        <f>IFERROR(__xludf.DUMMYFUNCTION("""COMPUTED_VALUE"""),50000.0)</f>
        <v>50000</v>
      </c>
      <c r="AH64" s="96"/>
      <c r="AI64" s="96">
        <f>IFERROR(__xludf.DUMMYFUNCTION("""COMPUTED_VALUE"""),0.0)</f>
        <v>0</v>
      </c>
      <c r="AJ64" s="96">
        <f>IFERROR(__xludf.DUMMYFUNCTION("""COMPUTED_VALUE"""),0.0)</f>
        <v>0</v>
      </c>
      <c r="AK64" s="96">
        <f>IFERROR(__xludf.DUMMYFUNCTION("""COMPUTED_VALUE"""),0.0)</f>
        <v>0</v>
      </c>
      <c r="AL64" s="129">
        <f>IFERROR(__xludf.DUMMYFUNCTION("""COMPUTED_VALUE"""),0.0)</f>
        <v>0</v>
      </c>
      <c r="AM64" s="99"/>
    </row>
    <row r="65">
      <c r="V65" s="96">
        <f>IFERROR(__xludf.DUMMYFUNCTION("""COMPUTED_VALUE"""),4.0)</f>
        <v>4</v>
      </c>
      <c r="W65" s="98">
        <f>IFERROR(__xludf.DUMMYFUNCTION("""COMPUTED_VALUE"""),44028.0)</f>
        <v>44028</v>
      </c>
      <c r="X65" s="96" t="str">
        <f>IFERROR(__xludf.DUMMYFUNCTION("""COMPUTED_VALUE"""),"RECTOR W.")</f>
        <v>RECTOR W.</v>
      </c>
      <c r="Y65" s="96" t="str">
        <f>IFERROR(__xludf.DUMMYFUNCTION("""COMPUTED_VALUE"""),"RECTOR W.4")</f>
        <v>RECTOR W.4</v>
      </c>
      <c r="Z65" s="96"/>
      <c r="AA65" s="96"/>
      <c r="AB65" s="96"/>
      <c r="AC65" s="96"/>
      <c r="AD65" s="96"/>
      <c r="AE65" s="96"/>
      <c r="AF65" s="96">
        <f>IFERROR(__xludf.DUMMYFUNCTION("""COMPUTED_VALUE"""),30000.0)</f>
        <v>30000</v>
      </c>
      <c r="AG65" s="99">
        <f>IFERROR(__xludf.DUMMYFUNCTION("""COMPUTED_VALUE"""),30000.0)</f>
        <v>30000</v>
      </c>
      <c r="AH65" s="96"/>
      <c r="AI65" s="96">
        <f>IFERROR(__xludf.DUMMYFUNCTION("""COMPUTED_VALUE"""),0.0)</f>
        <v>0</v>
      </c>
      <c r="AJ65" s="96">
        <f>IFERROR(__xludf.DUMMYFUNCTION("""COMPUTED_VALUE"""),0.0)</f>
        <v>0</v>
      </c>
      <c r="AK65" s="96">
        <f>IFERROR(__xludf.DUMMYFUNCTION("""COMPUTED_VALUE"""),0.0)</f>
        <v>0</v>
      </c>
      <c r="AL65" s="129">
        <f>IFERROR(__xludf.DUMMYFUNCTION("""COMPUTED_VALUE"""),0.0)</f>
        <v>0</v>
      </c>
      <c r="AM65" s="99"/>
    </row>
    <row r="66">
      <c r="V66" s="96">
        <f>IFERROR(__xludf.DUMMYFUNCTION("""COMPUTED_VALUE"""),5.0)</f>
        <v>5</v>
      </c>
      <c r="W66" s="98">
        <f>IFERROR(__xludf.DUMMYFUNCTION("""COMPUTED_VALUE"""),44028.0)</f>
        <v>44028</v>
      </c>
      <c r="X66" s="96" t="str">
        <f>IFERROR(__xludf.DUMMYFUNCTION("""COMPUTED_VALUE"""),"RECTOR W.")</f>
        <v>RECTOR W.</v>
      </c>
      <c r="Y66" s="96" t="str">
        <f>IFERROR(__xludf.DUMMYFUNCTION("""COMPUTED_VALUE"""),"RECTOR W.5")</f>
        <v>RECTOR W.5</v>
      </c>
      <c r="Z66" s="96"/>
      <c r="AA66" s="96"/>
      <c r="AB66" s="96"/>
      <c r="AC66" s="96"/>
      <c r="AD66" s="96"/>
      <c r="AE66" s="96"/>
      <c r="AF66" s="96">
        <f>IFERROR(__xludf.DUMMYFUNCTION("""COMPUTED_VALUE"""),5000.0)</f>
        <v>5000</v>
      </c>
      <c r="AG66" s="99">
        <f>IFERROR(__xludf.DUMMYFUNCTION("""COMPUTED_VALUE"""),5000.0)</f>
        <v>5000</v>
      </c>
      <c r="AH66" s="96"/>
      <c r="AI66" s="96">
        <f>IFERROR(__xludf.DUMMYFUNCTION("""COMPUTED_VALUE"""),0.0)</f>
        <v>0</v>
      </c>
      <c r="AJ66" s="96">
        <f>IFERROR(__xludf.DUMMYFUNCTION("""COMPUTED_VALUE"""),0.0)</f>
        <v>0</v>
      </c>
      <c r="AK66" s="96">
        <f>IFERROR(__xludf.DUMMYFUNCTION("""COMPUTED_VALUE"""),0.0)</f>
        <v>0</v>
      </c>
      <c r="AL66" s="129">
        <f>IFERROR(__xludf.DUMMYFUNCTION("""COMPUTED_VALUE"""),0.0)</f>
        <v>0</v>
      </c>
      <c r="AM66" s="99"/>
    </row>
    <row r="67">
      <c r="V67" s="96">
        <f>IFERROR(__xludf.DUMMYFUNCTION("""COMPUTED_VALUE"""),3.0)</f>
        <v>3</v>
      </c>
      <c r="W67" s="98">
        <f>IFERROR(__xludf.DUMMYFUNCTION("""COMPUTED_VALUE"""),44029.0)</f>
        <v>44029</v>
      </c>
      <c r="X67" s="96" t="str">
        <f>IFERROR(__xludf.DUMMYFUNCTION("""COMPUTED_VALUE"""),"CORNWELL")</f>
        <v>CORNWELL</v>
      </c>
      <c r="Y67" s="96" t="str">
        <f>IFERROR(__xludf.DUMMYFUNCTION("""COMPUTED_VALUE"""),"CORNWELL3")</f>
        <v>CORNWELL3</v>
      </c>
      <c r="Z67" s="96"/>
      <c r="AA67" s="96"/>
      <c r="AB67" s="96"/>
      <c r="AC67" s="96"/>
      <c r="AD67" s="96"/>
      <c r="AE67" s="96"/>
      <c r="AF67" s="96">
        <f>IFERROR(__xludf.DUMMYFUNCTION("""COMPUTED_VALUE"""),5000000.0)</f>
        <v>5000000</v>
      </c>
      <c r="AG67" s="99">
        <f>IFERROR(__xludf.DUMMYFUNCTION("""COMPUTED_VALUE"""),5000000.0)</f>
        <v>5000000</v>
      </c>
      <c r="AH67" s="96"/>
      <c r="AI67" s="96">
        <f>IFERROR(__xludf.DUMMYFUNCTION("""COMPUTED_VALUE"""),0.0)</f>
        <v>0</v>
      </c>
      <c r="AJ67" s="96">
        <f>IFERROR(__xludf.DUMMYFUNCTION("""COMPUTED_VALUE"""),0.0)</f>
        <v>0</v>
      </c>
      <c r="AK67" s="96">
        <f>IFERROR(__xludf.DUMMYFUNCTION("""COMPUTED_VALUE"""),0.0)</f>
        <v>0</v>
      </c>
      <c r="AL67" s="129">
        <f>IFERROR(__xludf.DUMMYFUNCTION("""COMPUTED_VALUE"""),0.0)</f>
        <v>0</v>
      </c>
      <c r="AM67" s="99"/>
    </row>
    <row r="68">
      <c r="V68" s="96">
        <f>IFERROR(__xludf.DUMMYFUNCTION("""COMPUTED_VALUE"""),2.0)</f>
        <v>2</v>
      </c>
      <c r="W68" s="98">
        <f>IFERROR(__xludf.DUMMYFUNCTION("""COMPUTED_VALUE"""),44029.0)</f>
        <v>44029</v>
      </c>
      <c r="X68" s="96" t="str">
        <f>IFERROR(__xludf.DUMMYFUNCTION("""COMPUTED_VALUE"""),"NDOMA BODE I.D")</f>
        <v>NDOMA BODE I.D</v>
      </c>
      <c r="Y68" s="96" t="str">
        <f>IFERROR(__xludf.DUMMYFUNCTION("""COMPUTED_VALUE"""),"NDOMA BODE I.D2")</f>
        <v>NDOMA BODE I.D2</v>
      </c>
      <c r="Z68" s="96"/>
      <c r="AA68" s="96"/>
      <c r="AB68" s="96"/>
      <c r="AC68" s="96"/>
      <c r="AD68" s="96"/>
      <c r="AE68" s="96"/>
      <c r="AF68" s="96">
        <f>IFERROR(__xludf.DUMMYFUNCTION("""COMPUTED_VALUE"""),200000.0)</f>
        <v>200000</v>
      </c>
      <c r="AG68" s="99">
        <f>IFERROR(__xludf.DUMMYFUNCTION("""COMPUTED_VALUE"""),200000.0)</f>
        <v>200000</v>
      </c>
      <c r="AH68" s="96"/>
      <c r="AI68" s="96">
        <f>IFERROR(__xludf.DUMMYFUNCTION("""COMPUTED_VALUE"""),0.0)</f>
        <v>0</v>
      </c>
      <c r="AJ68" s="96">
        <f>IFERROR(__xludf.DUMMYFUNCTION("""COMPUTED_VALUE"""),0.0)</f>
        <v>0</v>
      </c>
      <c r="AK68" s="96">
        <f>IFERROR(__xludf.DUMMYFUNCTION("""COMPUTED_VALUE"""),0.0)</f>
        <v>0</v>
      </c>
      <c r="AL68" s="129">
        <f>IFERROR(__xludf.DUMMYFUNCTION("""COMPUTED_VALUE"""),0.0)</f>
        <v>0</v>
      </c>
      <c r="AM68" s="99"/>
    </row>
    <row r="69">
      <c r="V69" s="96">
        <f>IFERROR(__xludf.DUMMYFUNCTION("""COMPUTED_VALUE"""),3.0)</f>
        <v>3</v>
      </c>
      <c r="W69" s="98">
        <f>IFERROR(__xludf.DUMMYFUNCTION("""COMPUTED_VALUE"""),44029.0)</f>
        <v>44029</v>
      </c>
      <c r="X69" s="96" t="str">
        <f>IFERROR(__xludf.DUMMYFUNCTION("""COMPUTED_VALUE"""),"NDOMA BODE I.D")</f>
        <v>NDOMA BODE I.D</v>
      </c>
      <c r="Y69" s="96" t="str">
        <f>IFERROR(__xludf.DUMMYFUNCTION("""COMPUTED_VALUE"""),"NDOMA BODE I.D3")</f>
        <v>NDOMA BODE I.D3</v>
      </c>
      <c r="Z69" s="96"/>
      <c r="AA69" s="96"/>
      <c r="AB69" s="96"/>
      <c r="AC69" s="96"/>
      <c r="AD69" s="96"/>
      <c r="AE69" s="96"/>
      <c r="AF69" s="96">
        <f>IFERROR(__xludf.DUMMYFUNCTION("""COMPUTED_VALUE"""),25550.0)</f>
        <v>25550</v>
      </c>
      <c r="AG69" s="99">
        <f>IFERROR(__xludf.DUMMYFUNCTION("""COMPUTED_VALUE"""),25550.0)</f>
        <v>25550</v>
      </c>
      <c r="AH69" s="96"/>
      <c r="AI69" s="96">
        <f>IFERROR(__xludf.DUMMYFUNCTION("""COMPUTED_VALUE"""),0.0)</f>
        <v>0</v>
      </c>
      <c r="AJ69" s="96">
        <f>IFERROR(__xludf.DUMMYFUNCTION("""COMPUTED_VALUE"""),0.0)</f>
        <v>0</v>
      </c>
      <c r="AK69" s="96">
        <f>IFERROR(__xludf.DUMMYFUNCTION("""COMPUTED_VALUE"""),0.0)</f>
        <v>0</v>
      </c>
      <c r="AL69" s="129">
        <f>IFERROR(__xludf.DUMMYFUNCTION("""COMPUTED_VALUE"""),0.0)</f>
        <v>0</v>
      </c>
      <c r="AM69" s="99"/>
    </row>
    <row r="70">
      <c r="V70" s="96">
        <f>IFERROR(__xludf.DUMMYFUNCTION("""COMPUTED_VALUE"""),2.0)</f>
        <v>2</v>
      </c>
      <c r="W70" s="98">
        <f>IFERROR(__xludf.DUMMYFUNCTION("""COMPUTED_VALUE"""),44029.0)</f>
        <v>44029</v>
      </c>
      <c r="X70" s="96" t="str">
        <f>IFERROR(__xludf.DUMMYFUNCTION("""COMPUTED_VALUE"""),"LIVINUS")</f>
        <v>LIVINUS</v>
      </c>
      <c r="Y70" s="96" t="str">
        <f>IFERROR(__xludf.DUMMYFUNCTION("""COMPUTED_VALUE"""),"LIVINUS2")</f>
        <v>LIVINUS2</v>
      </c>
      <c r="Z70" s="96"/>
      <c r="AA70" s="96"/>
      <c r="AB70" s="96"/>
      <c r="AC70" s="96"/>
      <c r="AD70" s="96"/>
      <c r="AE70" s="96"/>
      <c r="AF70" s="96">
        <f>IFERROR(__xludf.DUMMYFUNCTION("""COMPUTED_VALUE"""),300000.0)</f>
        <v>300000</v>
      </c>
      <c r="AG70" s="99">
        <f>IFERROR(__xludf.DUMMYFUNCTION("""COMPUTED_VALUE"""),300000.0)</f>
        <v>300000</v>
      </c>
      <c r="AH70" s="96"/>
      <c r="AI70" s="96">
        <f>IFERROR(__xludf.DUMMYFUNCTION("""COMPUTED_VALUE"""),0.0)</f>
        <v>0</v>
      </c>
      <c r="AJ70" s="96">
        <f>IFERROR(__xludf.DUMMYFUNCTION("""COMPUTED_VALUE"""),0.0)</f>
        <v>0</v>
      </c>
      <c r="AK70" s="96">
        <f>IFERROR(__xludf.DUMMYFUNCTION("""COMPUTED_VALUE"""),0.0)</f>
        <v>0</v>
      </c>
      <c r="AL70" s="129">
        <f>IFERROR(__xludf.DUMMYFUNCTION("""COMPUTED_VALUE"""),0.0)</f>
        <v>0</v>
      </c>
      <c r="AM70" s="99"/>
    </row>
    <row r="71">
      <c r="V71" s="96">
        <f>IFERROR(__xludf.DUMMYFUNCTION("""COMPUTED_VALUE"""),3.0)</f>
        <v>3</v>
      </c>
      <c r="W71" s="98">
        <f>IFERROR(__xludf.DUMMYFUNCTION("""COMPUTED_VALUE"""),44030.0)</f>
        <v>44030</v>
      </c>
      <c r="X71" s="96" t="str">
        <f>IFERROR(__xludf.DUMMYFUNCTION("""COMPUTED_VALUE"""),"CONNECT")</f>
        <v>CONNECT</v>
      </c>
      <c r="Y71" s="96" t="str">
        <f>IFERROR(__xludf.DUMMYFUNCTION("""COMPUTED_VALUE"""),"CONNECT3")</f>
        <v>CONNECT3</v>
      </c>
      <c r="Z71" s="96">
        <f>IFERROR(__xludf.DUMMYFUNCTION("""COMPUTED_VALUE"""),1916.0)</f>
        <v>1916</v>
      </c>
      <c r="AA71" s="96">
        <f>IFERROR(__xludf.DUMMYFUNCTION("""COMPUTED_VALUE"""),240.0)</f>
        <v>240</v>
      </c>
      <c r="AB71" s="96"/>
      <c r="AC71" s="96">
        <f>IFERROR(__xludf.DUMMYFUNCTION("""COMPUTED_VALUE"""),30.0)</f>
        <v>30</v>
      </c>
      <c r="AD71" s="96"/>
      <c r="AE71" s="96">
        <f>IFERROR(__xludf.DUMMYFUNCTION("""COMPUTED_VALUE"""),780.0)</f>
        <v>780</v>
      </c>
      <c r="AF71" s="96"/>
      <c r="AG71" s="99">
        <f>IFERROR(__xludf.DUMMYFUNCTION("""COMPUTED_VALUE"""),-1471080.0)</f>
        <v>-1471080</v>
      </c>
      <c r="AH71" s="96">
        <f>IFERROR(__xludf.DUMMYFUNCTION("""COMPUTED_VALUE"""),8.0)</f>
        <v>8</v>
      </c>
      <c r="AI71" s="96">
        <f>IFERROR(__xludf.DUMMYFUNCTION("""COMPUTED_VALUE"""),0.0)</f>
        <v>0</v>
      </c>
      <c r="AJ71" s="96">
        <f>IFERROR(__xludf.DUMMYFUNCTION("""COMPUTED_VALUE"""),29.0)</f>
        <v>29</v>
      </c>
      <c r="AK71" s="96">
        <f>IFERROR(__xludf.DUMMYFUNCTION("""COMPUTED_VALUE"""),59.0)</f>
        <v>59</v>
      </c>
      <c r="AL71" s="129">
        <f>IFERROR(__xludf.DUMMYFUNCTION("""COMPUTED_VALUE"""),1886.0)</f>
        <v>1886</v>
      </c>
      <c r="AM71" s="99">
        <f>IFERROR(__xludf.DUMMYFUNCTION("""COMPUTED_VALUE"""),1471080.0)</f>
        <v>1471080</v>
      </c>
    </row>
    <row r="72">
      <c r="V72" s="96">
        <f>IFERROR(__xludf.DUMMYFUNCTION("""COMPUTED_VALUE"""),2.0)</f>
        <v>2</v>
      </c>
      <c r="W72" s="98">
        <f>IFERROR(__xludf.DUMMYFUNCTION("""COMPUTED_VALUE"""),44030.0)</f>
        <v>44030</v>
      </c>
      <c r="X72" s="96" t="str">
        <f>IFERROR(__xludf.DUMMYFUNCTION("""COMPUTED_VALUE"""),"LYDIA HNSON ")</f>
        <v>LYDIA HNSON </v>
      </c>
      <c r="Y72" s="96" t="str">
        <f>IFERROR(__xludf.DUMMYFUNCTION("""COMPUTED_VALUE"""),"LYDIA HNSON 2")</f>
        <v>LYDIA HNSON 2</v>
      </c>
      <c r="Z72" s="96">
        <f>IFERROR(__xludf.DUMMYFUNCTION("""COMPUTED_VALUE"""),223.0)</f>
        <v>223</v>
      </c>
      <c r="AA72" s="96">
        <f>IFERROR(__xludf.DUMMYFUNCTION("""COMPUTED_VALUE"""),32.0)</f>
        <v>32</v>
      </c>
      <c r="AB72" s="96"/>
      <c r="AC72" s="96">
        <f>IFERROR(__xludf.DUMMYFUNCTION("""COMPUTED_VALUE"""),4.0)</f>
        <v>4</v>
      </c>
      <c r="AD72" s="96">
        <f>IFERROR(__xludf.DUMMYFUNCTION("""COMPUTED_VALUE"""),0.0)</f>
        <v>0</v>
      </c>
      <c r="AE72" s="96">
        <f>IFERROR(__xludf.DUMMYFUNCTION("""COMPUTED_VALUE"""),780.0)</f>
        <v>780</v>
      </c>
      <c r="AF72" s="96"/>
      <c r="AG72" s="99">
        <f>IFERROR(__xludf.DUMMYFUNCTION("""COMPUTED_VALUE"""),-170820.0)</f>
        <v>-170820</v>
      </c>
      <c r="AH72" s="96">
        <f>IFERROR(__xludf.DUMMYFUNCTION("""COMPUTED_VALUE"""),8.0)</f>
        <v>8</v>
      </c>
      <c r="AI72" s="96">
        <f>IFERROR(__xludf.DUMMYFUNCTION("""COMPUTED_VALUE"""),0.0)</f>
        <v>0</v>
      </c>
      <c r="AJ72" s="96">
        <f>IFERROR(__xludf.DUMMYFUNCTION("""COMPUTED_VALUE"""),3.0)</f>
        <v>3</v>
      </c>
      <c r="AK72" s="96">
        <f>IFERROR(__xludf.DUMMYFUNCTION("""COMPUTED_VALUE"""),30.0)</f>
        <v>30</v>
      </c>
      <c r="AL72" s="129">
        <f>IFERROR(__xludf.DUMMYFUNCTION("""COMPUTED_VALUE"""),219.0)</f>
        <v>219</v>
      </c>
      <c r="AM72" s="99">
        <f>IFERROR(__xludf.DUMMYFUNCTION("""COMPUTED_VALUE"""),170820.0)</f>
        <v>170820</v>
      </c>
    </row>
    <row r="73">
      <c r="V73" s="96">
        <f>IFERROR(__xludf.DUMMYFUNCTION("""COMPUTED_VALUE"""),4.0)</f>
        <v>4</v>
      </c>
      <c r="W73" s="98">
        <f>IFERROR(__xludf.DUMMYFUNCTION("""COMPUTED_VALUE"""),44030.0)</f>
        <v>44030</v>
      </c>
      <c r="X73" s="96" t="str">
        <f>IFERROR(__xludf.DUMMYFUNCTION("""COMPUTED_VALUE"""),"NDOMA BODE I.D")</f>
        <v>NDOMA BODE I.D</v>
      </c>
      <c r="Y73" s="96" t="str">
        <f>IFERROR(__xludf.DUMMYFUNCTION("""COMPUTED_VALUE"""),"NDOMA BODE I.D4")</f>
        <v>NDOMA BODE I.D4</v>
      </c>
      <c r="Z73" s="96">
        <f>IFERROR(__xludf.DUMMYFUNCTION("""COMPUTED_VALUE"""),1065.0)</f>
        <v>1065</v>
      </c>
      <c r="AA73" s="96">
        <f>IFERROR(__xludf.DUMMYFUNCTION("""COMPUTED_VALUE"""),140.0)</f>
        <v>140</v>
      </c>
      <c r="AB73" s="96"/>
      <c r="AC73" s="96">
        <f>IFERROR(__xludf.DUMMYFUNCTION("""COMPUTED_VALUE"""),17.0)</f>
        <v>17</v>
      </c>
      <c r="AD73" s="96"/>
      <c r="AE73" s="96">
        <f>IFERROR(__xludf.DUMMYFUNCTION("""COMPUTED_VALUE"""),790.0)</f>
        <v>790</v>
      </c>
      <c r="AF73" s="96"/>
      <c r="AG73" s="99">
        <f>IFERROR(__xludf.DUMMYFUNCTION("""COMPUTED_VALUE"""),-825550.0)</f>
        <v>-825550</v>
      </c>
      <c r="AH73" s="96">
        <f>IFERROR(__xludf.DUMMYFUNCTION("""COMPUTED_VALUE"""),8.24)</f>
        <v>8.24</v>
      </c>
      <c r="AI73" s="96">
        <f>IFERROR(__xludf.DUMMYFUNCTION("""COMPUTED_VALUE"""),3.0)</f>
        <v>3</v>
      </c>
      <c r="AJ73" s="96">
        <f>IFERROR(__xludf.DUMMYFUNCTION("""COMPUTED_VALUE"""),16.0)</f>
        <v>16</v>
      </c>
      <c r="AK73" s="96">
        <f>IFERROR(__xludf.DUMMYFUNCTION("""COMPUTED_VALUE"""),37.0)</f>
        <v>37</v>
      </c>
      <c r="AL73" s="129">
        <f>IFERROR(__xludf.DUMMYFUNCTION("""COMPUTED_VALUE"""),1045.0)</f>
        <v>1045</v>
      </c>
      <c r="AM73" s="99">
        <f>IFERROR(__xludf.DUMMYFUNCTION("""COMPUTED_VALUE"""),825550.0)</f>
        <v>825550</v>
      </c>
    </row>
    <row r="74">
      <c r="V74" s="96">
        <f>IFERROR(__xludf.DUMMYFUNCTION("""COMPUTED_VALUE"""),3.0)</f>
        <v>3</v>
      </c>
      <c r="W74" s="98">
        <f>IFERROR(__xludf.DUMMYFUNCTION("""COMPUTED_VALUE"""),44030.0)</f>
        <v>44030</v>
      </c>
      <c r="X74" s="96" t="str">
        <f>IFERROR(__xludf.DUMMYFUNCTION("""COMPUTED_VALUE"""),"LIVINUS")</f>
        <v>LIVINUS</v>
      </c>
      <c r="Y74" s="96" t="str">
        <f>IFERROR(__xludf.DUMMYFUNCTION("""COMPUTED_VALUE"""),"LIVINUS3")</f>
        <v>LIVINUS3</v>
      </c>
      <c r="Z74" s="96">
        <f>IFERROR(__xludf.DUMMYFUNCTION("""COMPUTED_VALUE"""),854.0)</f>
        <v>854</v>
      </c>
      <c r="AA74" s="96">
        <f>IFERROR(__xludf.DUMMYFUNCTION("""COMPUTED_VALUE"""),112.5)</f>
        <v>112.5</v>
      </c>
      <c r="AB74" s="96"/>
      <c r="AC74" s="96">
        <f>IFERROR(__xludf.DUMMYFUNCTION("""COMPUTED_VALUE"""),13.0)</f>
        <v>13</v>
      </c>
      <c r="AD74" s="96"/>
      <c r="AE74" s="96">
        <f>IFERROR(__xludf.DUMMYFUNCTION("""COMPUTED_VALUE"""),780.0)</f>
        <v>780</v>
      </c>
      <c r="AF74" s="96"/>
      <c r="AG74" s="99">
        <f>IFERROR(__xludf.DUMMYFUNCTION("""COMPUTED_VALUE"""),-652080.0)</f>
        <v>-652080</v>
      </c>
      <c r="AH74" s="96">
        <f>IFERROR(__xludf.DUMMYFUNCTION("""COMPUTED_VALUE"""),8.65)</f>
        <v>8.65</v>
      </c>
      <c r="AI74" s="96">
        <f>IFERROR(__xludf.DUMMYFUNCTION("""COMPUTED_VALUE"""),5.0)</f>
        <v>5</v>
      </c>
      <c r="AJ74" s="96">
        <f>IFERROR(__xludf.DUMMYFUNCTION("""COMPUTED_VALUE"""),13.0)</f>
        <v>13</v>
      </c>
      <c r="AK74" s="96">
        <f>IFERROR(__xludf.DUMMYFUNCTION("""COMPUTED_VALUE"""),17.0)</f>
        <v>17</v>
      </c>
      <c r="AL74" s="129">
        <f>IFERROR(__xludf.DUMMYFUNCTION("""COMPUTED_VALUE"""),836.0)</f>
        <v>836</v>
      </c>
      <c r="AM74" s="99">
        <f>IFERROR(__xludf.DUMMYFUNCTION("""COMPUTED_VALUE"""),652080.0)</f>
        <v>652080</v>
      </c>
    </row>
    <row r="75">
      <c r="V75" s="96">
        <f>IFERROR(__xludf.DUMMYFUNCTION("""COMPUTED_VALUE"""),4.0)</f>
        <v>4</v>
      </c>
      <c r="W75" s="98">
        <f>IFERROR(__xludf.DUMMYFUNCTION("""COMPUTED_VALUE"""),44030.0)</f>
        <v>44030</v>
      </c>
      <c r="X75" s="96" t="str">
        <f>IFERROR(__xludf.DUMMYFUNCTION("""COMPUTED_VALUE"""),"CONNECT")</f>
        <v>CONNECT</v>
      </c>
      <c r="Y75" s="96" t="str">
        <f>IFERROR(__xludf.DUMMYFUNCTION("""COMPUTED_VALUE"""),"CONNECT4")</f>
        <v>CONNECT4</v>
      </c>
      <c r="Z75" s="96"/>
      <c r="AA75" s="96"/>
      <c r="AB75" s="96"/>
      <c r="AC75" s="96"/>
      <c r="AD75" s="96"/>
      <c r="AE75" s="96"/>
      <c r="AF75" s="96">
        <f>IFERROR(__xludf.DUMMYFUNCTION("""COMPUTED_VALUE"""),300000.0)</f>
        <v>300000</v>
      </c>
      <c r="AG75" s="99">
        <f>IFERROR(__xludf.DUMMYFUNCTION("""COMPUTED_VALUE"""),300000.0)</f>
        <v>300000</v>
      </c>
      <c r="AH75" s="96"/>
      <c r="AI75" s="96">
        <f>IFERROR(__xludf.DUMMYFUNCTION("""COMPUTED_VALUE"""),0.0)</f>
        <v>0</v>
      </c>
      <c r="AJ75" s="96">
        <f>IFERROR(__xludf.DUMMYFUNCTION("""COMPUTED_VALUE"""),0.0)</f>
        <v>0</v>
      </c>
      <c r="AK75" s="96">
        <f>IFERROR(__xludf.DUMMYFUNCTION("""COMPUTED_VALUE"""),0.0)</f>
        <v>0</v>
      </c>
      <c r="AL75" s="129">
        <f>IFERROR(__xludf.DUMMYFUNCTION("""COMPUTED_VALUE"""),0.0)</f>
        <v>0</v>
      </c>
      <c r="AM75" s="99"/>
    </row>
    <row r="76">
      <c r="V76" s="96">
        <f>IFERROR(__xludf.DUMMYFUNCTION("""COMPUTED_VALUE"""),5.0)</f>
        <v>5</v>
      </c>
      <c r="W76" s="98">
        <f>IFERROR(__xludf.DUMMYFUNCTION("""COMPUTED_VALUE"""),44030.0)</f>
        <v>44030</v>
      </c>
      <c r="X76" s="96" t="str">
        <f>IFERROR(__xludf.DUMMYFUNCTION("""COMPUTED_VALUE"""),"CONNECT")</f>
        <v>CONNECT</v>
      </c>
      <c r="Y76" s="96" t="str">
        <f>IFERROR(__xludf.DUMMYFUNCTION("""COMPUTED_VALUE"""),"CONNECT5")</f>
        <v>CONNECT5</v>
      </c>
      <c r="Z76" s="96"/>
      <c r="AA76" s="96"/>
      <c r="AB76" s="96"/>
      <c r="AC76" s="96"/>
      <c r="AD76" s="96"/>
      <c r="AE76" s="96"/>
      <c r="AF76" s="96">
        <f>IFERROR(__xludf.DUMMYFUNCTION("""COMPUTED_VALUE"""),800000.0)</f>
        <v>800000</v>
      </c>
      <c r="AG76" s="99">
        <f>IFERROR(__xludf.DUMMYFUNCTION("""COMPUTED_VALUE"""),800000.0)</f>
        <v>800000</v>
      </c>
      <c r="AH76" s="96"/>
      <c r="AI76" s="96">
        <f>IFERROR(__xludf.DUMMYFUNCTION("""COMPUTED_VALUE"""),0.0)</f>
        <v>0</v>
      </c>
      <c r="AJ76" s="96">
        <f>IFERROR(__xludf.DUMMYFUNCTION("""COMPUTED_VALUE"""),0.0)</f>
        <v>0</v>
      </c>
      <c r="AK76" s="96">
        <f>IFERROR(__xludf.DUMMYFUNCTION("""COMPUTED_VALUE"""),0.0)</f>
        <v>0</v>
      </c>
      <c r="AL76" s="129">
        <f>IFERROR(__xludf.DUMMYFUNCTION("""COMPUTED_VALUE"""),0.0)</f>
        <v>0</v>
      </c>
      <c r="AM76" s="99"/>
    </row>
    <row r="77">
      <c r="V77" s="96">
        <f>IFERROR(__xludf.DUMMYFUNCTION("""COMPUTED_VALUE"""),2.0)</f>
        <v>2</v>
      </c>
      <c r="W77" s="98">
        <f>IFERROR(__xludf.DUMMYFUNCTION("""COMPUTED_VALUE"""),44030.0)</f>
        <v>44030</v>
      </c>
      <c r="X77" s="96" t="str">
        <f>IFERROR(__xludf.DUMMYFUNCTION("""COMPUTED_VALUE"""),"KARIEN EBAN")</f>
        <v>KARIEN EBAN</v>
      </c>
      <c r="Y77" s="96" t="str">
        <f>IFERROR(__xludf.DUMMYFUNCTION("""COMPUTED_VALUE"""),"KARIEN EBAN2")</f>
        <v>KARIEN EBAN2</v>
      </c>
      <c r="Z77" s="96"/>
      <c r="AA77" s="96"/>
      <c r="AB77" s="96"/>
      <c r="AC77" s="96"/>
      <c r="AD77" s="96"/>
      <c r="AE77" s="96"/>
      <c r="AF77" s="96">
        <f>IFERROR(__xludf.DUMMYFUNCTION("""COMPUTED_VALUE"""),100000.0)</f>
        <v>100000</v>
      </c>
      <c r="AG77" s="99">
        <f>IFERROR(__xludf.DUMMYFUNCTION("""COMPUTED_VALUE"""),100000.0)</f>
        <v>100000</v>
      </c>
      <c r="AH77" s="96"/>
      <c r="AI77" s="96">
        <f>IFERROR(__xludf.DUMMYFUNCTION("""COMPUTED_VALUE"""),0.0)</f>
        <v>0</v>
      </c>
      <c r="AJ77" s="96">
        <f>IFERROR(__xludf.DUMMYFUNCTION("""COMPUTED_VALUE"""),0.0)</f>
        <v>0</v>
      </c>
      <c r="AK77" s="96">
        <f>IFERROR(__xludf.DUMMYFUNCTION("""COMPUTED_VALUE"""),0.0)</f>
        <v>0</v>
      </c>
      <c r="AL77" s="129">
        <f>IFERROR(__xludf.DUMMYFUNCTION("""COMPUTED_VALUE"""),0.0)</f>
        <v>0</v>
      </c>
      <c r="AM77" s="99"/>
    </row>
    <row r="78">
      <c r="V78" s="96">
        <f>IFERROR(__xludf.DUMMYFUNCTION("""COMPUTED_VALUE"""),1.0)</f>
        <v>1</v>
      </c>
      <c r="W78" s="98">
        <f>IFERROR(__xludf.DUMMYFUNCTION("""COMPUTED_VALUE"""),44030.0)</f>
        <v>44030</v>
      </c>
      <c r="X78" s="96" t="str">
        <f>IFERROR(__xludf.DUMMYFUNCTION("""COMPUTED_VALUE"""),"EDDY OKO")</f>
        <v>EDDY OKO</v>
      </c>
      <c r="Y78" s="96" t="str">
        <f>IFERROR(__xludf.DUMMYFUNCTION("""COMPUTED_VALUE"""),"EDDY OKO1")</f>
        <v>EDDY OKO1</v>
      </c>
      <c r="Z78" s="96"/>
      <c r="AA78" s="96"/>
      <c r="AB78" s="96"/>
      <c r="AC78" s="96"/>
      <c r="AD78" s="96"/>
      <c r="AE78" s="96"/>
      <c r="AF78" s="96">
        <f>IFERROR(__xludf.DUMMYFUNCTION("""COMPUTED_VALUE"""),200000.0)</f>
        <v>200000</v>
      </c>
      <c r="AG78" s="99">
        <f>IFERROR(__xludf.DUMMYFUNCTION("""COMPUTED_VALUE"""),200000.0)</f>
        <v>200000</v>
      </c>
      <c r="AH78" s="96"/>
      <c r="AI78" s="96">
        <f>IFERROR(__xludf.DUMMYFUNCTION("""COMPUTED_VALUE"""),0.0)</f>
        <v>0</v>
      </c>
      <c r="AJ78" s="96">
        <f>IFERROR(__xludf.DUMMYFUNCTION("""COMPUTED_VALUE"""),0.0)</f>
        <v>0</v>
      </c>
      <c r="AK78" s="96">
        <f>IFERROR(__xludf.DUMMYFUNCTION("""COMPUTED_VALUE"""),0.0)</f>
        <v>0</v>
      </c>
      <c r="AL78" s="129">
        <f>IFERROR(__xludf.DUMMYFUNCTION("""COMPUTED_VALUE"""),0.0)</f>
        <v>0</v>
      </c>
      <c r="AM78" s="99"/>
    </row>
    <row r="79">
      <c r="V79" s="96">
        <f>IFERROR(__xludf.DUMMYFUNCTION("""COMPUTED_VALUE"""),3.0)</f>
        <v>3</v>
      </c>
      <c r="W79" s="98">
        <f>IFERROR(__xludf.DUMMYFUNCTION("""COMPUTED_VALUE"""),44030.0)</f>
        <v>44030</v>
      </c>
      <c r="X79" s="96" t="str">
        <f>IFERROR(__xludf.DUMMYFUNCTION("""COMPUTED_VALUE"""),"LYDIA HNSON ")</f>
        <v>LYDIA HNSON </v>
      </c>
      <c r="Y79" s="96" t="str">
        <f>IFERROR(__xludf.DUMMYFUNCTION("""COMPUTED_VALUE"""),"LYDIA HNSON 3")</f>
        <v>LYDIA HNSON 3</v>
      </c>
      <c r="Z79" s="96"/>
      <c r="AA79" s="96"/>
      <c r="AB79" s="96"/>
      <c r="AC79" s="96"/>
      <c r="AD79" s="96"/>
      <c r="AE79" s="96"/>
      <c r="AF79" s="96">
        <f>IFERROR(__xludf.DUMMYFUNCTION("""COMPUTED_VALUE"""),100000.0)</f>
        <v>100000</v>
      </c>
      <c r="AG79" s="99">
        <f>IFERROR(__xludf.DUMMYFUNCTION("""COMPUTED_VALUE"""),100000.0)</f>
        <v>100000</v>
      </c>
      <c r="AH79" s="96"/>
      <c r="AI79" s="96">
        <f>IFERROR(__xludf.DUMMYFUNCTION("""COMPUTED_VALUE"""),0.0)</f>
        <v>0</v>
      </c>
      <c r="AJ79" s="96">
        <f>IFERROR(__xludf.DUMMYFUNCTION("""COMPUTED_VALUE"""),0.0)</f>
        <v>0</v>
      </c>
      <c r="AK79" s="96">
        <f>IFERROR(__xludf.DUMMYFUNCTION("""COMPUTED_VALUE"""),0.0)</f>
        <v>0</v>
      </c>
      <c r="AL79" s="129">
        <f>IFERROR(__xludf.DUMMYFUNCTION("""COMPUTED_VALUE"""),0.0)</f>
        <v>0</v>
      </c>
      <c r="AM79" s="99"/>
    </row>
    <row r="80">
      <c r="V80" s="96">
        <f>IFERROR(__xludf.DUMMYFUNCTION("""COMPUTED_VALUE"""),4.0)</f>
        <v>4</v>
      </c>
      <c r="W80" s="98">
        <f>IFERROR(__xludf.DUMMYFUNCTION("""COMPUTED_VALUE"""),44030.0)</f>
        <v>44030</v>
      </c>
      <c r="X80" s="96" t="str">
        <f>IFERROR(__xludf.DUMMYFUNCTION("""COMPUTED_VALUE"""),"LYDIA HNSON ")</f>
        <v>LYDIA HNSON </v>
      </c>
      <c r="Y80" s="96" t="str">
        <f>IFERROR(__xludf.DUMMYFUNCTION("""COMPUTED_VALUE"""),"LYDIA HNSON 4")</f>
        <v>LYDIA HNSON 4</v>
      </c>
      <c r="Z80" s="96"/>
      <c r="AA80" s="96"/>
      <c r="AB80" s="96"/>
      <c r="AC80" s="96"/>
      <c r="AD80" s="96"/>
      <c r="AE80" s="96"/>
      <c r="AF80" s="96">
        <f>IFERROR(__xludf.DUMMYFUNCTION("""COMPUTED_VALUE"""),500.0)</f>
        <v>500</v>
      </c>
      <c r="AG80" s="99">
        <f>IFERROR(__xludf.DUMMYFUNCTION("""COMPUTED_VALUE"""),500.0)</f>
        <v>500</v>
      </c>
      <c r="AH80" s="96"/>
      <c r="AI80" s="96">
        <f>IFERROR(__xludf.DUMMYFUNCTION("""COMPUTED_VALUE"""),0.0)</f>
        <v>0</v>
      </c>
      <c r="AJ80" s="96">
        <f>IFERROR(__xludf.DUMMYFUNCTION("""COMPUTED_VALUE"""),0.0)</f>
        <v>0</v>
      </c>
      <c r="AK80" s="96">
        <f>IFERROR(__xludf.DUMMYFUNCTION("""COMPUTED_VALUE"""),0.0)</f>
        <v>0</v>
      </c>
      <c r="AL80" s="129">
        <f>IFERROR(__xludf.DUMMYFUNCTION("""COMPUTED_VALUE"""),0.0)</f>
        <v>0</v>
      </c>
      <c r="AM80" s="99"/>
    </row>
    <row r="81">
      <c r="V81" s="96">
        <f>IFERROR(__xludf.DUMMYFUNCTION("""COMPUTED_VALUE"""),2.0)</f>
        <v>2</v>
      </c>
      <c r="W81" s="98">
        <f>IFERROR(__xludf.DUMMYFUNCTION("""COMPUTED_VALUE"""),44030.0)</f>
        <v>44030</v>
      </c>
      <c r="X81" s="96" t="str">
        <f>IFERROR(__xludf.DUMMYFUNCTION("""COMPUTED_VALUE""")," MAXWELL AGRO")</f>
        <v> MAXWELL AGRO</v>
      </c>
      <c r="Y81" s="96" t="str">
        <f>IFERROR(__xludf.DUMMYFUNCTION("""COMPUTED_VALUE""")," MAXWELL AGRO2")</f>
        <v> MAXWELL AGRO2</v>
      </c>
      <c r="Z81" s="96"/>
      <c r="AA81" s="96"/>
      <c r="AB81" s="96"/>
      <c r="AC81" s="96"/>
      <c r="AD81" s="96"/>
      <c r="AE81" s="96"/>
      <c r="AF81" s="96">
        <f>IFERROR(__xludf.DUMMYFUNCTION("""COMPUTED_VALUE"""),100000.0)</f>
        <v>100000</v>
      </c>
      <c r="AG81" s="99">
        <f>IFERROR(__xludf.DUMMYFUNCTION("""COMPUTED_VALUE"""),100000.0)</f>
        <v>100000</v>
      </c>
      <c r="AH81" s="96"/>
      <c r="AI81" s="96">
        <f>IFERROR(__xludf.DUMMYFUNCTION("""COMPUTED_VALUE"""),0.0)</f>
        <v>0</v>
      </c>
      <c r="AJ81" s="96">
        <f>IFERROR(__xludf.DUMMYFUNCTION("""COMPUTED_VALUE"""),0.0)</f>
        <v>0</v>
      </c>
      <c r="AK81" s="96">
        <f>IFERROR(__xludf.DUMMYFUNCTION("""COMPUTED_VALUE"""),0.0)</f>
        <v>0</v>
      </c>
      <c r="AL81" s="129">
        <f>IFERROR(__xludf.DUMMYFUNCTION("""COMPUTED_VALUE"""),0.0)</f>
        <v>0</v>
      </c>
      <c r="AM81" s="99"/>
    </row>
    <row r="82">
      <c r="V82" s="96">
        <f>IFERROR(__xludf.DUMMYFUNCTION("""COMPUTED_VALUE"""),2.0)</f>
        <v>2</v>
      </c>
      <c r="W82" s="98">
        <f>IFERROR(__xludf.DUMMYFUNCTION("""COMPUTED_VALUE"""),44032.0)</f>
        <v>44032</v>
      </c>
      <c r="X82" s="96" t="str">
        <f>IFERROR(__xludf.DUMMYFUNCTION("""COMPUTED_VALUE"""),"ANDRDEW GREAT")</f>
        <v>ANDRDEW GREAT</v>
      </c>
      <c r="Y82" s="96" t="str">
        <f>IFERROR(__xludf.DUMMYFUNCTION("""COMPUTED_VALUE"""),"ANDRDEW GREAT2")</f>
        <v>ANDRDEW GREAT2</v>
      </c>
      <c r="Z82" s="96">
        <f>IFERROR(__xludf.DUMMYFUNCTION("""COMPUTED_VALUE"""),644.0)</f>
        <v>644</v>
      </c>
      <c r="AA82" s="96">
        <f>IFERROR(__xludf.DUMMYFUNCTION("""COMPUTED_VALUE"""),92.5)</f>
        <v>92.5</v>
      </c>
      <c r="AB82" s="96"/>
      <c r="AC82" s="96">
        <f>IFERROR(__xludf.DUMMYFUNCTION("""COMPUTED_VALUE"""),10.0)</f>
        <v>10</v>
      </c>
      <c r="AD82" s="96"/>
      <c r="AE82" s="96">
        <f>IFERROR(__xludf.DUMMYFUNCTION("""COMPUTED_VALUE"""),783.74)</f>
        <v>783.74</v>
      </c>
      <c r="AF82" s="96"/>
      <c r="AG82" s="99">
        <f>IFERROR(__xludf.DUMMYFUNCTION("""COMPUTED_VALUE"""),-490620.0)</f>
        <v>-490620</v>
      </c>
      <c r="AH82" s="96">
        <f>IFERROR(__xludf.DUMMYFUNCTION("""COMPUTED_VALUE"""),9.25)</f>
        <v>9.25</v>
      </c>
      <c r="AI82" s="96">
        <f>IFERROR(__xludf.DUMMYFUNCTION("""COMPUTED_VALUE"""),8.0)</f>
        <v>8</v>
      </c>
      <c r="AJ82" s="96">
        <f>IFERROR(__xludf.DUMMYFUNCTION("""COMPUTED_VALUE"""),9.0)</f>
        <v>9</v>
      </c>
      <c r="AK82" s="96">
        <f>IFERROR(__xludf.DUMMYFUNCTION("""COMPUTED_VALUE"""),59.0)</f>
        <v>59</v>
      </c>
      <c r="AL82" s="129">
        <f>IFERROR(__xludf.DUMMYFUNCTION("""COMPUTED_VALUE"""),626.0)</f>
        <v>626</v>
      </c>
      <c r="AM82" s="99">
        <f>IFERROR(__xludf.DUMMYFUNCTION("""COMPUTED_VALUE"""),490620.0)</f>
        <v>490620</v>
      </c>
    </row>
    <row r="83">
      <c r="V83" s="96">
        <f>IFERROR(__xludf.DUMMYFUNCTION("""COMPUTED_VALUE"""),3.0)</f>
        <v>3</v>
      </c>
      <c r="W83" s="98">
        <f>IFERROR(__xludf.DUMMYFUNCTION("""COMPUTED_VALUE"""),44032.0)</f>
        <v>44032</v>
      </c>
      <c r="X83" s="96" t="str">
        <f>IFERROR(__xludf.DUMMYFUNCTION("""COMPUTED_VALUE"""),"ANDRDEW GREAT")</f>
        <v>ANDRDEW GREAT</v>
      </c>
      <c r="Y83" s="96" t="str">
        <f>IFERROR(__xludf.DUMMYFUNCTION("""COMPUTED_VALUE"""),"ANDRDEW GREAT3")</f>
        <v>ANDRDEW GREAT3</v>
      </c>
      <c r="Z83" s="96"/>
      <c r="AA83" s="96"/>
      <c r="AB83" s="96"/>
      <c r="AC83" s="96"/>
      <c r="AD83" s="96"/>
      <c r="AE83" s="96"/>
      <c r="AF83" s="96">
        <f>IFERROR(__xludf.DUMMYFUNCTION("""COMPUTED_VALUE"""),300000.0)</f>
        <v>300000</v>
      </c>
      <c r="AG83" s="99">
        <f>IFERROR(__xludf.DUMMYFUNCTION("""COMPUTED_VALUE"""),300000.0)</f>
        <v>300000</v>
      </c>
      <c r="AH83" s="96"/>
      <c r="AI83" s="96">
        <f>IFERROR(__xludf.DUMMYFUNCTION("""COMPUTED_VALUE"""),0.0)</f>
        <v>0</v>
      </c>
      <c r="AJ83" s="96">
        <f>IFERROR(__xludf.DUMMYFUNCTION("""COMPUTED_VALUE"""),0.0)</f>
        <v>0</v>
      </c>
      <c r="AK83" s="96">
        <f>IFERROR(__xludf.DUMMYFUNCTION("""COMPUTED_VALUE"""),0.0)</f>
        <v>0</v>
      </c>
      <c r="AL83" s="129">
        <f>IFERROR(__xludf.DUMMYFUNCTION("""COMPUTED_VALUE"""),0.0)</f>
        <v>0</v>
      </c>
      <c r="AM83" s="99"/>
    </row>
    <row r="84">
      <c r="V84" s="96">
        <f>IFERROR(__xludf.DUMMYFUNCTION("""COMPUTED_VALUE"""),1.0)</f>
        <v>1</v>
      </c>
      <c r="W84" s="98">
        <f>IFERROR(__xludf.DUMMYFUNCTION("""COMPUTED_VALUE"""),44032.0)</f>
        <v>44032</v>
      </c>
      <c r="X84" s="96" t="str">
        <f>IFERROR(__xludf.DUMMYFUNCTION("""COMPUTED_VALUE"""),"MATIAT REINA")</f>
        <v>MATIAT REINA</v>
      </c>
      <c r="Y84" s="96" t="str">
        <f>IFERROR(__xludf.DUMMYFUNCTION("""COMPUTED_VALUE"""),"MATIAT REINA1")</f>
        <v>MATIAT REINA1</v>
      </c>
      <c r="Z84" s="96"/>
      <c r="AA84" s="96"/>
      <c r="AB84" s="96"/>
      <c r="AC84" s="96"/>
      <c r="AD84" s="96"/>
      <c r="AE84" s="96"/>
      <c r="AF84" s="96">
        <f>IFERROR(__xludf.DUMMYFUNCTION("""COMPUTED_VALUE"""),200000.0)</f>
        <v>200000</v>
      </c>
      <c r="AG84" s="99">
        <f>IFERROR(__xludf.DUMMYFUNCTION("""COMPUTED_VALUE"""),200000.0)</f>
        <v>200000</v>
      </c>
      <c r="AH84" s="96"/>
      <c r="AI84" s="96">
        <f>IFERROR(__xludf.DUMMYFUNCTION("""COMPUTED_VALUE"""),0.0)</f>
        <v>0</v>
      </c>
      <c r="AJ84" s="96">
        <f>IFERROR(__xludf.DUMMYFUNCTION("""COMPUTED_VALUE"""),0.0)</f>
        <v>0</v>
      </c>
      <c r="AK84" s="96">
        <f>IFERROR(__xludf.DUMMYFUNCTION("""COMPUTED_VALUE"""),0.0)</f>
        <v>0</v>
      </c>
      <c r="AL84" s="129">
        <f>IFERROR(__xludf.DUMMYFUNCTION("""COMPUTED_VALUE"""),0.0)</f>
        <v>0</v>
      </c>
      <c r="AM84" s="99"/>
    </row>
    <row r="85">
      <c r="V85" s="96">
        <f>IFERROR(__xludf.DUMMYFUNCTION("""COMPUTED_VALUE"""),1.0)</f>
        <v>1</v>
      </c>
      <c r="W85" s="98">
        <f>IFERROR(__xludf.DUMMYFUNCTION("""COMPUTED_VALUE"""),44032.0)</f>
        <v>44032</v>
      </c>
      <c r="X85" s="96" t="str">
        <f>IFERROR(__xludf.DUMMYFUNCTION("""COMPUTED_VALUE"""),"ASMAN")</f>
        <v>ASMAN</v>
      </c>
      <c r="Y85" s="96" t="str">
        <f>IFERROR(__xludf.DUMMYFUNCTION("""COMPUTED_VALUE"""),"ASMAN1")</f>
        <v>ASMAN1</v>
      </c>
      <c r="Z85" s="96"/>
      <c r="AA85" s="96"/>
      <c r="AB85" s="96"/>
      <c r="AC85" s="96"/>
      <c r="AD85" s="96"/>
      <c r="AE85" s="96"/>
      <c r="AF85" s="96">
        <f>IFERROR(__xludf.DUMMYFUNCTION("""COMPUTED_VALUE"""),200000.0)</f>
        <v>200000</v>
      </c>
      <c r="AG85" s="99">
        <f>IFERROR(__xludf.DUMMYFUNCTION("""COMPUTED_VALUE"""),200000.0)</f>
        <v>200000</v>
      </c>
      <c r="AH85" s="96"/>
      <c r="AI85" s="96">
        <f>IFERROR(__xludf.DUMMYFUNCTION("""COMPUTED_VALUE"""),0.0)</f>
        <v>0</v>
      </c>
      <c r="AJ85" s="96">
        <f>IFERROR(__xludf.DUMMYFUNCTION("""COMPUTED_VALUE"""),0.0)</f>
        <v>0</v>
      </c>
      <c r="AK85" s="96">
        <f>IFERROR(__xludf.DUMMYFUNCTION("""COMPUTED_VALUE"""),0.0)</f>
        <v>0</v>
      </c>
      <c r="AL85" s="129">
        <f>IFERROR(__xludf.DUMMYFUNCTION("""COMPUTED_VALUE"""),0.0)</f>
        <v>0</v>
      </c>
      <c r="AM85" s="99"/>
    </row>
    <row r="86">
      <c r="V86" s="96">
        <f>IFERROR(__xludf.DUMMYFUNCTION("""COMPUTED_VALUE"""),2.0)</f>
        <v>2</v>
      </c>
      <c r="W86" s="98">
        <f>IFERROR(__xludf.DUMMYFUNCTION("""COMPUTED_VALUE"""),44032.0)</f>
        <v>44032</v>
      </c>
      <c r="X86" s="96" t="str">
        <f>IFERROR(__xludf.DUMMYFUNCTION("""COMPUTED_VALUE"""),"JAMES AKAN")</f>
        <v>JAMES AKAN</v>
      </c>
      <c r="Y86" s="96" t="str">
        <f>IFERROR(__xludf.DUMMYFUNCTION("""COMPUTED_VALUE"""),"JAMES AKAN2")</f>
        <v>JAMES AKAN2</v>
      </c>
      <c r="Z86" s="96"/>
      <c r="AA86" s="96"/>
      <c r="AB86" s="96"/>
      <c r="AC86" s="96"/>
      <c r="AD86" s="96"/>
      <c r="AE86" s="96"/>
      <c r="AF86" s="96">
        <f>IFERROR(__xludf.DUMMYFUNCTION("""COMPUTED_VALUE"""),300000.0)</f>
        <v>300000</v>
      </c>
      <c r="AG86" s="99">
        <f>IFERROR(__xludf.DUMMYFUNCTION("""COMPUTED_VALUE"""),300000.0)</f>
        <v>300000</v>
      </c>
      <c r="AH86" s="96"/>
      <c r="AI86" s="96">
        <f>IFERROR(__xludf.DUMMYFUNCTION("""COMPUTED_VALUE"""),0.0)</f>
        <v>0</v>
      </c>
      <c r="AJ86" s="96">
        <f>IFERROR(__xludf.DUMMYFUNCTION("""COMPUTED_VALUE"""),0.0)</f>
        <v>0</v>
      </c>
      <c r="AK86" s="96">
        <f>IFERROR(__xludf.DUMMYFUNCTION("""COMPUTED_VALUE"""),0.0)</f>
        <v>0</v>
      </c>
      <c r="AL86" s="129">
        <f>IFERROR(__xludf.DUMMYFUNCTION("""COMPUTED_VALUE"""),0.0)</f>
        <v>0</v>
      </c>
      <c r="AM86" s="99"/>
    </row>
    <row r="87">
      <c r="V87" s="96">
        <f>IFERROR(__xludf.DUMMYFUNCTION("""COMPUTED_VALUE"""),5.0)</f>
        <v>5</v>
      </c>
      <c r="W87" s="98">
        <f>IFERROR(__xludf.DUMMYFUNCTION("""COMPUTED_VALUE"""),44032.0)</f>
        <v>44032</v>
      </c>
      <c r="X87" s="96" t="str">
        <f>IFERROR(__xludf.DUMMYFUNCTION("""COMPUTED_VALUE"""),"LYDIA HNSON ")</f>
        <v>LYDIA HNSON </v>
      </c>
      <c r="Y87" s="96" t="str">
        <f>IFERROR(__xludf.DUMMYFUNCTION("""COMPUTED_VALUE"""),"LYDIA HNSON 5")</f>
        <v>LYDIA HNSON 5</v>
      </c>
      <c r="Z87" s="96"/>
      <c r="AA87" s="96"/>
      <c r="AB87" s="96"/>
      <c r="AC87" s="96"/>
      <c r="AD87" s="96"/>
      <c r="AE87" s="96"/>
      <c r="AF87" s="96">
        <f>IFERROR(__xludf.DUMMYFUNCTION("""COMPUTED_VALUE"""),300000.0)</f>
        <v>300000</v>
      </c>
      <c r="AG87" s="99">
        <f>IFERROR(__xludf.DUMMYFUNCTION("""COMPUTED_VALUE"""),300000.0)</f>
        <v>300000</v>
      </c>
      <c r="AH87" s="96"/>
      <c r="AI87" s="96">
        <f>IFERROR(__xludf.DUMMYFUNCTION("""COMPUTED_VALUE"""),0.0)</f>
        <v>0</v>
      </c>
      <c r="AJ87" s="96">
        <f>IFERROR(__xludf.DUMMYFUNCTION("""COMPUTED_VALUE"""),0.0)</f>
        <v>0</v>
      </c>
      <c r="AK87" s="96">
        <f>IFERROR(__xludf.DUMMYFUNCTION("""COMPUTED_VALUE"""),0.0)</f>
        <v>0</v>
      </c>
      <c r="AL87" s="129">
        <f>IFERROR(__xludf.DUMMYFUNCTION("""COMPUTED_VALUE"""),0.0)</f>
        <v>0</v>
      </c>
      <c r="AM87" s="99"/>
    </row>
    <row r="88">
      <c r="V88" s="96">
        <f>IFERROR(__xludf.DUMMYFUNCTION("""COMPUTED_VALUE"""),3.0)</f>
        <v>3</v>
      </c>
      <c r="W88" s="98">
        <f>IFERROR(__xludf.DUMMYFUNCTION("""COMPUTED_VALUE"""),44032.0)</f>
        <v>44032</v>
      </c>
      <c r="X88" s="96" t="str">
        <f>IFERROR(__xludf.DUMMYFUNCTION("""COMPUTED_VALUE""")," MAXWELL AGRO")</f>
        <v> MAXWELL AGRO</v>
      </c>
      <c r="Y88" s="96" t="str">
        <f>IFERROR(__xludf.DUMMYFUNCTION("""COMPUTED_VALUE""")," MAXWELL AGRO3")</f>
        <v> MAXWELL AGRO3</v>
      </c>
      <c r="Z88" s="96"/>
      <c r="AA88" s="96"/>
      <c r="AB88" s="96"/>
      <c r="AC88" s="96"/>
      <c r="AD88" s="96"/>
      <c r="AE88" s="96"/>
      <c r="AF88" s="96">
        <f>IFERROR(__xludf.DUMMYFUNCTION("""COMPUTED_VALUE"""),140000.0)</f>
        <v>140000</v>
      </c>
      <c r="AG88" s="99">
        <f>IFERROR(__xludf.DUMMYFUNCTION("""COMPUTED_VALUE"""),140000.0)</f>
        <v>140000</v>
      </c>
      <c r="AH88" s="96"/>
      <c r="AI88" s="96">
        <f>IFERROR(__xludf.DUMMYFUNCTION("""COMPUTED_VALUE"""),0.0)</f>
        <v>0</v>
      </c>
      <c r="AJ88" s="96">
        <f>IFERROR(__xludf.DUMMYFUNCTION("""COMPUTED_VALUE"""),0.0)</f>
        <v>0</v>
      </c>
      <c r="AK88" s="96">
        <f>IFERROR(__xludf.DUMMYFUNCTION("""COMPUTED_VALUE"""),0.0)</f>
        <v>0</v>
      </c>
      <c r="AL88" s="129">
        <f>IFERROR(__xludf.DUMMYFUNCTION("""COMPUTED_VALUE"""),0.0)</f>
        <v>0</v>
      </c>
      <c r="AM88" s="99"/>
    </row>
    <row r="89">
      <c r="V89" s="96">
        <f>IFERROR(__xludf.DUMMYFUNCTION("""COMPUTED_VALUE"""),4.0)</f>
        <v>4</v>
      </c>
      <c r="W89" s="98">
        <f>IFERROR(__xludf.DUMMYFUNCTION("""COMPUTED_VALUE"""),44033.0)</f>
        <v>44033</v>
      </c>
      <c r="X89" s="96" t="str">
        <f>IFERROR(__xludf.DUMMYFUNCTION("""COMPUTED_VALUE"""),"LIVINUS")</f>
        <v>LIVINUS</v>
      </c>
      <c r="Y89" s="96" t="str">
        <f>IFERROR(__xludf.DUMMYFUNCTION("""COMPUTED_VALUE"""),"LIVINUS4")</f>
        <v>LIVINUS4</v>
      </c>
      <c r="Z89" s="96">
        <f>IFERROR(__xludf.DUMMYFUNCTION("""COMPUTED_VALUE"""),1166.0)</f>
        <v>1166</v>
      </c>
      <c r="AA89" s="96">
        <f>IFERROR(__xludf.DUMMYFUNCTION("""COMPUTED_VALUE"""),173.0)</f>
        <v>173</v>
      </c>
      <c r="AB89" s="96"/>
      <c r="AC89" s="96">
        <f>IFERROR(__xludf.DUMMYFUNCTION("""COMPUTED_VALUE"""),19.0)</f>
        <v>19</v>
      </c>
      <c r="AD89" s="96"/>
      <c r="AE89" s="96">
        <f>IFERROR(__xludf.DUMMYFUNCTION("""COMPUTED_VALUE"""),780.0)</f>
        <v>780</v>
      </c>
      <c r="AF89" s="96"/>
      <c r="AG89" s="99">
        <f>IFERROR(__xludf.DUMMYFUNCTION("""COMPUTED_VALUE"""),-884520.0)</f>
        <v>-884520</v>
      </c>
      <c r="AH89" s="96">
        <f>IFERROR(__xludf.DUMMYFUNCTION("""COMPUTED_VALUE"""),9.11)</f>
        <v>9.11</v>
      </c>
      <c r="AI89" s="96">
        <f>IFERROR(__xludf.DUMMYFUNCTION("""COMPUTED_VALUE"""),13.0)</f>
        <v>13</v>
      </c>
      <c r="AJ89" s="96">
        <f>IFERROR(__xludf.DUMMYFUNCTION("""COMPUTED_VALUE"""),18.0)</f>
        <v>18</v>
      </c>
      <c r="AK89" s="96">
        <f>IFERROR(__xludf.DUMMYFUNCTION("""COMPUTED_VALUE"""),0.0)</f>
        <v>0</v>
      </c>
      <c r="AL89" s="129">
        <f>IFERROR(__xludf.DUMMYFUNCTION("""COMPUTED_VALUE"""),1134.0)</f>
        <v>1134</v>
      </c>
      <c r="AM89" s="99">
        <f>IFERROR(__xludf.DUMMYFUNCTION("""COMPUTED_VALUE"""),884520.0)</f>
        <v>884520</v>
      </c>
    </row>
    <row r="90">
      <c r="V90" s="96">
        <f>IFERROR(__xludf.DUMMYFUNCTION("""COMPUTED_VALUE"""),4.0)</f>
        <v>4</v>
      </c>
      <c r="W90" s="98">
        <f>IFERROR(__xludf.DUMMYFUNCTION("""COMPUTED_VALUE"""),44030.0)</f>
        <v>44030</v>
      </c>
      <c r="X90" s="96" t="str">
        <f>IFERROR(__xludf.DUMMYFUNCTION("""COMPUTED_VALUE""")," MAXWELL AGRO")</f>
        <v> MAXWELL AGRO</v>
      </c>
      <c r="Y90" s="96" t="str">
        <f>IFERROR(__xludf.DUMMYFUNCTION("""COMPUTED_VALUE""")," MAXWELL AGRO4")</f>
        <v> MAXWELL AGRO4</v>
      </c>
      <c r="Z90" s="96">
        <f>IFERROR(__xludf.DUMMYFUNCTION("""COMPUTED_VALUE"""),387.0)</f>
        <v>387</v>
      </c>
      <c r="AA90" s="96">
        <f>IFERROR(__xludf.DUMMYFUNCTION("""COMPUTED_VALUE"""),48.0)</f>
        <v>48</v>
      </c>
      <c r="AB90" s="96"/>
      <c r="AC90" s="96">
        <f>IFERROR(__xludf.DUMMYFUNCTION("""COMPUTED_VALUE"""),6.0)</f>
        <v>6</v>
      </c>
      <c r="AD90" s="96"/>
      <c r="AE90" s="96">
        <f>IFERROR(__xludf.DUMMYFUNCTION("""COMPUTED_VALUE"""),780.0)</f>
        <v>780</v>
      </c>
      <c r="AF90" s="96"/>
      <c r="AG90" s="99">
        <f>IFERROR(__xludf.DUMMYFUNCTION("""COMPUTED_VALUE"""),-297180.0)</f>
        <v>-297180</v>
      </c>
      <c r="AH90" s="96">
        <f>IFERROR(__xludf.DUMMYFUNCTION("""COMPUTED_VALUE"""),8.0)</f>
        <v>8</v>
      </c>
      <c r="AI90" s="96">
        <f>IFERROR(__xludf.DUMMYFUNCTION("""COMPUTED_VALUE"""),0.0)</f>
        <v>0</v>
      </c>
      <c r="AJ90" s="96">
        <f>IFERROR(__xludf.DUMMYFUNCTION("""COMPUTED_VALUE"""),6.0)</f>
        <v>6</v>
      </c>
      <c r="AK90" s="96">
        <f>IFERROR(__xludf.DUMMYFUNCTION("""COMPUTED_VALUE"""),2.0)</f>
        <v>2</v>
      </c>
      <c r="AL90" s="129">
        <f>IFERROR(__xludf.DUMMYFUNCTION("""COMPUTED_VALUE"""),381.0)</f>
        <v>381</v>
      </c>
      <c r="AM90" s="99">
        <f>IFERROR(__xludf.DUMMYFUNCTION("""COMPUTED_VALUE"""),297180.0)</f>
        <v>297180</v>
      </c>
    </row>
    <row r="91">
      <c r="V91" s="96">
        <f>IFERROR(__xludf.DUMMYFUNCTION("""COMPUTED_VALUE"""),6.0)</f>
        <v>6</v>
      </c>
      <c r="W91" s="98">
        <f>IFERROR(__xludf.DUMMYFUNCTION("""COMPUTED_VALUE"""),44033.0)</f>
        <v>44033</v>
      </c>
      <c r="X91" s="96" t="str">
        <f>IFERROR(__xludf.DUMMYFUNCTION("""COMPUTED_VALUE"""),"LYDIA HNSON ")</f>
        <v>LYDIA HNSON </v>
      </c>
      <c r="Y91" s="96" t="str">
        <f>IFERROR(__xludf.DUMMYFUNCTION("""COMPUTED_VALUE"""),"LYDIA HNSON 6")</f>
        <v>LYDIA HNSON 6</v>
      </c>
      <c r="Z91" s="96"/>
      <c r="AA91" s="96"/>
      <c r="AB91" s="96"/>
      <c r="AC91" s="96"/>
      <c r="AD91" s="96"/>
      <c r="AE91" s="96"/>
      <c r="AF91" s="96">
        <f>IFERROR(__xludf.DUMMYFUNCTION("""COMPUTED_VALUE"""),50000.0)</f>
        <v>50000</v>
      </c>
      <c r="AG91" s="99">
        <f>IFERROR(__xludf.DUMMYFUNCTION("""COMPUTED_VALUE"""),50000.0)</f>
        <v>50000</v>
      </c>
      <c r="AH91" s="96"/>
      <c r="AI91" s="96">
        <f>IFERROR(__xludf.DUMMYFUNCTION("""COMPUTED_VALUE"""),0.0)</f>
        <v>0</v>
      </c>
      <c r="AJ91" s="96">
        <f>IFERROR(__xludf.DUMMYFUNCTION("""COMPUTED_VALUE"""),0.0)</f>
        <v>0</v>
      </c>
      <c r="AK91" s="96">
        <f>IFERROR(__xludf.DUMMYFUNCTION("""COMPUTED_VALUE"""),0.0)</f>
        <v>0</v>
      </c>
      <c r="AL91" s="129">
        <f>IFERROR(__xludf.DUMMYFUNCTION("""COMPUTED_VALUE"""),0.0)</f>
        <v>0</v>
      </c>
      <c r="AM91" s="99"/>
    </row>
    <row r="92">
      <c r="V92" s="96">
        <f>IFERROR(__xludf.DUMMYFUNCTION("""COMPUTED_VALUE"""),2.0)</f>
        <v>2</v>
      </c>
      <c r="W92" s="98">
        <f>IFERROR(__xludf.DUMMYFUNCTION("""COMPUTED_VALUE"""),44033.0)</f>
        <v>44033</v>
      </c>
      <c r="X92" s="96" t="str">
        <f>IFERROR(__xludf.DUMMYFUNCTION("""COMPUTED_VALUE"""),"OTU KOKO KEIBO")</f>
        <v>OTU KOKO KEIBO</v>
      </c>
      <c r="Y92" s="96" t="str">
        <f>IFERROR(__xludf.DUMMYFUNCTION("""COMPUTED_VALUE"""),"OTU KOKO KEIBO2")</f>
        <v>OTU KOKO KEIBO2</v>
      </c>
      <c r="Z92" s="96"/>
      <c r="AA92" s="96"/>
      <c r="AB92" s="96"/>
      <c r="AC92" s="96"/>
      <c r="AD92" s="96"/>
      <c r="AE92" s="96"/>
      <c r="AF92" s="96">
        <f>IFERROR(__xludf.DUMMYFUNCTION("""COMPUTED_VALUE"""),2.3E7)</f>
        <v>23000000</v>
      </c>
      <c r="AG92" s="99">
        <f>IFERROR(__xludf.DUMMYFUNCTION("""COMPUTED_VALUE"""),2.3E7)</f>
        <v>23000000</v>
      </c>
      <c r="AH92" s="96"/>
      <c r="AI92" s="96">
        <f>IFERROR(__xludf.DUMMYFUNCTION("""COMPUTED_VALUE"""),0.0)</f>
        <v>0</v>
      </c>
      <c r="AJ92" s="96">
        <f>IFERROR(__xludf.DUMMYFUNCTION("""COMPUTED_VALUE"""),0.0)</f>
        <v>0</v>
      </c>
      <c r="AK92" s="96">
        <f>IFERROR(__xludf.DUMMYFUNCTION("""COMPUTED_VALUE"""),0.0)</f>
        <v>0</v>
      </c>
      <c r="AL92" s="129">
        <f>IFERROR(__xludf.DUMMYFUNCTION("""COMPUTED_VALUE"""),0.0)</f>
        <v>0</v>
      </c>
      <c r="AM92" s="99"/>
    </row>
    <row r="93">
      <c r="V93" s="96">
        <f>IFERROR(__xludf.DUMMYFUNCTION("""COMPUTED_VALUE"""),5.0)</f>
        <v>5</v>
      </c>
      <c r="W93" s="98">
        <f>IFERROR(__xludf.DUMMYFUNCTION("""COMPUTED_VALUE"""),44033.0)</f>
        <v>44033</v>
      </c>
      <c r="X93" s="96" t="str">
        <f>IFERROR(__xludf.DUMMYFUNCTION("""COMPUTED_VALUE"""),"LIVINUS")</f>
        <v>LIVINUS</v>
      </c>
      <c r="Y93" s="96" t="str">
        <f>IFERROR(__xludf.DUMMYFUNCTION("""COMPUTED_VALUE"""),"LIVINUS5")</f>
        <v>LIVINUS5</v>
      </c>
      <c r="Z93" s="96"/>
      <c r="AA93" s="96"/>
      <c r="AB93" s="96"/>
      <c r="AC93" s="96"/>
      <c r="AD93" s="96"/>
      <c r="AE93" s="96"/>
      <c r="AF93" s="96">
        <f>IFERROR(__xludf.DUMMYFUNCTION("""COMPUTED_VALUE"""),1680000.0)</f>
        <v>1680000</v>
      </c>
      <c r="AG93" s="99">
        <f>IFERROR(__xludf.DUMMYFUNCTION("""COMPUTED_VALUE"""),1680000.0)</f>
        <v>1680000</v>
      </c>
      <c r="AH93" s="96"/>
      <c r="AI93" s="96">
        <f>IFERROR(__xludf.DUMMYFUNCTION("""COMPUTED_VALUE"""),0.0)</f>
        <v>0</v>
      </c>
      <c r="AJ93" s="96">
        <f>IFERROR(__xludf.DUMMYFUNCTION("""COMPUTED_VALUE"""),0.0)</f>
        <v>0</v>
      </c>
      <c r="AK93" s="96">
        <f>IFERROR(__xludf.DUMMYFUNCTION("""COMPUTED_VALUE"""),0.0)</f>
        <v>0</v>
      </c>
      <c r="AL93" s="129">
        <f>IFERROR(__xludf.DUMMYFUNCTION("""COMPUTED_VALUE"""),0.0)</f>
        <v>0</v>
      </c>
      <c r="AM93" s="99"/>
    </row>
    <row r="94">
      <c r="V94" s="96">
        <f>IFERROR(__xludf.DUMMYFUNCTION("""COMPUTED_VALUE"""),1.0)</f>
        <v>1</v>
      </c>
      <c r="W94" s="98">
        <f>IFERROR(__xludf.DUMMYFUNCTION("""COMPUTED_VALUE"""),44033.0)</f>
        <v>44033</v>
      </c>
      <c r="X94" s="96" t="str">
        <f>IFERROR(__xludf.DUMMYFUNCTION("""COMPUTED_VALUE"""),"NDOMA PETER")</f>
        <v>NDOMA PETER</v>
      </c>
      <c r="Y94" s="96" t="str">
        <f>IFERROR(__xludf.DUMMYFUNCTION("""COMPUTED_VALUE"""),"NDOMA PETER1")</f>
        <v>NDOMA PETER1</v>
      </c>
      <c r="Z94" s="96"/>
      <c r="AA94" s="96"/>
      <c r="AB94" s="96"/>
      <c r="AC94" s="96"/>
      <c r="AD94" s="96"/>
      <c r="AE94" s="96"/>
      <c r="AF94" s="96">
        <f>IFERROR(__xludf.DUMMYFUNCTION("""COMPUTED_VALUE"""),400000.0)</f>
        <v>400000</v>
      </c>
      <c r="AG94" s="99">
        <f>IFERROR(__xludf.DUMMYFUNCTION("""COMPUTED_VALUE"""),400000.0)</f>
        <v>400000</v>
      </c>
      <c r="AH94" s="96"/>
      <c r="AI94" s="96">
        <f>IFERROR(__xludf.DUMMYFUNCTION("""COMPUTED_VALUE"""),0.0)</f>
        <v>0</v>
      </c>
      <c r="AJ94" s="96">
        <f>IFERROR(__xludf.DUMMYFUNCTION("""COMPUTED_VALUE"""),0.0)</f>
        <v>0</v>
      </c>
      <c r="AK94" s="96">
        <f>IFERROR(__xludf.DUMMYFUNCTION("""COMPUTED_VALUE"""),0.0)</f>
        <v>0</v>
      </c>
      <c r="AL94" s="129">
        <f>IFERROR(__xludf.DUMMYFUNCTION("""COMPUTED_VALUE"""),0.0)</f>
        <v>0</v>
      </c>
      <c r="AM94" s="99"/>
    </row>
    <row r="95">
      <c r="V95" s="96">
        <f>IFERROR(__xludf.DUMMYFUNCTION("""COMPUTED_VALUE"""),3.0)</f>
        <v>3</v>
      </c>
      <c r="W95" s="98">
        <f>IFERROR(__xludf.DUMMYFUNCTION("""COMPUTED_VALUE"""),44032.0)</f>
        <v>44032</v>
      </c>
      <c r="X95" s="96" t="str">
        <f>IFERROR(__xludf.DUMMYFUNCTION("""COMPUTED_VALUE"""),"JAMES AKAN")</f>
        <v>JAMES AKAN</v>
      </c>
      <c r="Y95" s="96" t="str">
        <f>IFERROR(__xludf.DUMMYFUNCTION("""COMPUTED_VALUE"""),"JAMES AKAN3")</f>
        <v>JAMES AKAN3</v>
      </c>
      <c r="Z95" s="96"/>
      <c r="AA95" s="96"/>
      <c r="AB95" s="96"/>
      <c r="AC95" s="96"/>
      <c r="AD95" s="96"/>
      <c r="AE95" s="96"/>
      <c r="AF95" s="96">
        <f>IFERROR(__xludf.DUMMYFUNCTION("""COMPUTED_VALUE"""),-145000.0)</f>
        <v>-145000</v>
      </c>
      <c r="AG95" s="99">
        <f>IFERROR(__xludf.DUMMYFUNCTION("""COMPUTED_VALUE"""),-145000.0)</f>
        <v>-145000</v>
      </c>
      <c r="AH95" s="96"/>
      <c r="AI95" s="96">
        <f>IFERROR(__xludf.DUMMYFUNCTION("""COMPUTED_VALUE"""),0.0)</f>
        <v>0</v>
      </c>
      <c r="AJ95" s="96">
        <f>IFERROR(__xludf.DUMMYFUNCTION("""COMPUTED_VALUE"""),0.0)</f>
        <v>0</v>
      </c>
      <c r="AK95" s="96">
        <f>IFERROR(__xludf.DUMMYFUNCTION("""COMPUTED_VALUE"""),0.0)</f>
        <v>0</v>
      </c>
      <c r="AL95" s="129">
        <f>IFERROR(__xludf.DUMMYFUNCTION("""COMPUTED_VALUE"""),0.0)</f>
        <v>0</v>
      </c>
      <c r="AM95" s="99"/>
    </row>
    <row r="96">
      <c r="V96" s="96">
        <f>IFERROR(__xludf.DUMMYFUNCTION("""COMPUTED_VALUE"""),2.0)</f>
        <v>2</v>
      </c>
      <c r="W96" s="98">
        <f>IFERROR(__xludf.DUMMYFUNCTION("""COMPUTED_VALUE"""),44029.0)</f>
        <v>44029</v>
      </c>
      <c r="X96" s="96" t="str">
        <f>IFERROR(__xludf.DUMMYFUNCTION("""COMPUTED_VALUE"""),"ZULU &amp; NDOMA")</f>
        <v>ZULU &amp; NDOMA</v>
      </c>
      <c r="Y96" s="96" t="str">
        <f>IFERROR(__xludf.DUMMYFUNCTION("""COMPUTED_VALUE"""),"ZULU &amp; NDOMA2")</f>
        <v>ZULU &amp; NDOMA2</v>
      </c>
      <c r="Z96" s="96"/>
      <c r="AA96" s="96"/>
      <c r="AB96" s="96"/>
      <c r="AC96" s="96"/>
      <c r="AD96" s="96"/>
      <c r="AE96" s="96"/>
      <c r="AF96" s="96">
        <f>IFERROR(__xludf.DUMMYFUNCTION("""COMPUTED_VALUE"""),29000.0)</f>
        <v>29000</v>
      </c>
      <c r="AG96" s="99">
        <f>IFERROR(__xludf.DUMMYFUNCTION("""COMPUTED_VALUE"""),29000.0)</f>
        <v>29000</v>
      </c>
      <c r="AH96" s="96"/>
      <c r="AI96" s="96">
        <f>IFERROR(__xludf.DUMMYFUNCTION("""COMPUTED_VALUE"""),0.0)</f>
        <v>0</v>
      </c>
      <c r="AJ96" s="96">
        <f>IFERROR(__xludf.DUMMYFUNCTION("""COMPUTED_VALUE"""),0.0)</f>
        <v>0</v>
      </c>
      <c r="AK96" s="96">
        <f>IFERROR(__xludf.DUMMYFUNCTION("""COMPUTED_VALUE"""),0.0)</f>
        <v>0</v>
      </c>
      <c r="AL96" s="129">
        <f>IFERROR(__xludf.DUMMYFUNCTION("""COMPUTED_VALUE"""),0.0)</f>
        <v>0</v>
      </c>
      <c r="AM96" s="99"/>
    </row>
    <row r="97">
      <c r="V97" s="96">
        <f>IFERROR(__xludf.DUMMYFUNCTION("""COMPUTED_VALUE"""),6.0)</f>
        <v>6</v>
      </c>
      <c r="W97" s="98">
        <f>IFERROR(__xludf.DUMMYFUNCTION("""COMPUTED_VALUE"""),44030.0)</f>
        <v>44030</v>
      </c>
      <c r="X97" s="96" t="str">
        <f>IFERROR(__xludf.DUMMYFUNCTION("""COMPUTED_VALUE"""),"LIVINUS")</f>
        <v>LIVINUS</v>
      </c>
      <c r="Y97" s="96" t="str">
        <f>IFERROR(__xludf.DUMMYFUNCTION("""COMPUTED_VALUE"""),"LIVINUS6")</f>
        <v>LIVINUS6</v>
      </c>
      <c r="Z97" s="96"/>
      <c r="AA97" s="96"/>
      <c r="AB97" s="96"/>
      <c r="AC97" s="96"/>
      <c r="AD97" s="96"/>
      <c r="AE97" s="96"/>
      <c r="AF97" s="96">
        <f>IFERROR(__xludf.DUMMYFUNCTION("""COMPUTED_VALUE"""),112080.0)</f>
        <v>112080</v>
      </c>
      <c r="AG97" s="99">
        <f>IFERROR(__xludf.DUMMYFUNCTION("""COMPUTED_VALUE"""),112080.0)</f>
        <v>112080</v>
      </c>
      <c r="AH97" s="96"/>
      <c r="AI97" s="96">
        <f>IFERROR(__xludf.DUMMYFUNCTION("""COMPUTED_VALUE"""),0.0)</f>
        <v>0</v>
      </c>
      <c r="AJ97" s="96">
        <f>IFERROR(__xludf.DUMMYFUNCTION("""COMPUTED_VALUE"""),0.0)</f>
        <v>0</v>
      </c>
      <c r="AK97" s="96">
        <f>IFERROR(__xludf.DUMMYFUNCTION("""COMPUTED_VALUE"""),0.0)</f>
        <v>0</v>
      </c>
      <c r="AL97" s="129">
        <f>IFERROR(__xludf.DUMMYFUNCTION("""COMPUTED_VALUE"""),0.0)</f>
        <v>0</v>
      </c>
      <c r="AM97" s="99"/>
    </row>
    <row r="98">
      <c r="V98" s="96">
        <f>IFERROR(__xludf.DUMMYFUNCTION("""COMPUTED_VALUE"""),7.0)</f>
        <v>7</v>
      </c>
      <c r="W98" s="98">
        <f>IFERROR(__xludf.DUMMYFUNCTION("""COMPUTED_VALUE"""),44033.0)</f>
        <v>44033</v>
      </c>
      <c r="X98" s="96" t="str">
        <f>IFERROR(__xludf.DUMMYFUNCTION("""COMPUTED_VALUE"""),"LIVINUS")</f>
        <v>LIVINUS</v>
      </c>
      <c r="Y98" s="96" t="str">
        <f>IFERROR(__xludf.DUMMYFUNCTION("""COMPUTED_VALUE"""),"LIVINUS7")</f>
        <v>LIVINUS7</v>
      </c>
      <c r="Z98" s="96"/>
      <c r="AA98" s="96"/>
      <c r="AB98" s="96"/>
      <c r="AC98" s="96"/>
      <c r="AD98" s="96"/>
      <c r="AE98" s="96"/>
      <c r="AF98" s="96">
        <f>IFERROR(__xludf.DUMMYFUNCTION("""COMPUTED_VALUE"""),884520.0)</f>
        <v>884520</v>
      </c>
      <c r="AG98" s="99">
        <f>IFERROR(__xludf.DUMMYFUNCTION("""COMPUTED_VALUE"""),884520.0)</f>
        <v>884520</v>
      </c>
      <c r="AH98" s="96"/>
      <c r="AI98" s="96">
        <f>IFERROR(__xludf.DUMMYFUNCTION("""COMPUTED_VALUE"""),0.0)</f>
        <v>0</v>
      </c>
      <c r="AJ98" s="96">
        <f>IFERROR(__xludf.DUMMYFUNCTION("""COMPUTED_VALUE"""),0.0)</f>
        <v>0</v>
      </c>
      <c r="AK98" s="96">
        <f>IFERROR(__xludf.DUMMYFUNCTION("""COMPUTED_VALUE"""),0.0)</f>
        <v>0</v>
      </c>
      <c r="AL98" s="129">
        <f>IFERROR(__xludf.DUMMYFUNCTION("""COMPUTED_VALUE"""),0.0)</f>
        <v>0</v>
      </c>
      <c r="AM98" s="99"/>
    </row>
    <row r="99">
      <c r="V99" s="96">
        <f>IFERROR(__xludf.DUMMYFUNCTION("""COMPUTED_VALUE"""),6.0)</f>
        <v>6</v>
      </c>
      <c r="W99" s="98">
        <f>IFERROR(__xludf.DUMMYFUNCTION("""COMPUTED_VALUE"""),44030.0)</f>
        <v>44030</v>
      </c>
      <c r="X99" s="96" t="str">
        <f>IFERROR(__xludf.DUMMYFUNCTION("""COMPUTED_VALUE"""),"CONNECT")</f>
        <v>CONNECT</v>
      </c>
      <c r="Y99" s="96" t="str">
        <f>IFERROR(__xludf.DUMMYFUNCTION("""COMPUTED_VALUE"""),"CONNECT6")</f>
        <v>CONNECT6</v>
      </c>
      <c r="Z99" s="96"/>
      <c r="AA99" s="96"/>
      <c r="AB99" s="96"/>
      <c r="AC99" s="96"/>
      <c r="AD99" s="96"/>
      <c r="AE99" s="96"/>
      <c r="AF99" s="96">
        <f>IFERROR(__xludf.DUMMYFUNCTION("""COMPUTED_VALUE"""),-5000.0)</f>
        <v>-5000</v>
      </c>
      <c r="AG99" s="99">
        <f>IFERROR(__xludf.DUMMYFUNCTION("""COMPUTED_VALUE"""),-5000.0)</f>
        <v>-5000</v>
      </c>
      <c r="AH99" s="96"/>
      <c r="AI99" s="96">
        <f>IFERROR(__xludf.DUMMYFUNCTION("""COMPUTED_VALUE"""),0.0)</f>
        <v>0</v>
      </c>
      <c r="AJ99" s="96">
        <f>IFERROR(__xludf.DUMMYFUNCTION("""COMPUTED_VALUE"""),0.0)</f>
        <v>0</v>
      </c>
      <c r="AK99" s="96">
        <f>IFERROR(__xludf.DUMMYFUNCTION("""COMPUTED_VALUE"""),0.0)</f>
        <v>0</v>
      </c>
      <c r="AL99" s="129">
        <f>IFERROR(__xludf.DUMMYFUNCTION("""COMPUTED_VALUE"""),0.0)</f>
        <v>0</v>
      </c>
      <c r="AM99" s="99"/>
    </row>
    <row r="100">
      <c r="V100" s="96">
        <f>IFERROR(__xludf.DUMMYFUNCTION("""COMPUTED_VALUE"""),7.0)</f>
        <v>7</v>
      </c>
      <c r="W100" s="98">
        <f>IFERROR(__xludf.DUMMYFUNCTION("""COMPUTED_VALUE"""),44030.0)</f>
        <v>44030</v>
      </c>
      <c r="X100" s="96" t="str">
        <f>IFERROR(__xludf.DUMMYFUNCTION("""COMPUTED_VALUE"""),"CONNECT")</f>
        <v>CONNECT</v>
      </c>
      <c r="Y100" s="96" t="str">
        <f>IFERROR(__xludf.DUMMYFUNCTION("""COMPUTED_VALUE"""),"CONNECT7")</f>
        <v>CONNECT7</v>
      </c>
      <c r="Z100" s="96"/>
      <c r="AA100" s="96"/>
      <c r="AB100" s="96"/>
      <c r="AC100" s="96"/>
      <c r="AD100" s="96"/>
      <c r="AE100" s="96"/>
      <c r="AF100" s="96">
        <f>IFERROR(__xludf.DUMMYFUNCTION("""COMPUTED_VALUE"""),-23920.0)</f>
        <v>-23920</v>
      </c>
      <c r="AG100" s="99">
        <f>IFERROR(__xludf.DUMMYFUNCTION("""COMPUTED_VALUE"""),-23920.0)</f>
        <v>-23920</v>
      </c>
      <c r="AH100" s="96"/>
      <c r="AI100" s="96">
        <f>IFERROR(__xludf.DUMMYFUNCTION("""COMPUTED_VALUE"""),0.0)</f>
        <v>0</v>
      </c>
      <c r="AJ100" s="96">
        <f>IFERROR(__xludf.DUMMYFUNCTION("""COMPUTED_VALUE"""),0.0)</f>
        <v>0</v>
      </c>
      <c r="AK100" s="96">
        <f>IFERROR(__xludf.DUMMYFUNCTION("""COMPUTED_VALUE"""),0.0)</f>
        <v>0</v>
      </c>
      <c r="AL100" s="129">
        <f>IFERROR(__xludf.DUMMYFUNCTION("""COMPUTED_VALUE"""),0.0)</f>
        <v>0</v>
      </c>
      <c r="AM100" s="99"/>
    </row>
    <row r="101">
      <c r="V101" s="96">
        <f>IFERROR(__xludf.DUMMYFUNCTION("""COMPUTED_VALUE"""),3.0)</f>
        <v>3</v>
      </c>
      <c r="W101" s="98">
        <f>IFERROR(__xludf.DUMMYFUNCTION("""COMPUTED_VALUE"""),44034.0)</f>
        <v>44034</v>
      </c>
      <c r="X101" s="96" t="str">
        <f>IFERROR(__xludf.DUMMYFUNCTION("""COMPUTED_VALUE"""),"ZULU &amp; NDOMA")</f>
        <v>ZULU &amp; NDOMA</v>
      </c>
      <c r="Y101" s="96" t="str">
        <f>IFERROR(__xludf.DUMMYFUNCTION("""COMPUTED_VALUE"""),"ZULU &amp; NDOMA3")</f>
        <v>ZULU &amp; NDOMA3</v>
      </c>
      <c r="Z101" s="96"/>
      <c r="AA101" s="96"/>
      <c r="AB101" s="96"/>
      <c r="AC101" s="96"/>
      <c r="AD101" s="96"/>
      <c r="AE101" s="96"/>
      <c r="AF101" s="96">
        <f>IFERROR(__xludf.DUMMYFUNCTION("""COMPUTED_VALUE"""),9000.0)</f>
        <v>9000</v>
      </c>
      <c r="AG101" s="99">
        <f>IFERROR(__xludf.DUMMYFUNCTION("""COMPUTED_VALUE"""),9000.0)</f>
        <v>9000</v>
      </c>
      <c r="AH101" s="96"/>
      <c r="AI101" s="96">
        <f>IFERROR(__xludf.DUMMYFUNCTION("""COMPUTED_VALUE"""),0.0)</f>
        <v>0</v>
      </c>
      <c r="AJ101" s="96">
        <f>IFERROR(__xludf.DUMMYFUNCTION("""COMPUTED_VALUE"""),0.0)</f>
        <v>0</v>
      </c>
      <c r="AK101" s="96">
        <f>IFERROR(__xludf.DUMMYFUNCTION("""COMPUTED_VALUE"""),0.0)</f>
        <v>0</v>
      </c>
      <c r="AL101" s="129">
        <f>IFERROR(__xludf.DUMMYFUNCTION("""COMPUTED_VALUE"""),0.0)</f>
        <v>0</v>
      </c>
      <c r="AM101" s="99"/>
    </row>
    <row r="102">
      <c r="V102" s="96">
        <f>IFERROR(__xludf.DUMMYFUNCTION("""COMPUTED_VALUE"""),4.0)</f>
        <v>4</v>
      </c>
      <c r="W102" s="98">
        <f>IFERROR(__xludf.DUMMYFUNCTION("""COMPUTED_VALUE"""),44034.0)</f>
        <v>44034</v>
      </c>
      <c r="X102" s="96" t="str">
        <f>IFERROR(__xludf.DUMMYFUNCTION("""COMPUTED_VALUE"""),"CORNWELL")</f>
        <v>CORNWELL</v>
      </c>
      <c r="Y102" s="96" t="str">
        <f>IFERROR(__xludf.DUMMYFUNCTION("""COMPUTED_VALUE"""),"CORNWELL4")</f>
        <v>CORNWELL4</v>
      </c>
      <c r="Z102" s="96"/>
      <c r="AA102" s="96"/>
      <c r="AB102" s="96"/>
      <c r="AC102" s="96"/>
      <c r="AD102" s="96"/>
      <c r="AE102" s="96"/>
      <c r="AF102" s="96">
        <f>IFERROR(__xludf.DUMMYFUNCTION("""COMPUTED_VALUE"""),3725000.0)</f>
        <v>3725000</v>
      </c>
      <c r="AG102" s="99">
        <f>IFERROR(__xludf.DUMMYFUNCTION("""COMPUTED_VALUE"""),3725000.0)</f>
        <v>3725000</v>
      </c>
      <c r="AH102" s="96"/>
      <c r="AI102" s="96">
        <f>IFERROR(__xludf.DUMMYFUNCTION("""COMPUTED_VALUE"""),0.0)</f>
        <v>0</v>
      </c>
      <c r="AJ102" s="96">
        <f>IFERROR(__xludf.DUMMYFUNCTION("""COMPUTED_VALUE"""),0.0)</f>
        <v>0</v>
      </c>
      <c r="AK102" s="96">
        <f>IFERROR(__xludf.DUMMYFUNCTION("""COMPUTED_VALUE"""),0.0)</f>
        <v>0</v>
      </c>
      <c r="AL102" s="129">
        <f>IFERROR(__xludf.DUMMYFUNCTION("""COMPUTED_VALUE"""),0.0)</f>
        <v>0</v>
      </c>
      <c r="AM102" s="99"/>
    </row>
    <row r="103">
      <c r="V103" s="96">
        <f>IFERROR(__xludf.DUMMYFUNCTION("""COMPUTED_VALUE"""),8.0)</f>
        <v>8</v>
      </c>
      <c r="W103" s="98">
        <f>IFERROR(__xludf.DUMMYFUNCTION("""COMPUTED_VALUE"""),44034.0)</f>
        <v>44034</v>
      </c>
      <c r="X103" s="96" t="str">
        <f>IFERROR(__xludf.DUMMYFUNCTION("""COMPUTED_VALUE"""),"CONNECT")</f>
        <v>CONNECT</v>
      </c>
      <c r="Y103" s="96" t="str">
        <f>IFERROR(__xludf.DUMMYFUNCTION("""COMPUTED_VALUE"""),"CONNECT8")</f>
        <v>CONNECT8</v>
      </c>
      <c r="Z103" s="96"/>
      <c r="AA103" s="96"/>
      <c r="AB103" s="96"/>
      <c r="AC103" s="96"/>
      <c r="AD103" s="96"/>
      <c r="AE103" s="96"/>
      <c r="AF103" s="96">
        <f>IFERROR(__xludf.DUMMYFUNCTION("""COMPUTED_VALUE"""),700000.0)</f>
        <v>700000</v>
      </c>
      <c r="AG103" s="99">
        <f>IFERROR(__xludf.DUMMYFUNCTION("""COMPUTED_VALUE"""),700000.0)</f>
        <v>700000</v>
      </c>
      <c r="AH103" s="96"/>
      <c r="AI103" s="96">
        <f>IFERROR(__xludf.DUMMYFUNCTION("""COMPUTED_VALUE"""),0.0)</f>
        <v>0</v>
      </c>
      <c r="AJ103" s="96">
        <f>IFERROR(__xludf.DUMMYFUNCTION("""COMPUTED_VALUE"""),0.0)</f>
        <v>0</v>
      </c>
      <c r="AK103" s="96">
        <f>IFERROR(__xludf.DUMMYFUNCTION("""COMPUTED_VALUE"""),0.0)</f>
        <v>0</v>
      </c>
      <c r="AL103" s="129">
        <f>IFERROR(__xludf.DUMMYFUNCTION("""COMPUTED_VALUE"""),0.0)</f>
        <v>0</v>
      </c>
      <c r="AM103" s="99"/>
    </row>
    <row r="104">
      <c r="V104" s="96">
        <f>IFERROR(__xludf.DUMMYFUNCTION("""COMPUTED_VALUE"""),4.0)</f>
        <v>4</v>
      </c>
      <c r="W104" s="98">
        <f>IFERROR(__xludf.DUMMYFUNCTION("""COMPUTED_VALUE"""),44034.0)</f>
        <v>44034</v>
      </c>
      <c r="X104" s="96" t="str">
        <f>IFERROR(__xludf.DUMMYFUNCTION("""COMPUTED_VALUE"""),"ANDRDEW GREAT")</f>
        <v>ANDRDEW GREAT</v>
      </c>
      <c r="Y104" s="96" t="str">
        <f>IFERROR(__xludf.DUMMYFUNCTION("""COMPUTED_VALUE"""),"ANDRDEW GREAT4")</f>
        <v>ANDRDEW GREAT4</v>
      </c>
      <c r="Z104" s="96"/>
      <c r="AA104" s="96"/>
      <c r="AB104" s="96"/>
      <c r="AC104" s="96"/>
      <c r="AD104" s="96"/>
      <c r="AE104" s="96"/>
      <c r="AF104" s="96">
        <f>IFERROR(__xludf.DUMMYFUNCTION("""COMPUTED_VALUE"""),200000.0)</f>
        <v>200000</v>
      </c>
      <c r="AG104" s="99">
        <f>IFERROR(__xludf.DUMMYFUNCTION("""COMPUTED_VALUE"""),200000.0)</f>
        <v>200000</v>
      </c>
      <c r="AH104" s="96"/>
      <c r="AI104" s="96">
        <f>IFERROR(__xludf.DUMMYFUNCTION("""COMPUTED_VALUE"""),0.0)</f>
        <v>0</v>
      </c>
      <c r="AJ104" s="96">
        <f>IFERROR(__xludf.DUMMYFUNCTION("""COMPUTED_VALUE"""),0.0)</f>
        <v>0</v>
      </c>
      <c r="AK104" s="96">
        <f>IFERROR(__xludf.DUMMYFUNCTION("""COMPUTED_VALUE"""),0.0)</f>
        <v>0</v>
      </c>
      <c r="AL104" s="129">
        <f>IFERROR(__xludf.DUMMYFUNCTION("""COMPUTED_VALUE"""),0.0)</f>
        <v>0</v>
      </c>
      <c r="AM104" s="99"/>
    </row>
    <row r="105">
      <c r="V105" s="96">
        <f>IFERROR(__xludf.DUMMYFUNCTION("""COMPUTED_VALUE"""),1.0)</f>
        <v>1</v>
      </c>
      <c r="W105" s="98">
        <f>IFERROR(__xludf.DUMMYFUNCTION("""COMPUTED_VALUE"""),44034.0)</f>
        <v>44034</v>
      </c>
      <c r="X105" s="96" t="str">
        <f>IFERROR(__xludf.DUMMYFUNCTION("""COMPUTED_VALUE"""),"ALFRED ALABI")</f>
        <v>ALFRED ALABI</v>
      </c>
      <c r="Y105" s="96" t="str">
        <f>IFERROR(__xludf.DUMMYFUNCTION("""COMPUTED_VALUE"""),"ALFRED ALABI1")</f>
        <v>ALFRED ALABI1</v>
      </c>
      <c r="Z105" s="96"/>
      <c r="AA105" s="96"/>
      <c r="AB105" s="96"/>
      <c r="AC105" s="96"/>
      <c r="AD105" s="96"/>
      <c r="AE105" s="96"/>
      <c r="AF105" s="96">
        <f>IFERROR(__xludf.DUMMYFUNCTION("""COMPUTED_VALUE"""),480000.0)</f>
        <v>480000</v>
      </c>
      <c r="AG105" s="99">
        <f>IFERROR(__xludf.DUMMYFUNCTION("""COMPUTED_VALUE"""),480000.0)</f>
        <v>480000</v>
      </c>
      <c r="AH105" s="96"/>
      <c r="AI105" s="96">
        <f>IFERROR(__xludf.DUMMYFUNCTION("""COMPUTED_VALUE"""),0.0)</f>
        <v>0</v>
      </c>
      <c r="AJ105" s="96">
        <f>IFERROR(__xludf.DUMMYFUNCTION("""COMPUTED_VALUE"""),0.0)</f>
        <v>0</v>
      </c>
      <c r="AK105" s="96">
        <f>IFERROR(__xludf.DUMMYFUNCTION("""COMPUTED_VALUE"""),0.0)</f>
        <v>0</v>
      </c>
      <c r="AL105" s="129">
        <f>IFERROR(__xludf.DUMMYFUNCTION("""COMPUTED_VALUE"""),0.0)</f>
        <v>0</v>
      </c>
      <c r="AM105" s="99"/>
    </row>
    <row r="106">
      <c r="V106" s="96">
        <f>IFERROR(__xludf.DUMMYFUNCTION("""COMPUTED_VALUE"""),2.0)</f>
        <v>2</v>
      </c>
      <c r="W106" s="98">
        <f>IFERROR(__xludf.DUMMYFUNCTION("""COMPUTED_VALUE"""),44034.0)</f>
        <v>44034</v>
      </c>
      <c r="X106" s="96" t="str">
        <f>IFERROR(__xludf.DUMMYFUNCTION("""COMPUTED_VALUE"""),"EDWARD OKO")</f>
        <v>EDWARD OKO</v>
      </c>
      <c r="Y106" s="96" t="str">
        <f>IFERROR(__xludf.DUMMYFUNCTION("""COMPUTED_VALUE"""),"EDWARD OKO2")</f>
        <v>EDWARD OKO2</v>
      </c>
      <c r="Z106" s="96"/>
      <c r="AA106" s="96"/>
      <c r="AB106" s="96"/>
      <c r="AC106" s="96"/>
      <c r="AD106" s="96"/>
      <c r="AE106" s="96"/>
      <c r="AF106" s="96">
        <f>IFERROR(__xludf.DUMMYFUNCTION("""COMPUTED_VALUE"""),1000000.0)</f>
        <v>1000000</v>
      </c>
      <c r="AG106" s="99">
        <f>IFERROR(__xludf.DUMMYFUNCTION("""COMPUTED_VALUE"""),1000000.0)</f>
        <v>1000000</v>
      </c>
      <c r="AH106" s="96"/>
      <c r="AI106" s="96">
        <f>IFERROR(__xludf.DUMMYFUNCTION("""COMPUTED_VALUE"""),0.0)</f>
        <v>0</v>
      </c>
      <c r="AJ106" s="96">
        <f>IFERROR(__xludf.DUMMYFUNCTION("""COMPUTED_VALUE"""),0.0)</f>
        <v>0</v>
      </c>
      <c r="AK106" s="96">
        <f>IFERROR(__xludf.DUMMYFUNCTION("""COMPUTED_VALUE"""),0.0)</f>
        <v>0</v>
      </c>
      <c r="AL106" s="129">
        <f>IFERROR(__xludf.DUMMYFUNCTION("""COMPUTED_VALUE"""),0.0)</f>
        <v>0</v>
      </c>
      <c r="AM106" s="99"/>
    </row>
    <row r="107">
      <c r="V107" s="96">
        <f>IFERROR(__xludf.DUMMYFUNCTION("""COMPUTED_VALUE"""),6.0)</f>
        <v>6</v>
      </c>
      <c r="W107" s="98">
        <f>IFERROR(__xludf.DUMMYFUNCTION("""COMPUTED_VALUE"""),44034.0)</f>
        <v>44034</v>
      </c>
      <c r="X107" s="96" t="str">
        <f>IFERROR(__xludf.DUMMYFUNCTION("""COMPUTED_VALUE"""),"RECTOR W.")</f>
        <v>RECTOR W.</v>
      </c>
      <c r="Y107" s="96" t="str">
        <f>IFERROR(__xludf.DUMMYFUNCTION("""COMPUTED_VALUE"""),"RECTOR W.6")</f>
        <v>RECTOR W.6</v>
      </c>
      <c r="Z107" s="96"/>
      <c r="AA107" s="96"/>
      <c r="AB107" s="96"/>
      <c r="AC107" s="96"/>
      <c r="AD107" s="96"/>
      <c r="AE107" s="96"/>
      <c r="AF107" s="96">
        <f>IFERROR(__xludf.DUMMYFUNCTION("""COMPUTED_VALUE"""),2500000.0)</f>
        <v>2500000</v>
      </c>
      <c r="AG107" s="99">
        <f>IFERROR(__xludf.DUMMYFUNCTION("""COMPUTED_VALUE"""),2500000.0)</f>
        <v>2500000</v>
      </c>
      <c r="AH107" s="96"/>
      <c r="AI107" s="96">
        <f>IFERROR(__xludf.DUMMYFUNCTION("""COMPUTED_VALUE"""),0.0)</f>
        <v>0</v>
      </c>
      <c r="AJ107" s="96">
        <f>IFERROR(__xludf.DUMMYFUNCTION("""COMPUTED_VALUE"""),0.0)</f>
        <v>0</v>
      </c>
      <c r="AK107" s="96">
        <f>IFERROR(__xludf.DUMMYFUNCTION("""COMPUTED_VALUE"""),0.0)</f>
        <v>0</v>
      </c>
      <c r="AL107" s="129">
        <f>IFERROR(__xludf.DUMMYFUNCTION("""COMPUTED_VALUE"""),0.0)</f>
        <v>0</v>
      </c>
      <c r="AM107" s="99"/>
    </row>
    <row r="108">
      <c r="V108" s="96">
        <f>IFERROR(__xludf.DUMMYFUNCTION("""COMPUTED_VALUE"""),5.0)</f>
        <v>5</v>
      </c>
      <c r="W108" s="98">
        <f>IFERROR(__xludf.DUMMYFUNCTION("""COMPUTED_VALUE"""),44034.0)</f>
        <v>44034</v>
      </c>
      <c r="X108" s="96" t="str">
        <f>IFERROR(__xludf.DUMMYFUNCTION("""COMPUTED_VALUE"""),"NDOMA BODE I.D")</f>
        <v>NDOMA BODE I.D</v>
      </c>
      <c r="Y108" s="96" t="str">
        <f>IFERROR(__xludf.DUMMYFUNCTION("""COMPUTED_VALUE"""),"NDOMA BODE I.D5")</f>
        <v>NDOMA BODE I.D5</v>
      </c>
      <c r="Z108" s="96"/>
      <c r="AA108" s="96"/>
      <c r="AB108" s="96"/>
      <c r="AC108" s="96"/>
      <c r="AD108" s="96"/>
      <c r="AE108" s="96"/>
      <c r="AF108" s="96">
        <f>IFERROR(__xludf.DUMMYFUNCTION("""COMPUTED_VALUE"""),500000.0)</f>
        <v>500000</v>
      </c>
      <c r="AG108" s="99">
        <f>IFERROR(__xludf.DUMMYFUNCTION("""COMPUTED_VALUE"""),500000.0)</f>
        <v>500000</v>
      </c>
      <c r="AH108" s="96"/>
      <c r="AI108" s="96">
        <f>IFERROR(__xludf.DUMMYFUNCTION("""COMPUTED_VALUE"""),0.0)</f>
        <v>0</v>
      </c>
      <c r="AJ108" s="96">
        <f>IFERROR(__xludf.DUMMYFUNCTION("""COMPUTED_VALUE"""),0.0)</f>
        <v>0</v>
      </c>
      <c r="AK108" s="96">
        <f>IFERROR(__xludf.DUMMYFUNCTION("""COMPUTED_VALUE"""),0.0)</f>
        <v>0</v>
      </c>
      <c r="AL108" s="129">
        <f>IFERROR(__xludf.DUMMYFUNCTION("""COMPUTED_VALUE"""),0.0)</f>
        <v>0</v>
      </c>
      <c r="AM108" s="99"/>
    </row>
    <row r="109">
      <c r="V109" s="96">
        <f>IFERROR(__xludf.DUMMYFUNCTION("""COMPUTED_VALUE"""),1.0)</f>
        <v>1</v>
      </c>
      <c r="W109" s="98">
        <f>IFERROR(__xludf.DUMMYFUNCTION("""COMPUTED_VALUE"""),44034.0)</f>
        <v>44034</v>
      </c>
      <c r="X109" s="96" t="str">
        <f>IFERROR(__xludf.DUMMYFUNCTION("""COMPUTED_VALUE"""),"OBINNA CHIELO")</f>
        <v>OBINNA CHIELO</v>
      </c>
      <c r="Y109" s="96" t="str">
        <f>IFERROR(__xludf.DUMMYFUNCTION("""COMPUTED_VALUE"""),"OBINNA CHIELO1")</f>
        <v>OBINNA CHIELO1</v>
      </c>
      <c r="Z109" s="96"/>
      <c r="AA109" s="96"/>
      <c r="AB109" s="96"/>
      <c r="AC109" s="96"/>
      <c r="AD109" s="96"/>
      <c r="AE109" s="96"/>
      <c r="AF109" s="96">
        <f>IFERROR(__xludf.DUMMYFUNCTION("""COMPUTED_VALUE"""),480000.0)</f>
        <v>480000</v>
      </c>
      <c r="AG109" s="99">
        <f>IFERROR(__xludf.DUMMYFUNCTION("""COMPUTED_VALUE"""),480000.0)</f>
        <v>480000</v>
      </c>
      <c r="AH109" s="96"/>
      <c r="AI109" s="96">
        <f>IFERROR(__xludf.DUMMYFUNCTION("""COMPUTED_VALUE"""),0.0)</f>
        <v>0</v>
      </c>
      <c r="AJ109" s="96">
        <f>IFERROR(__xludf.DUMMYFUNCTION("""COMPUTED_VALUE"""),0.0)</f>
        <v>0</v>
      </c>
      <c r="AK109" s="96">
        <f>IFERROR(__xludf.DUMMYFUNCTION("""COMPUTED_VALUE"""),0.0)</f>
        <v>0</v>
      </c>
      <c r="AL109" s="129">
        <f>IFERROR(__xludf.DUMMYFUNCTION("""COMPUTED_VALUE"""),0.0)</f>
        <v>0</v>
      </c>
      <c r="AM109" s="99"/>
    </row>
    <row r="110">
      <c r="V110" s="96">
        <f>IFERROR(__xludf.DUMMYFUNCTION("""COMPUTED_VALUE"""),5.0)</f>
        <v>5</v>
      </c>
      <c r="W110" s="98">
        <f>IFERROR(__xludf.DUMMYFUNCTION("""COMPUTED_VALUE"""),44034.0)</f>
        <v>44034</v>
      </c>
      <c r="X110" s="96" t="str">
        <f>IFERROR(__xludf.DUMMYFUNCTION("""COMPUTED_VALUE""")," MAXWELL AGRO")</f>
        <v> MAXWELL AGRO</v>
      </c>
      <c r="Y110" s="96" t="str">
        <f>IFERROR(__xludf.DUMMYFUNCTION("""COMPUTED_VALUE""")," MAXWELL AGRO5")</f>
        <v> MAXWELL AGRO5</v>
      </c>
      <c r="Z110" s="96"/>
      <c r="AA110" s="96"/>
      <c r="AB110" s="96"/>
      <c r="AC110" s="96"/>
      <c r="AD110" s="96"/>
      <c r="AE110" s="96"/>
      <c r="AF110" s="96">
        <f>IFERROR(__xludf.DUMMYFUNCTION("""COMPUTED_VALUE"""),240000.0)</f>
        <v>240000</v>
      </c>
      <c r="AG110" s="99">
        <f>IFERROR(__xludf.DUMMYFUNCTION("""COMPUTED_VALUE"""),240000.0)</f>
        <v>240000</v>
      </c>
      <c r="AH110" s="96"/>
      <c r="AI110" s="96">
        <f>IFERROR(__xludf.DUMMYFUNCTION("""COMPUTED_VALUE"""),0.0)</f>
        <v>0</v>
      </c>
      <c r="AJ110" s="96">
        <f>IFERROR(__xludf.DUMMYFUNCTION("""COMPUTED_VALUE"""),0.0)</f>
        <v>0</v>
      </c>
      <c r="AK110" s="96">
        <f>IFERROR(__xludf.DUMMYFUNCTION("""COMPUTED_VALUE"""),0.0)</f>
        <v>0</v>
      </c>
      <c r="AL110" s="129">
        <f>IFERROR(__xludf.DUMMYFUNCTION("""COMPUTED_VALUE"""),0.0)</f>
        <v>0</v>
      </c>
      <c r="AM110" s="99"/>
    </row>
    <row r="111">
      <c r="V111" s="96">
        <f>IFERROR(__xludf.DUMMYFUNCTION("""COMPUTED_VALUE"""),1.0)</f>
        <v>1</v>
      </c>
      <c r="W111" s="98">
        <f>IFERROR(__xludf.DUMMYFUNCTION("""COMPUTED_VALUE"""),44034.0)</f>
        <v>44034</v>
      </c>
      <c r="X111" s="96" t="str">
        <f>IFERROR(__xludf.DUMMYFUNCTION("""COMPUTED_VALUE"""),"EMMANUEL OKO ")</f>
        <v>EMMANUEL OKO </v>
      </c>
      <c r="Y111" s="96" t="str">
        <f>IFERROR(__xludf.DUMMYFUNCTION("""COMPUTED_VALUE"""),"EMMANUEL OKO 1")</f>
        <v>EMMANUEL OKO 1</v>
      </c>
      <c r="Z111" s="96"/>
      <c r="AA111" s="96"/>
      <c r="AB111" s="96"/>
      <c r="AC111" s="96"/>
      <c r="AD111" s="96"/>
      <c r="AE111" s="96"/>
      <c r="AF111" s="96">
        <f>IFERROR(__xludf.DUMMYFUNCTION("""COMPUTED_VALUE"""),235000.0)</f>
        <v>235000</v>
      </c>
      <c r="AG111" s="99">
        <f>IFERROR(__xludf.DUMMYFUNCTION("""COMPUTED_VALUE"""),235000.0)</f>
        <v>235000</v>
      </c>
      <c r="AH111" s="96"/>
      <c r="AI111" s="96">
        <f>IFERROR(__xludf.DUMMYFUNCTION("""COMPUTED_VALUE"""),0.0)</f>
        <v>0</v>
      </c>
      <c r="AJ111" s="96">
        <f>IFERROR(__xludf.DUMMYFUNCTION("""COMPUTED_VALUE"""),0.0)</f>
        <v>0</v>
      </c>
      <c r="AK111" s="96">
        <f>IFERROR(__xludf.DUMMYFUNCTION("""COMPUTED_VALUE"""),0.0)</f>
        <v>0</v>
      </c>
      <c r="AL111" s="129">
        <f>IFERROR(__xludf.DUMMYFUNCTION("""COMPUTED_VALUE"""),0.0)</f>
        <v>0</v>
      </c>
      <c r="AM111" s="99"/>
    </row>
    <row r="112">
      <c r="V112" s="96">
        <f>IFERROR(__xludf.DUMMYFUNCTION("""COMPUTED_VALUE"""),2.0)</f>
        <v>2</v>
      </c>
      <c r="W112" s="98">
        <f>IFERROR(__xludf.DUMMYFUNCTION("""COMPUTED_VALUE"""),44034.0)</f>
        <v>44034</v>
      </c>
      <c r="X112" s="96" t="str">
        <f>IFERROR(__xludf.DUMMYFUNCTION("""COMPUTED_VALUE"""),"ETUK EFFI")</f>
        <v>ETUK EFFI</v>
      </c>
      <c r="Y112" s="96" t="str">
        <f>IFERROR(__xludf.DUMMYFUNCTION("""COMPUTED_VALUE"""),"ETUK EFFI2")</f>
        <v>ETUK EFFI2</v>
      </c>
      <c r="Z112" s="96"/>
      <c r="AA112" s="96"/>
      <c r="AB112" s="96"/>
      <c r="AC112" s="96"/>
      <c r="AD112" s="96"/>
      <c r="AE112" s="96"/>
      <c r="AF112" s="96">
        <f>IFERROR(__xludf.DUMMYFUNCTION("""COMPUTED_VALUE"""),500000.0)</f>
        <v>500000</v>
      </c>
      <c r="AG112" s="99">
        <f>IFERROR(__xludf.DUMMYFUNCTION("""COMPUTED_VALUE"""),500000.0)</f>
        <v>500000</v>
      </c>
      <c r="AH112" s="96"/>
      <c r="AI112" s="96">
        <f>IFERROR(__xludf.DUMMYFUNCTION("""COMPUTED_VALUE"""),0.0)</f>
        <v>0</v>
      </c>
      <c r="AJ112" s="96">
        <f>IFERROR(__xludf.DUMMYFUNCTION("""COMPUTED_VALUE"""),0.0)</f>
        <v>0</v>
      </c>
      <c r="AK112" s="96">
        <f>IFERROR(__xludf.DUMMYFUNCTION("""COMPUTED_VALUE"""),0.0)</f>
        <v>0</v>
      </c>
      <c r="AL112" s="129">
        <f>IFERROR(__xludf.DUMMYFUNCTION("""COMPUTED_VALUE"""),0.0)</f>
        <v>0</v>
      </c>
      <c r="AM112" s="99"/>
    </row>
    <row r="113">
      <c r="V113" s="96">
        <f>IFERROR(__xludf.DUMMYFUNCTION("""COMPUTED_VALUE"""),7.0)</f>
        <v>7</v>
      </c>
      <c r="W113" s="98">
        <f>IFERROR(__xludf.DUMMYFUNCTION("""COMPUTED_VALUE"""),44034.0)</f>
        <v>44034</v>
      </c>
      <c r="X113" s="96" t="str">
        <f>IFERROR(__xludf.DUMMYFUNCTION("""COMPUTED_VALUE"""),"RECTOR W.")</f>
        <v>RECTOR W.</v>
      </c>
      <c r="Y113" s="96" t="str">
        <f>IFERROR(__xludf.DUMMYFUNCTION("""COMPUTED_VALUE"""),"RECTOR W.7")</f>
        <v>RECTOR W.7</v>
      </c>
      <c r="Z113" s="96"/>
      <c r="AA113" s="96"/>
      <c r="AB113" s="96"/>
      <c r="AC113" s="96"/>
      <c r="AD113" s="96"/>
      <c r="AE113" s="96"/>
      <c r="AF113" s="96">
        <f>IFERROR(__xludf.DUMMYFUNCTION("""COMPUTED_VALUE"""),358880.0)</f>
        <v>358880</v>
      </c>
      <c r="AG113" s="99">
        <f>IFERROR(__xludf.DUMMYFUNCTION("""COMPUTED_VALUE"""),358880.0)</f>
        <v>358880</v>
      </c>
      <c r="AH113" s="96"/>
      <c r="AI113" s="96">
        <f>IFERROR(__xludf.DUMMYFUNCTION("""COMPUTED_VALUE"""),0.0)</f>
        <v>0</v>
      </c>
      <c r="AJ113" s="96">
        <f>IFERROR(__xludf.DUMMYFUNCTION("""COMPUTED_VALUE"""),0.0)</f>
        <v>0</v>
      </c>
      <c r="AK113" s="96">
        <f>IFERROR(__xludf.DUMMYFUNCTION("""COMPUTED_VALUE"""),0.0)</f>
        <v>0</v>
      </c>
      <c r="AL113" s="129">
        <f>IFERROR(__xludf.DUMMYFUNCTION("""COMPUTED_VALUE"""),0.0)</f>
        <v>0</v>
      </c>
      <c r="AM113" s="99"/>
    </row>
    <row r="114">
      <c r="V114" s="96">
        <f>IFERROR(__xludf.DUMMYFUNCTION("""COMPUTED_VALUE"""),3.0)</f>
        <v>3</v>
      </c>
      <c r="W114" s="98">
        <f>IFERROR(__xludf.DUMMYFUNCTION("""COMPUTED_VALUE"""),44035.0)</f>
        <v>44035</v>
      </c>
      <c r="X114" s="96" t="str">
        <f>IFERROR(__xludf.DUMMYFUNCTION("""COMPUTED_VALUE"""),"OTU KOKO KEIBO")</f>
        <v>OTU KOKO KEIBO</v>
      </c>
      <c r="Y114" s="96" t="str">
        <f>IFERROR(__xludf.DUMMYFUNCTION("""COMPUTED_VALUE"""),"OTU KOKO KEIBO3")</f>
        <v>OTU KOKO KEIBO3</v>
      </c>
      <c r="Z114" s="96"/>
      <c r="AA114" s="96"/>
      <c r="AB114" s="96"/>
      <c r="AC114" s="96"/>
      <c r="AD114" s="96"/>
      <c r="AE114" s="96"/>
      <c r="AF114" s="96">
        <f>IFERROR(__xludf.DUMMYFUNCTION("""COMPUTED_VALUE"""),600000.0)</f>
        <v>600000</v>
      </c>
      <c r="AG114" s="99">
        <f>IFERROR(__xludf.DUMMYFUNCTION("""COMPUTED_VALUE"""),600000.0)</f>
        <v>600000</v>
      </c>
      <c r="AH114" s="96"/>
      <c r="AI114" s="96">
        <f>IFERROR(__xludf.DUMMYFUNCTION("""COMPUTED_VALUE"""),0.0)</f>
        <v>0</v>
      </c>
      <c r="AJ114" s="96">
        <f>IFERROR(__xludf.DUMMYFUNCTION("""COMPUTED_VALUE"""),0.0)</f>
        <v>0</v>
      </c>
      <c r="AK114" s="96">
        <f>IFERROR(__xludf.DUMMYFUNCTION("""COMPUTED_VALUE"""),0.0)</f>
        <v>0</v>
      </c>
      <c r="AL114" s="129">
        <f>IFERROR(__xludf.DUMMYFUNCTION("""COMPUTED_VALUE"""),0.0)</f>
        <v>0</v>
      </c>
      <c r="AM114" s="99"/>
    </row>
    <row r="115">
      <c r="V115" s="96">
        <f>IFERROR(__xludf.DUMMYFUNCTION("""COMPUTED_VALUE"""),1.0)</f>
        <v>1</v>
      </c>
      <c r="W115" s="98">
        <f>IFERROR(__xludf.DUMMYFUNCTION("""COMPUTED_VALUE"""),44035.0)</f>
        <v>44035</v>
      </c>
      <c r="X115" s="96" t="str">
        <f>IFERROR(__xludf.DUMMYFUNCTION("""COMPUTED_VALUE"""),"REIMON ALABA")</f>
        <v>REIMON ALABA</v>
      </c>
      <c r="Y115" s="96" t="str">
        <f>IFERROR(__xludf.DUMMYFUNCTION("""COMPUTED_VALUE"""),"REIMON ALABA1")</f>
        <v>REIMON ALABA1</v>
      </c>
      <c r="Z115" s="96"/>
      <c r="AA115" s="96"/>
      <c r="AB115" s="96"/>
      <c r="AC115" s="96"/>
      <c r="AD115" s="96"/>
      <c r="AE115" s="96"/>
      <c r="AF115" s="96">
        <f>IFERROR(__xludf.DUMMYFUNCTION("""COMPUTED_VALUE"""),150000.0)</f>
        <v>150000</v>
      </c>
      <c r="AG115" s="99">
        <f>IFERROR(__xludf.DUMMYFUNCTION("""COMPUTED_VALUE"""),150000.0)</f>
        <v>150000</v>
      </c>
      <c r="AH115" s="96"/>
      <c r="AI115" s="96">
        <f>IFERROR(__xludf.DUMMYFUNCTION("""COMPUTED_VALUE"""),0.0)</f>
        <v>0</v>
      </c>
      <c r="AJ115" s="96">
        <f>IFERROR(__xludf.DUMMYFUNCTION("""COMPUTED_VALUE"""),0.0)</f>
        <v>0</v>
      </c>
      <c r="AK115" s="96">
        <f>IFERROR(__xludf.DUMMYFUNCTION("""COMPUTED_VALUE"""),0.0)</f>
        <v>0</v>
      </c>
      <c r="AL115" s="129">
        <f>IFERROR(__xludf.DUMMYFUNCTION("""COMPUTED_VALUE"""),0.0)</f>
        <v>0</v>
      </c>
      <c r="AM115" s="99"/>
    </row>
    <row r="116">
      <c r="V116" s="96">
        <f>IFERROR(__xludf.DUMMYFUNCTION("""COMPUTED_VALUE"""),7.0)</f>
        <v>7</v>
      </c>
      <c r="W116" s="98">
        <f>IFERROR(__xludf.DUMMYFUNCTION("""COMPUTED_VALUE"""),44036.0)</f>
        <v>44036</v>
      </c>
      <c r="X116" s="96" t="str">
        <f>IFERROR(__xludf.DUMMYFUNCTION("""COMPUTED_VALUE"""),"LYDIA HNSON ")</f>
        <v>LYDIA HNSON </v>
      </c>
      <c r="Y116" s="96" t="str">
        <f>IFERROR(__xludf.DUMMYFUNCTION("""COMPUTED_VALUE"""),"LYDIA HNSON 7")</f>
        <v>LYDIA HNSON 7</v>
      </c>
      <c r="Z116" s="96"/>
      <c r="AA116" s="96"/>
      <c r="AB116" s="96"/>
      <c r="AC116" s="96"/>
      <c r="AD116" s="96"/>
      <c r="AE116" s="96"/>
      <c r="AF116" s="96">
        <f>IFERROR(__xludf.DUMMYFUNCTION("""COMPUTED_VALUE"""),500000.0)</f>
        <v>500000</v>
      </c>
      <c r="AG116" s="99">
        <f>IFERROR(__xludf.DUMMYFUNCTION("""COMPUTED_VALUE"""),500000.0)</f>
        <v>500000</v>
      </c>
      <c r="AH116" s="96"/>
      <c r="AI116" s="96">
        <f>IFERROR(__xludf.DUMMYFUNCTION("""COMPUTED_VALUE"""),0.0)</f>
        <v>0</v>
      </c>
      <c r="AJ116" s="96">
        <f>IFERROR(__xludf.DUMMYFUNCTION("""COMPUTED_VALUE"""),0.0)</f>
        <v>0</v>
      </c>
      <c r="AK116" s="96">
        <f>IFERROR(__xludf.DUMMYFUNCTION("""COMPUTED_VALUE"""),0.0)</f>
        <v>0</v>
      </c>
      <c r="AL116" s="129">
        <f>IFERROR(__xludf.DUMMYFUNCTION("""COMPUTED_VALUE"""),0.0)</f>
        <v>0</v>
      </c>
      <c r="AM116" s="99"/>
    </row>
    <row r="117">
      <c r="V117" s="96">
        <f>IFERROR(__xludf.DUMMYFUNCTION("""COMPUTED_VALUE"""),3.0)</f>
        <v>3</v>
      </c>
      <c r="W117" s="98">
        <f>IFERROR(__xludf.DUMMYFUNCTION("""COMPUTED_VALUE"""),44037.0)</f>
        <v>44037</v>
      </c>
      <c r="X117" s="96" t="str">
        <f>IFERROR(__xludf.DUMMYFUNCTION("""COMPUTED_VALUE"""),"ETUK EFFI")</f>
        <v>ETUK EFFI</v>
      </c>
      <c r="Y117" s="96" t="str">
        <f>IFERROR(__xludf.DUMMYFUNCTION("""COMPUTED_VALUE"""),"ETUK EFFI3")</f>
        <v>ETUK EFFI3</v>
      </c>
      <c r="Z117" s="96">
        <f>IFERROR(__xludf.DUMMYFUNCTION("""COMPUTED_VALUE"""),1372.0)</f>
        <v>1372</v>
      </c>
      <c r="AA117" s="96">
        <f>IFERROR(__xludf.DUMMYFUNCTION("""COMPUTED_VALUE"""),182.5)</f>
        <v>182.5</v>
      </c>
      <c r="AB117" s="96">
        <f>IFERROR(__xludf.DUMMYFUNCTION("""COMPUTED_VALUE"""),0.0)</f>
        <v>0</v>
      </c>
      <c r="AC117" s="96">
        <f>IFERROR(__xludf.DUMMYFUNCTION("""COMPUTED_VALUE"""),21.0)</f>
        <v>21</v>
      </c>
      <c r="AD117" s="96">
        <f>IFERROR(__xludf.DUMMYFUNCTION("""COMPUTED_VALUE"""),21.0)</f>
        <v>21</v>
      </c>
      <c r="AE117" s="96">
        <f>IFERROR(__xludf.DUMMYFUNCTION("""COMPUTED_VALUE"""),780.0)</f>
        <v>780</v>
      </c>
      <c r="AF117" s="96"/>
      <c r="AG117" s="99">
        <f>IFERROR(__xludf.DUMMYFUNCTION("""COMPUTED_VALUE"""),-1063140.0)</f>
        <v>-1063140</v>
      </c>
      <c r="AH117" s="96">
        <f>IFERROR(__xludf.DUMMYFUNCTION("""COMPUTED_VALUE"""),8.69)</f>
        <v>8.69</v>
      </c>
      <c r="AI117" s="96">
        <f>IFERROR(__xludf.DUMMYFUNCTION("""COMPUTED_VALUE"""),9.0)</f>
        <v>9</v>
      </c>
      <c r="AJ117" s="96">
        <f>IFERROR(__xludf.DUMMYFUNCTION("""COMPUTED_VALUE"""),21.0)</f>
        <v>21</v>
      </c>
      <c r="AK117" s="96">
        <f>IFERROR(__xludf.DUMMYFUNCTION("""COMPUTED_VALUE"""),40.0)</f>
        <v>40</v>
      </c>
      <c r="AL117" s="129">
        <f>IFERROR(__xludf.DUMMYFUNCTION("""COMPUTED_VALUE"""),1363.0)</f>
        <v>1363</v>
      </c>
      <c r="AM117" s="99">
        <f>IFERROR(__xludf.DUMMYFUNCTION("""COMPUTED_VALUE"""),1063140.0)</f>
        <v>1063140</v>
      </c>
    </row>
    <row r="118">
      <c r="V118" s="96">
        <f>IFERROR(__xludf.DUMMYFUNCTION("""COMPUTED_VALUE"""),1.0)</f>
        <v>1</v>
      </c>
      <c r="W118" s="98">
        <f>IFERROR(__xludf.DUMMYFUNCTION("""COMPUTED_VALUE"""),44039.0)</f>
        <v>44039</v>
      </c>
      <c r="X118" s="96" t="str">
        <f>IFERROR(__xludf.DUMMYFUNCTION("""COMPUTED_VALUE"""),"MATIAT LOVE")</f>
        <v>MATIAT LOVE</v>
      </c>
      <c r="Y118" s="96" t="str">
        <f>IFERROR(__xludf.DUMMYFUNCTION("""COMPUTED_VALUE"""),"MATIAT LOVE1")</f>
        <v>MATIAT LOVE1</v>
      </c>
      <c r="Z118" s="96"/>
      <c r="AA118" s="96"/>
      <c r="AB118" s="96"/>
      <c r="AC118" s="96"/>
      <c r="AD118" s="96"/>
      <c r="AE118" s="96"/>
      <c r="AF118" s="96">
        <f>IFERROR(__xludf.DUMMYFUNCTION("""COMPUTED_VALUE"""),50000.0)</f>
        <v>50000</v>
      </c>
      <c r="AG118" s="99">
        <f>IFERROR(__xludf.DUMMYFUNCTION("""COMPUTED_VALUE"""),50000.0)</f>
        <v>50000</v>
      </c>
      <c r="AH118" s="96"/>
      <c r="AI118" s="96">
        <f>IFERROR(__xludf.DUMMYFUNCTION("""COMPUTED_VALUE"""),0.0)</f>
        <v>0</v>
      </c>
      <c r="AJ118" s="96">
        <f>IFERROR(__xludf.DUMMYFUNCTION("""COMPUTED_VALUE"""),0.0)</f>
        <v>0</v>
      </c>
      <c r="AK118" s="96">
        <f>IFERROR(__xludf.DUMMYFUNCTION("""COMPUTED_VALUE"""),0.0)</f>
        <v>0</v>
      </c>
      <c r="AL118" s="129">
        <f>IFERROR(__xludf.DUMMYFUNCTION("""COMPUTED_VALUE"""),0.0)</f>
        <v>0</v>
      </c>
      <c r="AM118" s="99"/>
    </row>
    <row r="119">
      <c r="V119" s="96">
        <f>IFERROR(__xludf.DUMMYFUNCTION("""COMPUTED_VALUE"""),2.0)</f>
        <v>2</v>
      </c>
      <c r="W119" s="98">
        <f>IFERROR(__xludf.DUMMYFUNCTION("""COMPUTED_VALUE"""),44039.0)</f>
        <v>44039</v>
      </c>
      <c r="X119" s="96" t="str">
        <f>IFERROR(__xludf.DUMMYFUNCTION("""COMPUTED_VALUE"""),"CONFIDENCE")</f>
        <v>CONFIDENCE</v>
      </c>
      <c r="Y119" s="96" t="str">
        <f>IFERROR(__xludf.DUMMYFUNCTION("""COMPUTED_VALUE"""),"CONFIDENCE2")</f>
        <v>CONFIDENCE2</v>
      </c>
      <c r="Z119" s="96"/>
      <c r="AA119" s="96"/>
      <c r="AB119" s="96"/>
      <c r="AC119" s="96"/>
      <c r="AD119" s="96"/>
      <c r="AE119" s="96"/>
      <c r="AF119" s="96">
        <f>IFERROR(__xludf.DUMMYFUNCTION("""COMPUTED_VALUE"""),20000.0)</f>
        <v>20000</v>
      </c>
      <c r="AG119" s="99">
        <f>IFERROR(__xludf.DUMMYFUNCTION("""COMPUTED_VALUE"""),20000.0)</f>
        <v>20000</v>
      </c>
      <c r="AH119" s="96"/>
      <c r="AI119" s="96">
        <f>IFERROR(__xludf.DUMMYFUNCTION("""COMPUTED_VALUE"""),0.0)</f>
        <v>0</v>
      </c>
      <c r="AJ119" s="96">
        <f>IFERROR(__xludf.DUMMYFUNCTION("""COMPUTED_VALUE"""),0.0)</f>
        <v>0</v>
      </c>
      <c r="AK119" s="96">
        <f>IFERROR(__xludf.DUMMYFUNCTION("""COMPUTED_VALUE"""),0.0)</f>
        <v>0</v>
      </c>
      <c r="AL119" s="129">
        <f>IFERROR(__xludf.DUMMYFUNCTION("""COMPUTED_VALUE"""),0.0)</f>
        <v>0</v>
      </c>
      <c r="AM119" s="99"/>
    </row>
    <row r="120">
      <c r="V120" s="96">
        <f>IFERROR(__xludf.DUMMYFUNCTION("""COMPUTED_VALUE"""),1.0)</f>
        <v>1</v>
      </c>
      <c r="W120" s="98">
        <f>IFERROR(__xludf.DUMMYFUNCTION("""COMPUTED_VALUE"""),44039.0)</f>
        <v>44039</v>
      </c>
      <c r="X120" s="96" t="str">
        <f>IFERROR(__xludf.DUMMYFUNCTION("""COMPUTED_VALUE"""),"ABANG. EDET")</f>
        <v>ABANG. EDET</v>
      </c>
      <c r="Y120" s="96" t="str">
        <f>IFERROR(__xludf.DUMMYFUNCTION("""COMPUTED_VALUE"""),"ABANG. EDET1")</f>
        <v>ABANG. EDET1</v>
      </c>
      <c r="Z120" s="96"/>
      <c r="AA120" s="96"/>
      <c r="AB120" s="96"/>
      <c r="AC120" s="96"/>
      <c r="AD120" s="96"/>
      <c r="AE120" s="96"/>
      <c r="AF120" s="96">
        <f>IFERROR(__xludf.DUMMYFUNCTION("""COMPUTED_VALUE"""),1000.0)</f>
        <v>1000</v>
      </c>
      <c r="AG120" s="99">
        <f>IFERROR(__xludf.DUMMYFUNCTION("""COMPUTED_VALUE"""),1000.0)</f>
        <v>1000</v>
      </c>
      <c r="AH120" s="96"/>
      <c r="AI120" s="96">
        <f>IFERROR(__xludf.DUMMYFUNCTION("""COMPUTED_VALUE"""),0.0)</f>
        <v>0</v>
      </c>
      <c r="AJ120" s="96">
        <f>IFERROR(__xludf.DUMMYFUNCTION("""COMPUTED_VALUE"""),0.0)</f>
        <v>0</v>
      </c>
      <c r="AK120" s="96">
        <f>IFERROR(__xludf.DUMMYFUNCTION("""COMPUTED_VALUE"""),0.0)</f>
        <v>0</v>
      </c>
      <c r="AL120" s="129">
        <f>IFERROR(__xludf.DUMMYFUNCTION("""COMPUTED_VALUE"""),0.0)</f>
        <v>0</v>
      </c>
      <c r="AM120" s="99"/>
    </row>
    <row r="121">
      <c r="V121" s="96">
        <f>IFERROR(__xludf.DUMMYFUNCTION("""COMPUTED_VALUE"""),8.0)</f>
        <v>8</v>
      </c>
      <c r="W121" s="98">
        <f>IFERROR(__xludf.DUMMYFUNCTION("""COMPUTED_VALUE"""),44034.0)</f>
        <v>44034</v>
      </c>
      <c r="X121" s="96" t="str">
        <f>IFERROR(__xludf.DUMMYFUNCTION("""COMPUTED_VALUE"""),"LYDIA HNSON ")</f>
        <v>LYDIA HNSON </v>
      </c>
      <c r="Y121" s="96" t="str">
        <f>IFERROR(__xludf.DUMMYFUNCTION("""COMPUTED_VALUE"""),"LYDIA HNSON 8")</f>
        <v>LYDIA HNSON 8</v>
      </c>
      <c r="Z121" s="96">
        <f>IFERROR(__xludf.DUMMYFUNCTION("""COMPUTED_VALUE"""),795.0)</f>
        <v>795</v>
      </c>
      <c r="AA121" s="96">
        <f>IFERROR(__xludf.DUMMYFUNCTION("""COMPUTED_VALUE"""),104.0)</f>
        <v>104</v>
      </c>
      <c r="AB121" s="96"/>
      <c r="AC121" s="96">
        <f>IFERROR(__xludf.DUMMYFUNCTION("""COMPUTED_VALUE"""),13.0)</f>
        <v>13</v>
      </c>
      <c r="AD121" s="96"/>
      <c r="AE121" s="96">
        <f>IFERROR(__xludf.DUMMYFUNCTION("""COMPUTED_VALUE"""),795.0)</f>
        <v>795</v>
      </c>
      <c r="AF121" s="96"/>
      <c r="AG121" s="99">
        <f>IFERROR(__xludf.DUMMYFUNCTION("""COMPUTED_VALUE"""),-621690.0)</f>
        <v>-621690</v>
      </c>
      <c r="AH121" s="96">
        <f>IFERROR(__xludf.DUMMYFUNCTION("""COMPUTED_VALUE"""),8.0)</f>
        <v>8</v>
      </c>
      <c r="AI121" s="96">
        <f>IFERROR(__xludf.DUMMYFUNCTION("""COMPUTED_VALUE"""),0.0)</f>
        <v>0</v>
      </c>
      <c r="AJ121" s="96">
        <f>IFERROR(__xludf.DUMMYFUNCTION("""COMPUTED_VALUE"""),12.0)</f>
        <v>12</v>
      </c>
      <c r="AK121" s="96">
        <f>IFERROR(__xludf.DUMMYFUNCTION("""COMPUTED_VALUE"""),26.0)</f>
        <v>26</v>
      </c>
      <c r="AL121" s="129">
        <f>IFERROR(__xludf.DUMMYFUNCTION("""COMPUTED_VALUE"""),782.0)</f>
        <v>782</v>
      </c>
      <c r="AM121" s="99">
        <f>IFERROR(__xludf.DUMMYFUNCTION("""COMPUTED_VALUE"""),621690.0)</f>
        <v>621690</v>
      </c>
    </row>
    <row r="122">
      <c r="V122" s="96">
        <f>IFERROR(__xludf.DUMMYFUNCTION("""COMPUTED_VALUE"""),9.0)</f>
        <v>9</v>
      </c>
      <c r="W122" s="98">
        <f>IFERROR(__xludf.DUMMYFUNCTION("""COMPUTED_VALUE"""),44039.0)</f>
        <v>44039</v>
      </c>
      <c r="X122" s="96" t="str">
        <f>IFERROR(__xludf.DUMMYFUNCTION("""COMPUTED_VALUE"""),"LYDIA HNSON ")</f>
        <v>LYDIA HNSON </v>
      </c>
      <c r="Y122" s="96" t="str">
        <f>IFERROR(__xludf.DUMMYFUNCTION("""COMPUTED_VALUE"""),"LYDIA HNSON 9")</f>
        <v>LYDIA HNSON 9</v>
      </c>
      <c r="Z122" s="96">
        <f>IFERROR(__xludf.DUMMYFUNCTION("""COMPUTED_VALUE"""),982.0)</f>
        <v>982</v>
      </c>
      <c r="AA122" s="96">
        <f>IFERROR(__xludf.DUMMYFUNCTION("""COMPUTED_VALUE"""),128.0)</f>
        <v>128</v>
      </c>
      <c r="AB122" s="96"/>
      <c r="AC122" s="96">
        <f>IFERROR(__xludf.DUMMYFUNCTION("""COMPUTED_VALUE"""),16.0)</f>
        <v>16</v>
      </c>
      <c r="AD122" s="96"/>
      <c r="AE122" s="96">
        <f>IFERROR(__xludf.DUMMYFUNCTION("""COMPUTED_VALUE"""),795.0)</f>
        <v>795</v>
      </c>
      <c r="AF122" s="96"/>
      <c r="AG122" s="99">
        <f>IFERROR(__xludf.DUMMYFUNCTION("""COMPUTED_VALUE"""),-767970.0)</f>
        <v>-767970</v>
      </c>
      <c r="AH122" s="96">
        <f>IFERROR(__xludf.DUMMYFUNCTION("""COMPUTED_VALUE"""),8.0)</f>
        <v>8</v>
      </c>
      <c r="AI122" s="96">
        <f>IFERROR(__xludf.DUMMYFUNCTION("""COMPUTED_VALUE"""),0.0)</f>
        <v>0</v>
      </c>
      <c r="AJ122" s="96">
        <f>IFERROR(__xludf.DUMMYFUNCTION("""COMPUTED_VALUE"""),15.0)</f>
        <v>15</v>
      </c>
      <c r="AK122" s="96">
        <f>IFERROR(__xludf.DUMMYFUNCTION("""COMPUTED_VALUE"""),21.0)</f>
        <v>21</v>
      </c>
      <c r="AL122" s="129">
        <f>IFERROR(__xludf.DUMMYFUNCTION("""COMPUTED_VALUE"""),966.0)</f>
        <v>966</v>
      </c>
      <c r="AM122" s="99">
        <f>IFERROR(__xludf.DUMMYFUNCTION("""COMPUTED_VALUE"""),767970.0)</f>
        <v>767970</v>
      </c>
    </row>
    <row r="123">
      <c r="V123" s="96">
        <f>IFERROR(__xludf.DUMMYFUNCTION("""COMPUTED_VALUE"""),10.0)</f>
        <v>10</v>
      </c>
      <c r="W123" s="98">
        <f>IFERROR(__xludf.DUMMYFUNCTION("""COMPUTED_VALUE"""),44040.0)</f>
        <v>44040</v>
      </c>
      <c r="X123" s="96" t="str">
        <f>IFERROR(__xludf.DUMMYFUNCTION("""COMPUTED_VALUE"""),"LYDIA HNSON ")</f>
        <v>LYDIA HNSON </v>
      </c>
      <c r="Y123" s="96" t="str">
        <f>IFERROR(__xludf.DUMMYFUNCTION("""COMPUTED_VALUE"""),"LYDIA HNSON 10")</f>
        <v>LYDIA HNSON 10</v>
      </c>
      <c r="Z123" s="96">
        <f>IFERROR(__xludf.DUMMYFUNCTION("""COMPUTED_VALUE"""),272.0)</f>
        <v>272</v>
      </c>
      <c r="AA123" s="96">
        <f>IFERROR(__xludf.DUMMYFUNCTION("""COMPUTED_VALUE"""),32.0)</f>
        <v>32</v>
      </c>
      <c r="AB123" s="96"/>
      <c r="AC123" s="96">
        <f>IFERROR(__xludf.DUMMYFUNCTION("""COMPUTED_VALUE"""),4.0)</f>
        <v>4</v>
      </c>
      <c r="AD123" s="96"/>
      <c r="AE123" s="96">
        <f>IFERROR(__xludf.DUMMYFUNCTION("""COMPUTED_VALUE"""),795.0)</f>
        <v>795</v>
      </c>
      <c r="AF123" s="96"/>
      <c r="AG123" s="99">
        <f>IFERROR(__xludf.DUMMYFUNCTION("""COMPUTED_VALUE"""),-213060.0)</f>
        <v>-213060</v>
      </c>
      <c r="AH123" s="96">
        <f>IFERROR(__xludf.DUMMYFUNCTION("""COMPUTED_VALUE"""),8.0)</f>
        <v>8</v>
      </c>
      <c r="AI123" s="96">
        <f>IFERROR(__xludf.DUMMYFUNCTION("""COMPUTED_VALUE"""),0.0)</f>
        <v>0</v>
      </c>
      <c r="AJ123" s="96">
        <f>IFERROR(__xludf.DUMMYFUNCTION("""COMPUTED_VALUE"""),4.0)</f>
        <v>4</v>
      </c>
      <c r="AK123" s="96">
        <f>IFERROR(__xludf.DUMMYFUNCTION("""COMPUTED_VALUE"""),16.0)</f>
        <v>16</v>
      </c>
      <c r="AL123" s="129">
        <f>IFERROR(__xludf.DUMMYFUNCTION("""COMPUTED_VALUE"""),268.0)</f>
        <v>268</v>
      </c>
      <c r="AM123" s="99">
        <f>IFERROR(__xludf.DUMMYFUNCTION("""COMPUTED_VALUE"""),213060.0)</f>
        <v>213060</v>
      </c>
    </row>
    <row r="124">
      <c r="V124" s="96">
        <f>IFERROR(__xludf.DUMMYFUNCTION("""COMPUTED_VALUE"""),3.0)</f>
        <v>3</v>
      </c>
      <c r="W124" s="98">
        <f>IFERROR(__xludf.DUMMYFUNCTION("""COMPUTED_VALUE"""),44041.0)</f>
        <v>44041</v>
      </c>
      <c r="X124" s="96" t="str">
        <f>IFERROR(__xludf.DUMMYFUNCTION("""COMPUTED_VALUE"""),"EDWARD OKO")</f>
        <v>EDWARD OKO</v>
      </c>
      <c r="Y124" s="96" t="str">
        <f>IFERROR(__xludf.DUMMYFUNCTION("""COMPUTED_VALUE"""),"EDWARD OKO3")</f>
        <v>EDWARD OKO3</v>
      </c>
      <c r="Z124" s="96">
        <f>IFERROR(__xludf.DUMMYFUNCTION("""COMPUTED_VALUE"""),985.0)</f>
        <v>985</v>
      </c>
      <c r="AA124" s="96">
        <f>IFERROR(__xludf.DUMMYFUNCTION("""COMPUTED_VALUE"""),122.5)</f>
        <v>122.5</v>
      </c>
      <c r="AB124" s="96"/>
      <c r="AC124" s="96">
        <f>IFERROR(__xludf.DUMMYFUNCTION("""COMPUTED_VALUE"""),15.0)</f>
        <v>15</v>
      </c>
      <c r="AD124" s="96"/>
      <c r="AE124" s="96">
        <f>IFERROR(__xludf.DUMMYFUNCTION("""COMPUTED_VALUE"""),795.87)</f>
        <v>795.87</v>
      </c>
      <c r="AF124" s="96"/>
      <c r="AG124" s="99">
        <f>IFERROR(__xludf.DUMMYFUNCTION("""COMPUTED_VALUE"""),-770400.0)</f>
        <v>-770400</v>
      </c>
      <c r="AH124" s="96">
        <f>IFERROR(__xludf.DUMMYFUNCTION("""COMPUTED_VALUE"""),8.17)</f>
        <v>8.17</v>
      </c>
      <c r="AI124" s="96">
        <f>IFERROR(__xludf.DUMMYFUNCTION("""COMPUTED_VALUE"""),2.0)</f>
        <v>2</v>
      </c>
      <c r="AJ124" s="96">
        <f>IFERROR(__xludf.DUMMYFUNCTION("""COMPUTED_VALUE"""),15.0)</f>
        <v>15</v>
      </c>
      <c r="AK124" s="96">
        <f>IFERROR(__xludf.DUMMYFUNCTION("""COMPUTED_VALUE"""),23.0)</f>
        <v>23</v>
      </c>
      <c r="AL124" s="129">
        <f>IFERROR(__xludf.DUMMYFUNCTION("""COMPUTED_VALUE"""),968.0)</f>
        <v>968</v>
      </c>
      <c r="AM124" s="99">
        <f>IFERROR(__xludf.DUMMYFUNCTION("""COMPUTED_VALUE"""),770400.0)</f>
        <v>770400</v>
      </c>
    </row>
    <row r="125">
      <c r="V125" s="96">
        <f>IFERROR(__xludf.DUMMYFUNCTION("""COMPUTED_VALUE"""),2.0)</f>
        <v>2</v>
      </c>
      <c r="W125" s="98">
        <f>IFERROR(__xludf.DUMMYFUNCTION("""COMPUTED_VALUE"""),44030.0)</f>
        <v>44030</v>
      </c>
      <c r="X125" s="96" t="str">
        <f>IFERROR(__xludf.DUMMYFUNCTION("""COMPUTED_VALUE"""),"EDDY OKO")</f>
        <v>EDDY OKO</v>
      </c>
      <c r="Y125" s="96" t="str">
        <f>IFERROR(__xludf.DUMMYFUNCTION("""COMPUTED_VALUE"""),"EDDY OKO2")</f>
        <v>EDDY OKO2</v>
      </c>
      <c r="Z125" s="96"/>
      <c r="AA125" s="96"/>
      <c r="AB125" s="96"/>
      <c r="AC125" s="96"/>
      <c r="AD125" s="96"/>
      <c r="AE125" s="96"/>
      <c r="AF125" s="96">
        <f>IFERROR(__xludf.DUMMYFUNCTION("""COMPUTED_VALUE"""),-200000.0)</f>
        <v>-200000</v>
      </c>
      <c r="AG125" s="99">
        <f>IFERROR(__xludf.DUMMYFUNCTION("""COMPUTED_VALUE"""),-200000.0)</f>
        <v>-200000</v>
      </c>
      <c r="AH125" s="96"/>
      <c r="AI125" s="96">
        <f>IFERROR(__xludf.DUMMYFUNCTION("""COMPUTED_VALUE"""),0.0)</f>
        <v>0</v>
      </c>
      <c r="AJ125" s="96">
        <f>IFERROR(__xludf.DUMMYFUNCTION("""COMPUTED_VALUE"""),0.0)</f>
        <v>0</v>
      </c>
      <c r="AK125" s="96">
        <f>IFERROR(__xludf.DUMMYFUNCTION("""COMPUTED_VALUE"""),0.0)</f>
        <v>0</v>
      </c>
      <c r="AL125" s="129">
        <f>IFERROR(__xludf.DUMMYFUNCTION("""COMPUTED_VALUE"""),0.0)</f>
        <v>0</v>
      </c>
      <c r="AM125" s="99"/>
    </row>
    <row r="126">
      <c r="V126" s="96">
        <f>IFERROR(__xludf.DUMMYFUNCTION("""COMPUTED_VALUE"""),4.0)</f>
        <v>4</v>
      </c>
      <c r="W126" s="98">
        <f>IFERROR(__xludf.DUMMYFUNCTION("""COMPUTED_VALUE"""),44030.0)</f>
        <v>44030</v>
      </c>
      <c r="X126" s="96" t="str">
        <f>IFERROR(__xludf.DUMMYFUNCTION("""COMPUTED_VALUE"""),"EDWARD OKO")</f>
        <v>EDWARD OKO</v>
      </c>
      <c r="Y126" s="96" t="str">
        <f>IFERROR(__xludf.DUMMYFUNCTION("""COMPUTED_VALUE"""),"EDWARD OKO4")</f>
        <v>EDWARD OKO4</v>
      </c>
      <c r="Z126" s="96"/>
      <c r="AA126" s="96"/>
      <c r="AB126" s="96"/>
      <c r="AC126" s="96"/>
      <c r="AD126" s="96"/>
      <c r="AE126" s="96"/>
      <c r="AF126" s="96">
        <f>IFERROR(__xludf.DUMMYFUNCTION("""COMPUTED_VALUE"""),200000.0)</f>
        <v>200000</v>
      </c>
      <c r="AG126" s="99">
        <f>IFERROR(__xludf.DUMMYFUNCTION("""COMPUTED_VALUE"""),200000.0)</f>
        <v>200000</v>
      </c>
      <c r="AH126" s="96"/>
      <c r="AI126" s="96">
        <f>IFERROR(__xludf.DUMMYFUNCTION("""COMPUTED_VALUE"""),0.0)</f>
        <v>0</v>
      </c>
      <c r="AJ126" s="96">
        <f>IFERROR(__xludf.DUMMYFUNCTION("""COMPUTED_VALUE"""),0.0)</f>
        <v>0</v>
      </c>
      <c r="AK126" s="96">
        <f>IFERROR(__xludf.DUMMYFUNCTION("""COMPUTED_VALUE"""),0.0)</f>
        <v>0</v>
      </c>
      <c r="AL126" s="129">
        <f>IFERROR(__xludf.DUMMYFUNCTION("""COMPUTED_VALUE"""),0.0)</f>
        <v>0</v>
      </c>
      <c r="AM126" s="99"/>
    </row>
    <row r="127">
      <c r="V127" s="96">
        <f>IFERROR(__xludf.DUMMYFUNCTION("""COMPUTED_VALUE"""),4.0)</f>
        <v>4</v>
      </c>
      <c r="W127" s="98">
        <f>IFERROR(__xludf.DUMMYFUNCTION("""COMPUTED_VALUE"""),44040.0)</f>
        <v>44040</v>
      </c>
      <c r="X127" s="96" t="str">
        <f>IFERROR(__xludf.DUMMYFUNCTION("""COMPUTED_VALUE"""),"ETUK EFFI")</f>
        <v>ETUK EFFI</v>
      </c>
      <c r="Y127" s="96" t="str">
        <f>IFERROR(__xludf.DUMMYFUNCTION("""COMPUTED_VALUE"""),"ETUK EFFI4")</f>
        <v>ETUK EFFI4</v>
      </c>
      <c r="Z127" s="96"/>
      <c r="AA127" s="96"/>
      <c r="AB127" s="96"/>
      <c r="AC127" s="96"/>
      <c r="AD127" s="96"/>
      <c r="AE127" s="96"/>
      <c r="AF127" s="96">
        <f>IFERROR(__xludf.DUMMYFUNCTION("""COMPUTED_VALUE"""),1000000.0)</f>
        <v>1000000</v>
      </c>
      <c r="AG127" s="99">
        <f>IFERROR(__xludf.DUMMYFUNCTION("""COMPUTED_VALUE"""),1000000.0)</f>
        <v>1000000</v>
      </c>
      <c r="AH127" s="96"/>
      <c r="AI127" s="96">
        <f>IFERROR(__xludf.DUMMYFUNCTION("""COMPUTED_VALUE"""),0.0)</f>
        <v>0</v>
      </c>
      <c r="AJ127" s="96">
        <f>IFERROR(__xludf.DUMMYFUNCTION("""COMPUTED_VALUE"""),0.0)</f>
        <v>0</v>
      </c>
      <c r="AK127" s="96">
        <f>IFERROR(__xludf.DUMMYFUNCTION("""COMPUTED_VALUE"""),0.0)</f>
        <v>0</v>
      </c>
      <c r="AL127" s="129">
        <f>IFERROR(__xludf.DUMMYFUNCTION("""COMPUTED_VALUE"""),0.0)</f>
        <v>0</v>
      </c>
      <c r="AM127" s="99"/>
    </row>
    <row r="128">
      <c r="V128" s="96">
        <f>IFERROR(__xludf.DUMMYFUNCTION("""COMPUTED_VALUE"""),8.0)</f>
        <v>8</v>
      </c>
      <c r="W128" s="98">
        <f>IFERROR(__xludf.DUMMYFUNCTION("""COMPUTED_VALUE"""),44040.0)</f>
        <v>44040</v>
      </c>
      <c r="X128" s="96" t="str">
        <f>IFERROR(__xludf.DUMMYFUNCTION("""COMPUTED_VALUE"""),"LIVINUS")</f>
        <v>LIVINUS</v>
      </c>
      <c r="Y128" s="96" t="str">
        <f>IFERROR(__xludf.DUMMYFUNCTION("""COMPUTED_VALUE"""),"LIVINUS8")</f>
        <v>LIVINUS8</v>
      </c>
      <c r="Z128" s="96"/>
      <c r="AA128" s="96"/>
      <c r="AB128" s="96"/>
      <c r="AC128" s="96"/>
      <c r="AD128" s="96"/>
      <c r="AE128" s="96"/>
      <c r="AF128" s="96">
        <f>IFERROR(__xludf.DUMMYFUNCTION("""COMPUTED_VALUE"""),1440000.0)</f>
        <v>1440000</v>
      </c>
      <c r="AG128" s="99">
        <f>IFERROR(__xludf.DUMMYFUNCTION("""COMPUTED_VALUE"""),1440000.0)</f>
        <v>1440000</v>
      </c>
      <c r="AH128" s="96"/>
      <c r="AI128" s="96">
        <f>IFERROR(__xludf.DUMMYFUNCTION("""COMPUTED_VALUE"""),0.0)</f>
        <v>0</v>
      </c>
      <c r="AJ128" s="96">
        <f>IFERROR(__xludf.DUMMYFUNCTION("""COMPUTED_VALUE"""),0.0)</f>
        <v>0</v>
      </c>
      <c r="AK128" s="96">
        <f>IFERROR(__xludf.DUMMYFUNCTION("""COMPUTED_VALUE"""),0.0)</f>
        <v>0</v>
      </c>
      <c r="AL128" s="129">
        <f>IFERROR(__xludf.DUMMYFUNCTION("""COMPUTED_VALUE"""),0.0)</f>
        <v>0</v>
      </c>
      <c r="AM128" s="99"/>
    </row>
    <row r="129">
      <c r="V129" s="96">
        <f>IFERROR(__xludf.DUMMYFUNCTION("""COMPUTED_VALUE"""),11.0)</f>
        <v>11</v>
      </c>
      <c r="W129" s="98">
        <f>IFERROR(__xludf.DUMMYFUNCTION("""COMPUTED_VALUE"""),44040.0)</f>
        <v>44040</v>
      </c>
      <c r="X129" s="96" t="str">
        <f>IFERROR(__xludf.DUMMYFUNCTION("""COMPUTED_VALUE"""),"LYDIA HNSON ")</f>
        <v>LYDIA HNSON </v>
      </c>
      <c r="Y129" s="96" t="str">
        <f>IFERROR(__xludf.DUMMYFUNCTION("""COMPUTED_VALUE"""),"LYDIA HNSON 11")</f>
        <v>LYDIA HNSON 11</v>
      </c>
      <c r="Z129" s="96"/>
      <c r="AA129" s="96"/>
      <c r="AB129" s="96"/>
      <c r="AC129" s="96"/>
      <c r="AD129" s="96"/>
      <c r="AE129" s="96"/>
      <c r="AF129" s="96">
        <f>IFERROR(__xludf.DUMMYFUNCTION("""COMPUTED_VALUE"""),1000000.0)</f>
        <v>1000000</v>
      </c>
      <c r="AG129" s="99">
        <f>IFERROR(__xludf.DUMMYFUNCTION("""COMPUTED_VALUE"""),1000000.0)</f>
        <v>1000000</v>
      </c>
      <c r="AH129" s="96"/>
      <c r="AI129" s="96">
        <f>IFERROR(__xludf.DUMMYFUNCTION("""COMPUTED_VALUE"""),0.0)</f>
        <v>0</v>
      </c>
      <c r="AJ129" s="96">
        <f>IFERROR(__xludf.DUMMYFUNCTION("""COMPUTED_VALUE"""),0.0)</f>
        <v>0</v>
      </c>
      <c r="AK129" s="96">
        <f>IFERROR(__xludf.DUMMYFUNCTION("""COMPUTED_VALUE"""),0.0)</f>
        <v>0</v>
      </c>
      <c r="AL129" s="129">
        <f>IFERROR(__xludf.DUMMYFUNCTION("""COMPUTED_VALUE"""),0.0)</f>
        <v>0</v>
      </c>
      <c r="AM129" s="99"/>
    </row>
    <row r="130">
      <c r="V130" s="96">
        <f>IFERROR(__xludf.DUMMYFUNCTION("""COMPUTED_VALUE"""),1.0)</f>
        <v>1</v>
      </c>
      <c r="W130" s="98">
        <f>IFERROR(__xludf.DUMMYFUNCTION("""COMPUTED_VALUE"""),44040.0)</f>
        <v>44040</v>
      </c>
      <c r="X130" s="96" t="str">
        <f>IFERROR(__xludf.DUMMYFUNCTION("""COMPUTED_VALUE"""),"OBI BESONG")</f>
        <v>OBI BESONG</v>
      </c>
      <c r="Y130" s="96" t="str">
        <f>IFERROR(__xludf.DUMMYFUNCTION("""COMPUTED_VALUE"""),"OBI BESONG1")</f>
        <v>OBI BESONG1</v>
      </c>
      <c r="Z130" s="96"/>
      <c r="AA130" s="96"/>
      <c r="AB130" s="96"/>
      <c r="AC130" s="96"/>
      <c r="AD130" s="96"/>
      <c r="AE130" s="96"/>
      <c r="AF130" s="96">
        <f>IFERROR(__xludf.DUMMYFUNCTION("""COMPUTED_VALUE"""),500000.0)</f>
        <v>500000</v>
      </c>
      <c r="AG130" s="99">
        <f>IFERROR(__xludf.DUMMYFUNCTION("""COMPUTED_VALUE"""),500000.0)</f>
        <v>500000</v>
      </c>
      <c r="AH130" s="96"/>
      <c r="AI130" s="96">
        <f>IFERROR(__xludf.DUMMYFUNCTION("""COMPUTED_VALUE"""),0.0)</f>
        <v>0</v>
      </c>
      <c r="AJ130" s="96">
        <f>IFERROR(__xludf.DUMMYFUNCTION("""COMPUTED_VALUE"""),0.0)</f>
        <v>0</v>
      </c>
      <c r="AK130" s="96">
        <f>IFERROR(__xludf.DUMMYFUNCTION("""COMPUTED_VALUE"""),0.0)</f>
        <v>0</v>
      </c>
      <c r="AL130" s="129">
        <f>IFERROR(__xludf.DUMMYFUNCTION("""COMPUTED_VALUE"""),0.0)</f>
        <v>0</v>
      </c>
      <c r="AM130" s="99"/>
    </row>
    <row r="131">
      <c r="V131" s="96">
        <f>IFERROR(__xludf.DUMMYFUNCTION("""COMPUTED_VALUE"""),3.0)</f>
        <v>3</v>
      </c>
      <c r="W131" s="98">
        <f>IFERROR(__xludf.DUMMYFUNCTION("""COMPUTED_VALUE"""),44040.0)</f>
        <v>44040</v>
      </c>
      <c r="X131" s="96" t="str">
        <f>IFERROR(__xludf.DUMMYFUNCTION("""COMPUTED_VALUE"""),"KARIEN EBAN")</f>
        <v>KARIEN EBAN</v>
      </c>
      <c r="Y131" s="96" t="str">
        <f>IFERROR(__xludf.DUMMYFUNCTION("""COMPUTED_VALUE"""),"KARIEN EBAN3")</f>
        <v>KARIEN EBAN3</v>
      </c>
      <c r="Z131" s="96"/>
      <c r="AA131" s="96"/>
      <c r="AB131" s="96"/>
      <c r="AC131" s="96"/>
      <c r="AD131" s="96"/>
      <c r="AE131" s="96"/>
      <c r="AF131" s="96">
        <f>IFERROR(__xludf.DUMMYFUNCTION("""COMPUTED_VALUE"""),500000.0)</f>
        <v>500000</v>
      </c>
      <c r="AG131" s="99">
        <f>IFERROR(__xludf.DUMMYFUNCTION("""COMPUTED_VALUE"""),500000.0)</f>
        <v>500000</v>
      </c>
      <c r="AH131" s="96"/>
      <c r="AI131" s="96">
        <f>IFERROR(__xludf.DUMMYFUNCTION("""COMPUTED_VALUE"""),0.0)</f>
        <v>0</v>
      </c>
      <c r="AJ131" s="96">
        <f>IFERROR(__xludf.DUMMYFUNCTION("""COMPUTED_VALUE"""),0.0)</f>
        <v>0</v>
      </c>
      <c r="AK131" s="96">
        <f>IFERROR(__xludf.DUMMYFUNCTION("""COMPUTED_VALUE"""),0.0)</f>
        <v>0</v>
      </c>
      <c r="AL131" s="129">
        <f>IFERROR(__xludf.DUMMYFUNCTION("""COMPUTED_VALUE"""),0.0)</f>
        <v>0</v>
      </c>
      <c r="AM131" s="99"/>
    </row>
    <row r="132">
      <c r="V132" s="96">
        <f>IFERROR(__xludf.DUMMYFUNCTION("""COMPUTED_VALUE"""),9.0)</f>
        <v>9</v>
      </c>
      <c r="W132" s="98">
        <f>IFERROR(__xludf.DUMMYFUNCTION("""COMPUTED_VALUE"""),44040.0)</f>
        <v>44040</v>
      </c>
      <c r="X132" s="96" t="str">
        <f>IFERROR(__xludf.DUMMYFUNCTION("""COMPUTED_VALUE"""),"LIVINUS")</f>
        <v>LIVINUS</v>
      </c>
      <c r="Y132" s="96" t="str">
        <f>IFERROR(__xludf.DUMMYFUNCTION("""COMPUTED_VALUE"""),"LIVINUS9")</f>
        <v>LIVINUS9</v>
      </c>
      <c r="Z132" s="96"/>
      <c r="AA132" s="96"/>
      <c r="AB132" s="96"/>
      <c r="AC132" s="96"/>
      <c r="AD132" s="96"/>
      <c r="AE132" s="96"/>
      <c r="AF132" s="96">
        <f>IFERROR(__xludf.DUMMYFUNCTION("""COMPUTED_VALUE"""),75000.0)</f>
        <v>75000</v>
      </c>
      <c r="AG132" s="99">
        <f>IFERROR(__xludf.DUMMYFUNCTION("""COMPUTED_VALUE"""),75000.0)</f>
        <v>75000</v>
      </c>
      <c r="AH132" s="96"/>
      <c r="AI132" s="96">
        <f>IFERROR(__xludf.DUMMYFUNCTION("""COMPUTED_VALUE"""),0.0)</f>
        <v>0</v>
      </c>
      <c r="AJ132" s="96">
        <f>IFERROR(__xludf.DUMMYFUNCTION("""COMPUTED_VALUE"""),0.0)</f>
        <v>0</v>
      </c>
      <c r="AK132" s="96">
        <f>IFERROR(__xludf.DUMMYFUNCTION("""COMPUTED_VALUE"""),0.0)</f>
        <v>0</v>
      </c>
      <c r="AL132" s="129">
        <f>IFERROR(__xludf.DUMMYFUNCTION("""COMPUTED_VALUE"""),0.0)</f>
        <v>0</v>
      </c>
      <c r="AM132" s="99"/>
    </row>
    <row r="133">
      <c r="V133" s="96">
        <f>IFERROR(__xludf.DUMMYFUNCTION("""COMPUTED_VALUE"""),5.0)</f>
        <v>5</v>
      </c>
      <c r="W133" s="98">
        <f>IFERROR(__xludf.DUMMYFUNCTION("""COMPUTED_VALUE"""),44041.0)</f>
        <v>44041</v>
      </c>
      <c r="X133" s="96" t="str">
        <f>IFERROR(__xludf.DUMMYFUNCTION("""COMPUTED_VALUE"""),"EDWARD OKO")</f>
        <v>EDWARD OKO</v>
      </c>
      <c r="Y133" s="96" t="str">
        <f>IFERROR(__xludf.DUMMYFUNCTION("""COMPUTED_VALUE"""),"EDWARD OKO5")</f>
        <v>EDWARD OKO5</v>
      </c>
      <c r="Z133" s="96"/>
      <c r="AA133" s="96"/>
      <c r="AB133" s="96"/>
      <c r="AC133" s="96"/>
      <c r="AD133" s="96"/>
      <c r="AE133" s="96"/>
      <c r="AF133" s="96">
        <f>IFERROR(__xludf.DUMMYFUNCTION("""COMPUTED_VALUE"""),700000.0)</f>
        <v>700000</v>
      </c>
      <c r="AG133" s="99">
        <f>IFERROR(__xludf.DUMMYFUNCTION("""COMPUTED_VALUE"""),700000.0)</f>
        <v>700000</v>
      </c>
      <c r="AH133" s="96"/>
      <c r="AI133" s="96">
        <f>IFERROR(__xludf.DUMMYFUNCTION("""COMPUTED_VALUE"""),0.0)</f>
        <v>0</v>
      </c>
      <c r="AJ133" s="96">
        <f>IFERROR(__xludf.DUMMYFUNCTION("""COMPUTED_VALUE"""),0.0)</f>
        <v>0</v>
      </c>
      <c r="AK133" s="96">
        <f>IFERROR(__xludf.DUMMYFUNCTION("""COMPUTED_VALUE"""),0.0)</f>
        <v>0</v>
      </c>
      <c r="AL133" s="129">
        <f>IFERROR(__xludf.DUMMYFUNCTION("""COMPUTED_VALUE"""),0.0)</f>
        <v>0</v>
      </c>
      <c r="AM133" s="99"/>
    </row>
    <row r="134">
      <c r="V134" s="96">
        <f>IFERROR(__xludf.DUMMYFUNCTION("""COMPUTED_VALUE"""),1.0)</f>
        <v>1</v>
      </c>
      <c r="W134" s="98">
        <f>IFERROR(__xludf.DUMMYFUNCTION("""COMPUTED_VALUE"""),44041.0)</f>
        <v>44041</v>
      </c>
      <c r="X134" s="96" t="str">
        <f>IFERROR(__xludf.DUMMYFUNCTION("""COMPUTED_VALUE"""),"CHINWE CHIDI")</f>
        <v>CHINWE CHIDI</v>
      </c>
      <c r="Y134" s="96" t="str">
        <f>IFERROR(__xludf.DUMMYFUNCTION("""COMPUTED_VALUE"""),"CHINWE CHIDI1")</f>
        <v>CHINWE CHIDI1</v>
      </c>
      <c r="Z134" s="96"/>
      <c r="AA134" s="96"/>
      <c r="AB134" s="96"/>
      <c r="AC134" s="96"/>
      <c r="AD134" s="96"/>
      <c r="AE134" s="96"/>
      <c r="AF134" s="96">
        <f>IFERROR(__xludf.DUMMYFUNCTION("""COMPUTED_VALUE"""),100000.0)</f>
        <v>100000</v>
      </c>
      <c r="AG134" s="99">
        <f>IFERROR(__xludf.DUMMYFUNCTION("""COMPUTED_VALUE"""),100000.0)</f>
        <v>100000</v>
      </c>
      <c r="AH134" s="96"/>
      <c r="AI134" s="96">
        <f>IFERROR(__xludf.DUMMYFUNCTION("""COMPUTED_VALUE"""),0.0)</f>
        <v>0</v>
      </c>
      <c r="AJ134" s="96">
        <f>IFERROR(__xludf.DUMMYFUNCTION("""COMPUTED_VALUE"""),0.0)</f>
        <v>0</v>
      </c>
      <c r="AK134" s="96">
        <f>IFERROR(__xludf.DUMMYFUNCTION("""COMPUTED_VALUE"""),0.0)</f>
        <v>0</v>
      </c>
      <c r="AL134" s="129">
        <f>IFERROR(__xludf.DUMMYFUNCTION("""COMPUTED_VALUE"""),0.0)</f>
        <v>0</v>
      </c>
      <c r="AM134" s="99"/>
    </row>
    <row r="135">
      <c r="V135" s="96">
        <f>IFERROR(__xludf.DUMMYFUNCTION("""COMPUTED_VALUE"""),4.0)</f>
        <v>4</v>
      </c>
      <c r="W135" s="98">
        <f>IFERROR(__xludf.DUMMYFUNCTION("""COMPUTED_VALUE"""),44041.0)</f>
        <v>44041</v>
      </c>
      <c r="X135" s="96" t="str">
        <f>IFERROR(__xludf.DUMMYFUNCTION("""COMPUTED_VALUE"""),"JAMES AKAN")</f>
        <v>JAMES AKAN</v>
      </c>
      <c r="Y135" s="96" t="str">
        <f>IFERROR(__xludf.DUMMYFUNCTION("""COMPUTED_VALUE"""),"JAMES AKAN4")</f>
        <v>JAMES AKAN4</v>
      </c>
      <c r="Z135" s="96"/>
      <c r="AA135" s="96"/>
      <c r="AB135" s="96"/>
      <c r="AC135" s="96"/>
      <c r="AD135" s="96"/>
      <c r="AE135" s="96"/>
      <c r="AF135" s="96">
        <f>IFERROR(__xludf.DUMMYFUNCTION("""COMPUTED_VALUE"""),359600.0)</f>
        <v>359600</v>
      </c>
      <c r="AG135" s="99">
        <f>IFERROR(__xludf.DUMMYFUNCTION("""COMPUTED_VALUE"""),359600.0)</f>
        <v>359600</v>
      </c>
      <c r="AH135" s="96"/>
      <c r="AI135" s="96">
        <f>IFERROR(__xludf.DUMMYFUNCTION("""COMPUTED_VALUE"""),0.0)</f>
        <v>0</v>
      </c>
      <c r="AJ135" s="96">
        <f>IFERROR(__xludf.DUMMYFUNCTION("""COMPUTED_VALUE"""),0.0)</f>
        <v>0</v>
      </c>
      <c r="AK135" s="96">
        <f>IFERROR(__xludf.DUMMYFUNCTION("""COMPUTED_VALUE"""),0.0)</f>
        <v>0</v>
      </c>
      <c r="AL135" s="129">
        <f>IFERROR(__xludf.DUMMYFUNCTION("""COMPUTED_VALUE"""),0.0)</f>
        <v>0</v>
      </c>
      <c r="AM135" s="99"/>
    </row>
    <row r="136">
      <c r="V136" s="96">
        <f>IFERROR(__xludf.DUMMYFUNCTION("""COMPUTED_VALUE"""),6.0)</f>
        <v>6</v>
      </c>
      <c r="W136" s="98">
        <f>IFERROR(__xludf.DUMMYFUNCTION("""COMPUTED_VALUE"""),44041.0)</f>
        <v>44041</v>
      </c>
      <c r="X136" s="96" t="str">
        <f>IFERROR(__xludf.DUMMYFUNCTION("""COMPUTED_VALUE"""),"NDOMA BODE I.D")</f>
        <v>NDOMA BODE I.D</v>
      </c>
      <c r="Y136" s="96" t="str">
        <f>IFERROR(__xludf.DUMMYFUNCTION("""COMPUTED_VALUE"""),"NDOMA BODE I.D6")</f>
        <v>NDOMA BODE I.D6</v>
      </c>
      <c r="Z136" s="96"/>
      <c r="AA136" s="96"/>
      <c r="AB136" s="96"/>
      <c r="AC136" s="96"/>
      <c r="AD136" s="96"/>
      <c r="AE136" s="96"/>
      <c r="AF136" s="96">
        <f>IFERROR(__xludf.DUMMYFUNCTION("""COMPUTED_VALUE"""),500000.0)</f>
        <v>500000</v>
      </c>
      <c r="AG136" s="99">
        <f>IFERROR(__xludf.DUMMYFUNCTION("""COMPUTED_VALUE"""),500000.0)</f>
        <v>500000</v>
      </c>
      <c r="AH136" s="96"/>
      <c r="AI136" s="96">
        <f>IFERROR(__xludf.DUMMYFUNCTION("""COMPUTED_VALUE"""),0.0)</f>
        <v>0</v>
      </c>
      <c r="AJ136" s="96">
        <f>IFERROR(__xludf.DUMMYFUNCTION("""COMPUTED_VALUE"""),0.0)</f>
        <v>0</v>
      </c>
      <c r="AK136" s="96">
        <f>IFERROR(__xludf.DUMMYFUNCTION("""COMPUTED_VALUE"""),0.0)</f>
        <v>0</v>
      </c>
      <c r="AL136" s="129">
        <f>IFERROR(__xludf.DUMMYFUNCTION("""COMPUTED_VALUE"""),0.0)</f>
        <v>0</v>
      </c>
      <c r="AM136" s="99"/>
    </row>
    <row r="137">
      <c r="V137" s="96">
        <f>IFERROR(__xludf.DUMMYFUNCTION("""COMPUTED_VALUE"""),1.0)</f>
        <v>1</v>
      </c>
      <c r="W137" s="98">
        <f>IFERROR(__xludf.DUMMYFUNCTION("""COMPUTED_VALUE"""),44041.0)</f>
        <v>44041</v>
      </c>
      <c r="X137" s="96" t="str">
        <f>IFERROR(__xludf.DUMMYFUNCTION("""COMPUTED_VALUE"""),"EUGENE")</f>
        <v>EUGENE</v>
      </c>
      <c r="Y137" s="96" t="str">
        <f>IFERROR(__xludf.DUMMYFUNCTION("""COMPUTED_VALUE"""),"EUGENE1")</f>
        <v>EUGENE1</v>
      </c>
      <c r="Z137" s="96"/>
      <c r="AA137" s="96"/>
      <c r="AB137" s="96"/>
      <c r="AC137" s="96"/>
      <c r="AD137" s="96"/>
      <c r="AE137" s="96"/>
      <c r="AF137" s="96">
        <f>IFERROR(__xludf.DUMMYFUNCTION("""COMPUTED_VALUE"""),500000.0)</f>
        <v>500000</v>
      </c>
      <c r="AG137" s="99">
        <f>IFERROR(__xludf.DUMMYFUNCTION("""COMPUTED_VALUE"""),500000.0)</f>
        <v>500000</v>
      </c>
      <c r="AH137" s="96"/>
      <c r="AI137" s="96">
        <f>IFERROR(__xludf.DUMMYFUNCTION("""COMPUTED_VALUE"""),0.0)</f>
        <v>0</v>
      </c>
      <c r="AJ137" s="96">
        <f>IFERROR(__xludf.DUMMYFUNCTION("""COMPUTED_VALUE"""),0.0)</f>
        <v>0</v>
      </c>
      <c r="AK137" s="96">
        <f>IFERROR(__xludf.DUMMYFUNCTION("""COMPUTED_VALUE"""),0.0)</f>
        <v>0</v>
      </c>
      <c r="AL137" s="129">
        <f>IFERROR(__xludf.DUMMYFUNCTION("""COMPUTED_VALUE"""),0.0)</f>
        <v>0</v>
      </c>
      <c r="AM137" s="99"/>
    </row>
    <row r="138">
      <c r="V138" s="96">
        <f>IFERROR(__xludf.DUMMYFUNCTION("""COMPUTED_VALUE"""),8.0)</f>
        <v>8</v>
      </c>
      <c r="W138" s="98">
        <f>IFERROR(__xludf.DUMMYFUNCTION("""COMPUTED_VALUE"""),44041.0)</f>
        <v>44041</v>
      </c>
      <c r="X138" s="96" t="str">
        <f>IFERROR(__xludf.DUMMYFUNCTION("""COMPUTED_VALUE"""),"RECTOR W.")</f>
        <v>RECTOR W.</v>
      </c>
      <c r="Y138" s="96" t="str">
        <f>IFERROR(__xludf.DUMMYFUNCTION("""COMPUTED_VALUE"""),"RECTOR W.8")</f>
        <v>RECTOR W.8</v>
      </c>
      <c r="Z138" s="96"/>
      <c r="AA138" s="96"/>
      <c r="AB138" s="96"/>
      <c r="AC138" s="96"/>
      <c r="AD138" s="96"/>
      <c r="AE138" s="96"/>
      <c r="AF138" s="96">
        <f>IFERROR(__xludf.DUMMYFUNCTION("""COMPUTED_VALUE"""),800000.0)</f>
        <v>800000</v>
      </c>
      <c r="AG138" s="99">
        <f>IFERROR(__xludf.DUMMYFUNCTION("""COMPUTED_VALUE"""),800000.0)</f>
        <v>800000</v>
      </c>
      <c r="AH138" s="96"/>
      <c r="AI138" s="96">
        <f>IFERROR(__xludf.DUMMYFUNCTION("""COMPUTED_VALUE"""),0.0)</f>
        <v>0</v>
      </c>
      <c r="AJ138" s="96">
        <f>IFERROR(__xludf.DUMMYFUNCTION("""COMPUTED_VALUE"""),0.0)</f>
        <v>0</v>
      </c>
      <c r="AK138" s="96">
        <f>IFERROR(__xludf.DUMMYFUNCTION("""COMPUTED_VALUE"""),0.0)</f>
        <v>0</v>
      </c>
      <c r="AL138" s="129">
        <f>IFERROR(__xludf.DUMMYFUNCTION("""COMPUTED_VALUE"""),0.0)</f>
        <v>0</v>
      </c>
      <c r="AM138" s="99"/>
    </row>
    <row r="139">
      <c r="V139" s="96">
        <f>IFERROR(__xludf.DUMMYFUNCTION("""COMPUTED_VALUE"""),3.0)</f>
        <v>3</v>
      </c>
      <c r="W139" s="98">
        <f>IFERROR(__xludf.DUMMYFUNCTION("""COMPUTED_VALUE"""),44041.0)</f>
        <v>44041</v>
      </c>
      <c r="X139" s="96" t="str">
        <f>IFERROR(__xludf.DUMMYFUNCTION("""COMPUTED_VALUE"""),"REMMY BODES")</f>
        <v>REMMY BODES</v>
      </c>
      <c r="Y139" s="96" t="str">
        <f>IFERROR(__xludf.DUMMYFUNCTION("""COMPUTED_VALUE"""),"REMMY BODES3")</f>
        <v>REMMY BODES3</v>
      </c>
      <c r="Z139" s="96"/>
      <c r="AA139" s="96"/>
      <c r="AB139" s="96"/>
      <c r="AC139" s="96"/>
      <c r="AD139" s="96"/>
      <c r="AE139" s="96"/>
      <c r="AF139" s="96">
        <f>IFERROR(__xludf.DUMMYFUNCTION("""COMPUTED_VALUE"""),310000.0)</f>
        <v>310000</v>
      </c>
      <c r="AG139" s="99">
        <f>IFERROR(__xludf.DUMMYFUNCTION("""COMPUTED_VALUE"""),310000.0)</f>
        <v>310000</v>
      </c>
      <c r="AH139" s="96"/>
      <c r="AI139" s="96">
        <f>IFERROR(__xludf.DUMMYFUNCTION("""COMPUTED_VALUE"""),0.0)</f>
        <v>0</v>
      </c>
      <c r="AJ139" s="96">
        <f>IFERROR(__xludf.DUMMYFUNCTION("""COMPUTED_VALUE"""),0.0)</f>
        <v>0</v>
      </c>
      <c r="AK139" s="96">
        <f>IFERROR(__xludf.DUMMYFUNCTION("""COMPUTED_VALUE"""),0.0)</f>
        <v>0</v>
      </c>
      <c r="AL139" s="129">
        <f>IFERROR(__xludf.DUMMYFUNCTION("""COMPUTED_VALUE"""),0.0)</f>
        <v>0</v>
      </c>
      <c r="AM139" s="99"/>
    </row>
    <row r="140">
      <c r="V140" s="96">
        <f>IFERROR(__xludf.DUMMYFUNCTION("""COMPUTED_VALUE"""),1.0)</f>
        <v>1</v>
      </c>
      <c r="W140" s="98">
        <f>IFERROR(__xludf.DUMMYFUNCTION("""COMPUTED_VALUE"""),44041.0)</f>
        <v>44041</v>
      </c>
      <c r="X140" s="96" t="str">
        <f>IFERROR(__xludf.DUMMYFUNCTION("""COMPUTED_VALUE"""),"ABANG. DUNLOP")</f>
        <v>ABANG. DUNLOP</v>
      </c>
      <c r="Y140" s="96" t="str">
        <f>IFERROR(__xludf.DUMMYFUNCTION("""COMPUTED_VALUE"""),"ABANG. DUNLOP1")</f>
        <v>ABANG. DUNLOP1</v>
      </c>
      <c r="Z140" s="96"/>
      <c r="AA140" s="96"/>
      <c r="AB140" s="96"/>
      <c r="AC140" s="96"/>
      <c r="AD140" s="96"/>
      <c r="AE140" s="96"/>
      <c r="AF140" s="96">
        <f>IFERROR(__xludf.DUMMYFUNCTION("""COMPUTED_VALUE"""),800000.0)</f>
        <v>800000</v>
      </c>
      <c r="AG140" s="99">
        <f>IFERROR(__xludf.DUMMYFUNCTION("""COMPUTED_VALUE"""),800000.0)</f>
        <v>800000</v>
      </c>
      <c r="AH140" s="96"/>
      <c r="AI140" s="96">
        <f>IFERROR(__xludf.DUMMYFUNCTION("""COMPUTED_VALUE"""),0.0)</f>
        <v>0</v>
      </c>
      <c r="AJ140" s="96">
        <f>IFERROR(__xludf.DUMMYFUNCTION("""COMPUTED_VALUE"""),0.0)</f>
        <v>0</v>
      </c>
      <c r="AK140" s="96">
        <f>IFERROR(__xludf.DUMMYFUNCTION("""COMPUTED_VALUE"""),0.0)</f>
        <v>0</v>
      </c>
      <c r="AL140" s="129">
        <f>IFERROR(__xludf.DUMMYFUNCTION("""COMPUTED_VALUE"""),0.0)</f>
        <v>0</v>
      </c>
      <c r="AM140" s="99"/>
    </row>
    <row r="141">
      <c r="V141" s="96">
        <f>IFERROR(__xludf.DUMMYFUNCTION("""COMPUTED_VALUE"""),2.0)</f>
        <v>2</v>
      </c>
      <c r="W141" s="98">
        <f>IFERROR(__xludf.DUMMYFUNCTION("""COMPUTED_VALUE"""),44041.0)</f>
        <v>44041</v>
      </c>
      <c r="X141" s="96" t="str">
        <f>IFERROR(__xludf.DUMMYFUNCTION("""COMPUTED_VALUE"""),"BOSURU  BOSURU")</f>
        <v>BOSURU  BOSURU</v>
      </c>
      <c r="Y141" s="96" t="str">
        <f>IFERROR(__xludf.DUMMYFUNCTION("""COMPUTED_VALUE"""),"BOSURU  BOSURU2")</f>
        <v>BOSURU  BOSURU2</v>
      </c>
      <c r="Z141" s="96"/>
      <c r="AA141" s="96"/>
      <c r="AB141" s="96"/>
      <c r="AC141" s="96"/>
      <c r="AD141" s="96"/>
      <c r="AE141" s="96"/>
      <c r="AF141" s="96">
        <f>IFERROR(__xludf.DUMMYFUNCTION("""COMPUTED_VALUE"""),200000.0)</f>
        <v>200000</v>
      </c>
      <c r="AG141" s="99">
        <f>IFERROR(__xludf.DUMMYFUNCTION("""COMPUTED_VALUE"""),200000.0)</f>
        <v>200000</v>
      </c>
      <c r="AH141" s="96"/>
      <c r="AI141" s="96">
        <f>IFERROR(__xludf.DUMMYFUNCTION("""COMPUTED_VALUE"""),0.0)</f>
        <v>0</v>
      </c>
      <c r="AJ141" s="96">
        <f>IFERROR(__xludf.DUMMYFUNCTION("""COMPUTED_VALUE"""),0.0)</f>
        <v>0</v>
      </c>
      <c r="AK141" s="96">
        <f>IFERROR(__xludf.DUMMYFUNCTION("""COMPUTED_VALUE"""),0.0)</f>
        <v>0</v>
      </c>
      <c r="AL141" s="129">
        <f>IFERROR(__xludf.DUMMYFUNCTION("""COMPUTED_VALUE"""),0.0)</f>
        <v>0</v>
      </c>
      <c r="AM141" s="99"/>
    </row>
    <row r="142">
      <c r="V142" s="96">
        <f>IFERROR(__xludf.DUMMYFUNCTION("""COMPUTED_VALUE"""),5.0)</f>
        <v>5</v>
      </c>
      <c r="W142" s="98">
        <f>IFERROR(__xludf.DUMMYFUNCTION("""COMPUTED_VALUE"""),44041.0)</f>
        <v>44041</v>
      </c>
      <c r="X142" s="96" t="str">
        <f>IFERROR(__xludf.DUMMYFUNCTION("""COMPUTED_VALUE"""),"CORNWELL")</f>
        <v>CORNWELL</v>
      </c>
      <c r="Y142" s="96" t="str">
        <f>IFERROR(__xludf.DUMMYFUNCTION("""COMPUTED_VALUE"""),"CORNWELL5")</f>
        <v>CORNWELL5</v>
      </c>
      <c r="Z142" s="96"/>
      <c r="AA142" s="96"/>
      <c r="AB142" s="96"/>
      <c r="AC142" s="96"/>
      <c r="AD142" s="96"/>
      <c r="AE142" s="96"/>
      <c r="AF142" s="96">
        <f>IFERROR(__xludf.DUMMYFUNCTION("""COMPUTED_VALUE"""),400000.0)</f>
        <v>400000</v>
      </c>
      <c r="AG142" s="99">
        <f>IFERROR(__xludf.DUMMYFUNCTION("""COMPUTED_VALUE"""),400000.0)</f>
        <v>400000</v>
      </c>
      <c r="AH142" s="96"/>
      <c r="AI142" s="96">
        <f>IFERROR(__xludf.DUMMYFUNCTION("""COMPUTED_VALUE"""),0.0)</f>
        <v>0</v>
      </c>
      <c r="AJ142" s="96">
        <f>IFERROR(__xludf.DUMMYFUNCTION("""COMPUTED_VALUE"""),0.0)</f>
        <v>0</v>
      </c>
      <c r="AK142" s="96">
        <f>IFERROR(__xludf.DUMMYFUNCTION("""COMPUTED_VALUE"""),0.0)</f>
        <v>0</v>
      </c>
      <c r="AL142" s="129">
        <f>IFERROR(__xludf.DUMMYFUNCTION("""COMPUTED_VALUE"""),0.0)</f>
        <v>0</v>
      </c>
      <c r="AM142" s="99"/>
    </row>
    <row r="143">
      <c r="V143" s="96">
        <f>IFERROR(__xludf.DUMMYFUNCTION("""COMPUTED_VALUE"""),6.0)</f>
        <v>6</v>
      </c>
      <c r="W143" s="98">
        <f>IFERROR(__xludf.DUMMYFUNCTION("""COMPUTED_VALUE"""),44042.0)</f>
        <v>44042</v>
      </c>
      <c r="X143" s="96" t="str">
        <f>IFERROR(__xludf.DUMMYFUNCTION("""COMPUTED_VALUE"""),"CORNWELL")</f>
        <v>CORNWELL</v>
      </c>
      <c r="Y143" s="96" t="str">
        <f>IFERROR(__xludf.DUMMYFUNCTION("""COMPUTED_VALUE"""),"CORNWELL6")</f>
        <v>CORNWELL6</v>
      </c>
      <c r="Z143" s="96"/>
      <c r="AA143" s="96"/>
      <c r="AB143" s="96"/>
      <c r="AC143" s="96"/>
      <c r="AD143" s="96"/>
      <c r="AE143" s="96"/>
      <c r="AF143" s="96">
        <f>IFERROR(__xludf.DUMMYFUNCTION("""COMPUTED_VALUE"""),400000.0)</f>
        <v>400000</v>
      </c>
      <c r="AG143" s="99">
        <f>IFERROR(__xludf.DUMMYFUNCTION("""COMPUTED_VALUE"""),400000.0)</f>
        <v>400000</v>
      </c>
      <c r="AH143" s="96"/>
      <c r="AI143" s="96">
        <f>IFERROR(__xludf.DUMMYFUNCTION("""COMPUTED_VALUE"""),0.0)</f>
        <v>0</v>
      </c>
      <c r="AJ143" s="96">
        <f>IFERROR(__xludf.DUMMYFUNCTION("""COMPUTED_VALUE"""),0.0)</f>
        <v>0</v>
      </c>
      <c r="AK143" s="96">
        <f>IFERROR(__xludf.DUMMYFUNCTION("""COMPUTED_VALUE"""),0.0)</f>
        <v>0</v>
      </c>
      <c r="AL143" s="129">
        <f>IFERROR(__xludf.DUMMYFUNCTION("""COMPUTED_VALUE"""),0.0)</f>
        <v>0</v>
      </c>
      <c r="AM143" s="99"/>
    </row>
    <row r="144">
      <c r="V144" s="96">
        <f>IFERROR(__xludf.DUMMYFUNCTION("""COMPUTED_VALUE"""),6.0)</f>
        <v>6</v>
      </c>
      <c r="W144" s="98">
        <f>IFERROR(__xludf.DUMMYFUNCTION("""COMPUTED_VALUE"""),44047.0)</f>
        <v>44047</v>
      </c>
      <c r="X144" s="96" t="str">
        <f>IFERROR(__xludf.DUMMYFUNCTION("""COMPUTED_VALUE""")," MAXWELL AGRO")</f>
        <v> MAXWELL AGRO</v>
      </c>
      <c r="Y144" s="96" t="str">
        <f>IFERROR(__xludf.DUMMYFUNCTION("""COMPUTED_VALUE""")," MAXWELL AGRO6")</f>
        <v> MAXWELL AGRO6</v>
      </c>
      <c r="Z144" s="96"/>
      <c r="AA144" s="96"/>
      <c r="AB144" s="96"/>
      <c r="AC144" s="96"/>
      <c r="AD144" s="96"/>
      <c r="AE144" s="96"/>
      <c r="AF144" s="96">
        <f>IFERROR(__xludf.DUMMYFUNCTION("""COMPUTED_VALUE"""),500000.0)</f>
        <v>500000</v>
      </c>
      <c r="AG144" s="99">
        <f>IFERROR(__xludf.DUMMYFUNCTION("""COMPUTED_VALUE"""),500000.0)</f>
        <v>500000</v>
      </c>
      <c r="AH144" s="96"/>
      <c r="AI144" s="96">
        <f>IFERROR(__xludf.DUMMYFUNCTION("""COMPUTED_VALUE"""),0.0)</f>
        <v>0</v>
      </c>
      <c r="AJ144" s="96">
        <f>IFERROR(__xludf.DUMMYFUNCTION("""COMPUTED_VALUE"""),0.0)</f>
        <v>0</v>
      </c>
      <c r="AK144" s="96">
        <f>IFERROR(__xludf.DUMMYFUNCTION("""COMPUTED_VALUE"""),0.0)</f>
        <v>0</v>
      </c>
      <c r="AL144" s="129">
        <f>IFERROR(__xludf.DUMMYFUNCTION("""COMPUTED_VALUE"""),0.0)</f>
        <v>0</v>
      </c>
      <c r="AM144" s="99"/>
    </row>
    <row r="145">
      <c r="V145" s="96">
        <f>IFERROR(__xludf.DUMMYFUNCTION("""COMPUTED_VALUE"""),9.0)</f>
        <v>9</v>
      </c>
      <c r="W145" s="98">
        <f>IFERROR(__xludf.DUMMYFUNCTION("""COMPUTED_VALUE"""),44047.0)</f>
        <v>44047</v>
      </c>
      <c r="X145" s="96" t="str">
        <f>IFERROR(__xludf.DUMMYFUNCTION("""COMPUTED_VALUE"""),"CONNECT")</f>
        <v>CONNECT</v>
      </c>
      <c r="Y145" s="96" t="str">
        <f>IFERROR(__xludf.DUMMYFUNCTION("""COMPUTED_VALUE"""),"CONNECT9")</f>
        <v>CONNECT9</v>
      </c>
      <c r="Z145" s="96"/>
      <c r="AA145" s="96"/>
      <c r="AB145" s="96"/>
      <c r="AC145" s="96"/>
      <c r="AD145" s="96"/>
      <c r="AE145" s="96"/>
      <c r="AF145" s="96">
        <f>IFERROR(__xludf.DUMMYFUNCTION("""COMPUTED_VALUE"""),1500000.0)</f>
        <v>1500000</v>
      </c>
      <c r="AG145" s="99">
        <f>IFERROR(__xludf.DUMMYFUNCTION("""COMPUTED_VALUE"""),1500000.0)</f>
        <v>1500000</v>
      </c>
      <c r="AH145" s="96"/>
      <c r="AI145" s="96">
        <f>IFERROR(__xludf.DUMMYFUNCTION("""COMPUTED_VALUE"""),0.0)</f>
        <v>0</v>
      </c>
      <c r="AJ145" s="96">
        <f>IFERROR(__xludf.DUMMYFUNCTION("""COMPUTED_VALUE"""),0.0)</f>
        <v>0</v>
      </c>
      <c r="AK145" s="96">
        <f>IFERROR(__xludf.DUMMYFUNCTION("""COMPUTED_VALUE"""),0.0)</f>
        <v>0</v>
      </c>
      <c r="AL145" s="129">
        <f>IFERROR(__xludf.DUMMYFUNCTION("""COMPUTED_VALUE"""),0.0)</f>
        <v>0</v>
      </c>
      <c r="AM145" s="99"/>
    </row>
    <row r="146">
      <c r="V146" s="96">
        <f>IFERROR(__xludf.DUMMYFUNCTION("""COMPUTED_VALUE"""),2.0)</f>
        <v>2</v>
      </c>
      <c r="W146" s="98">
        <f>IFERROR(__xludf.DUMMYFUNCTION("""COMPUTED_VALUE"""),44047.0)</f>
        <v>44047</v>
      </c>
      <c r="X146" s="96" t="str">
        <f>IFERROR(__xludf.DUMMYFUNCTION("""COMPUTED_VALUE"""),"PRINNESS")</f>
        <v>PRINNESS</v>
      </c>
      <c r="Y146" s="96" t="str">
        <f>IFERROR(__xludf.DUMMYFUNCTION("""COMPUTED_VALUE"""),"PRINNESS2")</f>
        <v>PRINNESS2</v>
      </c>
      <c r="Z146" s="96"/>
      <c r="AA146" s="96"/>
      <c r="AB146" s="96"/>
      <c r="AC146" s="96"/>
      <c r="AD146" s="96"/>
      <c r="AE146" s="96"/>
      <c r="AF146" s="96">
        <f>IFERROR(__xludf.DUMMYFUNCTION("""COMPUTED_VALUE"""),300000.0)</f>
        <v>300000</v>
      </c>
      <c r="AG146" s="99">
        <f>IFERROR(__xludf.DUMMYFUNCTION("""COMPUTED_VALUE"""),300000.0)</f>
        <v>300000</v>
      </c>
      <c r="AH146" s="96"/>
      <c r="AI146" s="96">
        <f>IFERROR(__xludf.DUMMYFUNCTION("""COMPUTED_VALUE"""),0.0)</f>
        <v>0</v>
      </c>
      <c r="AJ146" s="96">
        <f>IFERROR(__xludf.DUMMYFUNCTION("""COMPUTED_VALUE"""),0.0)</f>
        <v>0</v>
      </c>
      <c r="AK146" s="96">
        <f>IFERROR(__xludf.DUMMYFUNCTION("""COMPUTED_VALUE"""),0.0)</f>
        <v>0</v>
      </c>
      <c r="AL146" s="129">
        <f>IFERROR(__xludf.DUMMYFUNCTION("""COMPUTED_VALUE"""),0.0)</f>
        <v>0</v>
      </c>
      <c r="AM146" s="99"/>
    </row>
    <row r="147">
      <c r="V147" s="96">
        <f>IFERROR(__xludf.DUMMYFUNCTION("""COMPUTED_VALUE"""),10.0)</f>
        <v>10</v>
      </c>
      <c r="W147" s="98">
        <f>IFERROR(__xludf.DUMMYFUNCTION("""COMPUTED_VALUE"""),44047.0)</f>
        <v>44047</v>
      </c>
      <c r="X147" s="96" t="str">
        <f>IFERROR(__xludf.DUMMYFUNCTION("""COMPUTED_VALUE"""),"LIVINUS")</f>
        <v>LIVINUS</v>
      </c>
      <c r="Y147" s="96" t="str">
        <f>IFERROR(__xludf.DUMMYFUNCTION("""COMPUTED_VALUE"""),"LIVINUS10")</f>
        <v>LIVINUS10</v>
      </c>
      <c r="Z147" s="96"/>
      <c r="AA147" s="96"/>
      <c r="AB147" s="96"/>
      <c r="AC147" s="96"/>
      <c r="AD147" s="96"/>
      <c r="AE147" s="96"/>
      <c r="AF147" s="96">
        <f>IFERROR(__xludf.DUMMYFUNCTION("""COMPUTED_VALUE"""),720000.0)</f>
        <v>720000</v>
      </c>
      <c r="AG147" s="99">
        <f>IFERROR(__xludf.DUMMYFUNCTION("""COMPUTED_VALUE"""),720000.0)</f>
        <v>720000</v>
      </c>
      <c r="AH147" s="96"/>
      <c r="AI147" s="96">
        <f>IFERROR(__xludf.DUMMYFUNCTION("""COMPUTED_VALUE"""),0.0)</f>
        <v>0</v>
      </c>
      <c r="AJ147" s="96">
        <f>IFERROR(__xludf.DUMMYFUNCTION("""COMPUTED_VALUE"""),0.0)</f>
        <v>0</v>
      </c>
      <c r="AK147" s="96">
        <f>IFERROR(__xludf.DUMMYFUNCTION("""COMPUTED_VALUE"""),0.0)</f>
        <v>0</v>
      </c>
      <c r="AL147" s="129">
        <f>IFERROR(__xludf.DUMMYFUNCTION("""COMPUTED_VALUE"""),0.0)</f>
        <v>0</v>
      </c>
      <c r="AM147" s="99"/>
    </row>
    <row r="148">
      <c r="V148" s="96">
        <f>IFERROR(__xludf.DUMMYFUNCTION("""COMPUTED_VALUE"""),12.0)</f>
        <v>12</v>
      </c>
      <c r="W148" s="98">
        <f>IFERROR(__xludf.DUMMYFUNCTION("""COMPUTED_VALUE"""),44048.0)</f>
        <v>44048</v>
      </c>
      <c r="X148" s="96" t="str">
        <f>IFERROR(__xludf.DUMMYFUNCTION("""COMPUTED_VALUE"""),"LYDIA HNSON ")</f>
        <v>LYDIA HNSON </v>
      </c>
      <c r="Y148" s="96" t="str">
        <f>IFERROR(__xludf.DUMMYFUNCTION("""COMPUTED_VALUE"""),"LYDIA HNSON 12")</f>
        <v>LYDIA HNSON 12</v>
      </c>
      <c r="Z148" s="96"/>
      <c r="AA148" s="96"/>
      <c r="AB148" s="96"/>
      <c r="AC148" s="96"/>
      <c r="AD148" s="96"/>
      <c r="AE148" s="96"/>
      <c r="AF148" s="96">
        <f>IFERROR(__xludf.DUMMYFUNCTION("""COMPUTED_VALUE"""),500000.0)</f>
        <v>500000</v>
      </c>
      <c r="AG148" s="99">
        <f>IFERROR(__xludf.DUMMYFUNCTION("""COMPUTED_VALUE"""),500000.0)</f>
        <v>500000</v>
      </c>
      <c r="AH148" s="96"/>
      <c r="AI148" s="96">
        <f>IFERROR(__xludf.DUMMYFUNCTION("""COMPUTED_VALUE"""),0.0)</f>
        <v>0</v>
      </c>
      <c r="AJ148" s="96">
        <f>IFERROR(__xludf.DUMMYFUNCTION("""COMPUTED_VALUE"""),0.0)</f>
        <v>0</v>
      </c>
      <c r="AK148" s="96">
        <f>IFERROR(__xludf.DUMMYFUNCTION("""COMPUTED_VALUE"""),0.0)</f>
        <v>0</v>
      </c>
      <c r="AL148" s="129">
        <f>IFERROR(__xludf.DUMMYFUNCTION("""COMPUTED_VALUE"""),0.0)</f>
        <v>0</v>
      </c>
      <c r="AM148" s="99"/>
    </row>
    <row r="149">
      <c r="V149" s="96">
        <f>IFERROR(__xludf.DUMMYFUNCTION("""COMPUTED_VALUE"""),2.0)</f>
        <v>2</v>
      </c>
      <c r="W149" s="98">
        <f>IFERROR(__xludf.DUMMYFUNCTION("""COMPUTED_VALUE"""),44048.0)</f>
        <v>44048</v>
      </c>
      <c r="X149" s="96" t="str">
        <f>IFERROR(__xludf.DUMMYFUNCTION("""COMPUTED_VALUE"""),"NDOMA PETER")</f>
        <v>NDOMA PETER</v>
      </c>
      <c r="Y149" s="96" t="str">
        <f>IFERROR(__xludf.DUMMYFUNCTION("""COMPUTED_VALUE"""),"NDOMA PETER2")</f>
        <v>NDOMA PETER2</v>
      </c>
      <c r="Z149" s="96"/>
      <c r="AA149" s="96"/>
      <c r="AB149" s="96"/>
      <c r="AC149" s="96"/>
      <c r="AD149" s="96"/>
      <c r="AE149" s="96"/>
      <c r="AF149" s="96">
        <f>IFERROR(__xludf.DUMMYFUNCTION("""COMPUTED_VALUE"""),200000.0)</f>
        <v>200000</v>
      </c>
      <c r="AG149" s="99">
        <f>IFERROR(__xludf.DUMMYFUNCTION("""COMPUTED_VALUE"""),200000.0)</f>
        <v>200000</v>
      </c>
      <c r="AH149" s="96"/>
      <c r="AI149" s="96">
        <f>IFERROR(__xludf.DUMMYFUNCTION("""COMPUTED_VALUE"""),0.0)</f>
        <v>0</v>
      </c>
      <c r="AJ149" s="96">
        <f>IFERROR(__xludf.DUMMYFUNCTION("""COMPUTED_VALUE"""),0.0)</f>
        <v>0</v>
      </c>
      <c r="AK149" s="96">
        <f>IFERROR(__xludf.DUMMYFUNCTION("""COMPUTED_VALUE"""),0.0)</f>
        <v>0</v>
      </c>
      <c r="AL149" s="129">
        <f>IFERROR(__xludf.DUMMYFUNCTION("""COMPUTED_VALUE"""),0.0)</f>
        <v>0</v>
      </c>
      <c r="AM149" s="99"/>
    </row>
    <row r="150">
      <c r="V150" s="96">
        <f>IFERROR(__xludf.DUMMYFUNCTION("""COMPUTED_VALUE"""),2.0)</f>
        <v>2</v>
      </c>
      <c r="W150" s="98">
        <f>IFERROR(__xludf.DUMMYFUNCTION("""COMPUTED_VALUE"""),44048.0)</f>
        <v>44048</v>
      </c>
      <c r="X150" s="96" t="str">
        <f>IFERROR(__xludf.DUMMYFUNCTION("""COMPUTED_VALUE"""),"ALFRED ALABI")</f>
        <v>ALFRED ALABI</v>
      </c>
      <c r="Y150" s="96" t="str">
        <f>IFERROR(__xludf.DUMMYFUNCTION("""COMPUTED_VALUE"""),"ALFRED ALABI2")</f>
        <v>ALFRED ALABI2</v>
      </c>
      <c r="Z150" s="96"/>
      <c r="AA150" s="96"/>
      <c r="AB150" s="96"/>
      <c r="AC150" s="96"/>
      <c r="AD150" s="96"/>
      <c r="AE150" s="96"/>
      <c r="AF150" s="96">
        <f>IFERROR(__xludf.DUMMYFUNCTION("""COMPUTED_VALUE"""),5000.0)</f>
        <v>5000</v>
      </c>
      <c r="AG150" s="99">
        <f>IFERROR(__xludf.DUMMYFUNCTION("""COMPUTED_VALUE"""),5000.0)</f>
        <v>5000</v>
      </c>
      <c r="AH150" s="96"/>
      <c r="AI150" s="96">
        <f>IFERROR(__xludf.DUMMYFUNCTION("""COMPUTED_VALUE"""),0.0)</f>
        <v>0</v>
      </c>
      <c r="AJ150" s="96">
        <f>IFERROR(__xludf.DUMMYFUNCTION("""COMPUTED_VALUE"""),0.0)</f>
        <v>0</v>
      </c>
      <c r="AK150" s="96">
        <f>IFERROR(__xludf.DUMMYFUNCTION("""COMPUTED_VALUE"""),0.0)</f>
        <v>0</v>
      </c>
      <c r="AL150" s="129">
        <f>IFERROR(__xludf.DUMMYFUNCTION("""COMPUTED_VALUE"""),0.0)</f>
        <v>0</v>
      </c>
      <c r="AM150" s="99"/>
    </row>
    <row r="151">
      <c r="V151" s="96">
        <f>IFERROR(__xludf.DUMMYFUNCTION("""COMPUTED_VALUE"""),10.0)</f>
        <v>10</v>
      </c>
      <c r="W151" s="98">
        <f>IFERROR(__xludf.DUMMYFUNCTION("""COMPUTED_VALUE"""),44047.0)</f>
        <v>44047</v>
      </c>
      <c r="X151" s="96" t="str">
        <f>IFERROR(__xludf.DUMMYFUNCTION("""COMPUTED_VALUE"""),"CONNECT")</f>
        <v>CONNECT</v>
      </c>
      <c r="Y151" s="96" t="str">
        <f>IFERROR(__xludf.DUMMYFUNCTION("""COMPUTED_VALUE"""),"CONNECT10")</f>
        <v>CONNECT10</v>
      </c>
      <c r="Z151" s="96">
        <f>IFERROR(__xludf.DUMMYFUNCTION("""COMPUTED_VALUE"""),1698.0)</f>
        <v>1698</v>
      </c>
      <c r="AA151" s="96">
        <f>IFERROR(__xludf.DUMMYFUNCTION("""COMPUTED_VALUE"""),208.0)</f>
        <v>208</v>
      </c>
      <c r="AB151" s="96"/>
      <c r="AC151" s="96">
        <f>IFERROR(__xludf.DUMMYFUNCTION("""COMPUTED_VALUE"""),26.0)</f>
        <v>26</v>
      </c>
      <c r="AD151" s="96">
        <f>IFERROR(__xludf.DUMMYFUNCTION("""COMPUTED_VALUE"""),0.0)</f>
        <v>0</v>
      </c>
      <c r="AE151" s="96">
        <f>IFERROR(__xludf.DUMMYFUNCTION("""COMPUTED_VALUE"""),800.0)</f>
        <v>800</v>
      </c>
      <c r="AF151" s="96"/>
      <c r="AG151" s="99">
        <f>IFERROR(__xludf.DUMMYFUNCTION("""COMPUTED_VALUE"""),-1337600.0)</f>
        <v>-1337600</v>
      </c>
      <c r="AH151" s="96">
        <f>IFERROR(__xludf.DUMMYFUNCTION("""COMPUTED_VALUE"""),8.0)</f>
        <v>8</v>
      </c>
      <c r="AI151" s="96">
        <f>IFERROR(__xludf.DUMMYFUNCTION("""COMPUTED_VALUE"""),0.0)</f>
        <v>0</v>
      </c>
      <c r="AJ151" s="96">
        <f>IFERROR(__xludf.DUMMYFUNCTION("""COMPUTED_VALUE"""),26.0)</f>
        <v>26</v>
      </c>
      <c r="AK151" s="96">
        <f>IFERROR(__xludf.DUMMYFUNCTION("""COMPUTED_VALUE"""),34.0)</f>
        <v>34</v>
      </c>
      <c r="AL151" s="129">
        <f>IFERROR(__xludf.DUMMYFUNCTION("""COMPUTED_VALUE"""),1672.0)</f>
        <v>1672</v>
      </c>
      <c r="AM151" s="99">
        <f>IFERROR(__xludf.DUMMYFUNCTION("""COMPUTED_VALUE"""),1337600.0)</f>
        <v>1337600</v>
      </c>
    </row>
    <row r="152">
      <c r="V152" s="96">
        <f>IFERROR(__xludf.DUMMYFUNCTION("""COMPUTED_VALUE"""),2.0)</f>
        <v>2</v>
      </c>
      <c r="W152" s="98">
        <f>IFERROR(__xludf.DUMMYFUNCTION("""COMPUTED_VALUE"""),44041.0)</f>
        <v>44041</v>
      </c>
      <c r="X152" s="96" t="str">
        <f>IFERROR(__xludf.DUMMYFUNCTION("""COMPUTED_VALUE"""),"OBINNA CHIELO")</f>
        <v>OBINNA CHIELO</v>
      </c>
      <c r="Y152" s="96" t="str">
        <f>IFERROR(__xludf.DUMMYFUNCTION("""COMPUTED_VALUE"""),"OBINNA CHIELO2")</f>
        <v>OBINNA CHIELO2</v>
      </c>
      <c r="Z152" s="96">
        <f>IFERROR(__xludf.DUMMYFUNCTION("""COMPUTED_VALUE"""),591.0)</f>
        <v>591</v>
      </c>
      <c r="AA152" s="96">
        <f>IFERROR(__xludf.DUMMYFUNCTION("""COMPUTED_VALUE"""),72.0)</f>
        <v>72</v>
      </c>
      <c r="AB152" s="96"/>
      <c r="AC152" s="96">
        <f>IFERROR(__xludf.DUMMYFUNCTION("""COMPUTED_VALUE"""),9.0)</f>
        <v>9</v>
      </c>
      <c r="AD152" s="96">
        <f>IFERROR(__xludf.DUMMYFUNCTION("""COMPUTED_VALUE"""),0.0)</f>
        <v>0</v>
      </c>
      <c r="AE152" s="96">
        <f>IFERROR(__xludf.DUMMYFUNCTION("""COMPUTED_VALUE"""),761.6)</f>
        <v>761.6</v>
      </c>
      <c r="AF152" s="96"/>
      <c r="AG152" s="99">
        <f>IFERROR(__xludf.DUMMYFUNCTION("""COMPUTED_VALUE"""),-443250.0)</f>
        <v>-443250</v>
      </c>
      <c r="AH152" s="96">
        <f>IFERROR(__xludf.DUMMYFUNCTION("""COMPUTED_VALUE"""),8.0)</f>
        <v>8</v>
      </c>
      <c r="AI152" s="96">
        <f>IFERROR(__xludf.DUMMYFUNCTION("""COMPUTED_VALUE"""),0.0)</f>
        <v>0</v>
      </c>
      <c r="AJ152" s="96">
        <f>IFERROR(__xludf.DUMMYFUNCTION("""COMPUTED_VALUE"""),9.0)</f>
        <v>9</v>
      </c>
      <c r="AK152" s="96">
        <f>IFERROR(__xludf.DUMMYFUNCTION("""COMPUTED_VALUE"""),14.0)</f>
        <v>14</v>
      </c>
      <c r="AL152" s="129">
        <f>IFERROR(__xludf.DUMMYFUNCTION("""COMPUTED_VALUE"""),582.0)</f>
        <v>582</v>
      </c>
      <c r="AM152" s="99">
        <f>IFERROR(__xludf.DUMMYFUNCTION("""COMPUTED_VALUE"""),443250.0)</f>
        <v>443250</v>
      </c>
    </row>
    <row r="153">
      <c r="V153" s="96">
        <f>IFERROR(__xludf.DUMMYFUNCTION("""COMPUTED_VALUE"""),9.0)</f>
        <v>9</v>
      </c>
      <c r="W153" s="98">
        <f>IFERROR(__xludf.DUMMYFUNCTION("""COMPUTED_VALUE"""),44039.0)</f>
        <v>44039</v>
      </c>
      <c r="X153" s="96" t="str">
        <f>IFERROR(__xludf.DUMMYFUNCTION("""COMPUTED_VALUE"""),"RECTOR W.")</f>
        <v>RECTOR W.</v>
      </c>
      <c r="Y153" s="96" t="str">
        <f>IFERROR(__xludf.DUMMYFUNCTION("""COMPUTED_VALUE"""),"RECTOR W.9")</f>
        <v>RECTOR W.9</v>
      </c>
      <c r="Z153" s="96">
        <f>IFERROR(__xludf.DUMMYFUNCTION("""COMPUTED_VALUE"""),1515.0)</f>
        <v>1515</v>
      </c>
      <c r="AA153" s="96">
        <f>IFERROR(__xludf.DUMMYFUNCTION("""COMPUTED_VALUE"""),176.0)</f>
        <v>176</v>
      </c>
      <c r="AB153" s="96"/>
      <c r="AC153" s="96">
        <f>IFERROR(__xludf.DUMMYFUNCTION("""COMPUTED_VALUE"""),22.0)</f>
        <v>22</v>
      </c>
      <c r="AD153" s="96">
        <f>IFERROR(__xludf.DUMMYFUNCTION("""COMPUTED_VALUE"""),0.0)</f>
        <v>0</v>
      </c>
      <c r="AE153" s="96">
        <f>IFERROR(__xludf.DUMMYFUNCTION("""COMPUTED_VALUE"""),780.0)</f>
        <v>780</v>
      </c>
      <c r="AF153" s="96"/>
      <c r="AG153" s="99">
        <f>IFERROR(__xludf.DUMMYFUNCTION("""COMPUTED_VALUE"""),-1164540.0)</f>
        <v>-1164540</v>
      </c>
      <c r="AH153" s="96">
        <f>IFERROR(__xludf.DUMMYFUNCTION("""COMPUTED_VALUE"""),8.0)</f>
        <v>8</v>
      </c>
      <c r="AI153" s="96">
        <f>IFERROR(__xludf.DUMMYFUNCTION("""COMPUTED_VALUE"""),0.0)</f>
        <v>0</v>
      </c>
      <c r="AJ153" s="96">
        <f>IFERROR(__xludf.DUMMYFUNCTION("""COMPUTED_VALUE"""),23.0)</f>
        <v>23</v>
      </c>
      <c r="AK153" s="96">
        <f>IFERROR(__xludf.DUMMYFUNCTION("""COMPUTED_VALUE"""),44.0)</f>
        <v>44</v>
      </c>
      <c r="AL153" s="129">
        <f>IFERROR(__xludf.DUMMYFUNCTION("""COMPUTED_VALUE"""),1493.0)</f>
        <v>1493</v>
      </c>
      <c r="AM153" s="99">
        <f>IFERROR(__xludf.DUMMYFUNCTION("""COMPUTED_VALUE"""),1164540.0)</f>
        <v>1164540</v>
      </c>
    </row>
    <row r="154">
      <c r="V154" s="96">
        <f>IFERROR(__xludf.DUMMYFUNCTION("""COMPUTED_VALUE"""),10.0)</f>
        <v>10</v>
      </c>
      <c r="W154" s="98">
        <f>IFERROR(__xludf.DUMMYFUNCTION("""COMPUTED_VALUE"""),44044.0)</f>
        <v>44044</v>
      </c>
      <c r="X154" s="96" t="str">
        <f>IFERROR(__xludf.DUMMYFUNCTION("""COMPUTED_VALUE"""),"RECTOR W.")</f>
        <v>RECTOR W.</v>
      </c>
      <c r="Y154" s="96" t="str">
        <f>IFERROR(__xludf.DUMMYFUNCTION("""COMPUTED_VALUE"""),"RECTOR W.10")</f>
        <v>RECTOR W.10</v>
      </c>
      <c r="Z154" s="96">
        <f>IFERROR(__xludf.DUMMYFUNCTION("""COMPUTED_VALUE"""),1283.0)</f>
        <v>1283</v>
      </c>
      <c r="AA154" s="96">
        <f>IFERROR(__xludf.DUMMYFUNCTION("""COMPUTED_VALUE"""),136.0)</f>
        <v>136</v>
      </c>
      <c r="AB154" s="96"/>
      <c r="AC154" s="96">
        <f>IFERROR(__xludf.DUMMYFUNCTION("""COMPUTED_VALUE"""),17.0)</f>
        <v>17</v>
      </c>
      <c r="AD154" s="96">
        <f>IFERROR(__xludf.DUMMYFUNCTION("""COMPUTED_VALUE"""),0.0)</f>
        <v>0</v>
      </c>
      <c r="AE154" s="96">
        <f>IFERROR(__xludf.DUMMYFUNCTION("""COMPUTED_VALUE"""),780.0)</f>
        <v>780</v>
      </c>
      <c r="AF154" s="96"/>
      <c r="AG154" s="99">
        <f>IFERROR(__xludf.DUMMYFUNCTION("""COMPUTED_VALUE"""),-987480.0)</f>
        <v>-987480</v>
      </c>
      <c r="AH154" s="96">
        <f>IFERROR(__xludf.DUMMYFUNCTION("""COMPUTED_VALUE"""),8.0)</f>
        <v>8</v>
      </c>
      <c r="AI154" s="96">
        <f>IFERROR(__xludf.DUMMYFUNCTION("""COMPUTED_VALUE"""),0.0)</f>
        <v>0</v>
      </c>
      <c r="AJ154" s="96">
        <f>IFERROR(__xludf.DUMMYFUNCTION("""COMPUTED_VALUE"""),20.0)</f>
        <v>20</v>
      </c>
      <c r="AK154" s="96">
        <f>IFERROR(__xludf.DUMMYFUNCTION("""COMPUTED_VALUE"""),5.0)</f>
        <v>5</v>
      </c>
      <c r="AL154" s="129">
        <f>IFERROR(__xludf.DUMMYFUNCTION("""COMPUTED_VALUE"""),1266.0)</f>
        <v>1266</v>
      </c>
      <c r="AM154" s="99">
        <f>IFERROR(__xludf.DUMMYFUNCTION("""COMPUTED_VALUE"""),987480.0)</f>
        <v>987480</v>
      </c>
    </row>
    <row r="155">
      <c r="V155" s="96">
        <f>IFERROR(__xludf.DUMMYFUNCTION("""COMPUTED_VALUE"""),5.0)</f>
        <v>5</v>
      </c>
      <c r="W155" s="98">
        <f>IFERROR(__xludf.DUMMYFUNCTION("""COMPUTED_VALUE"""),44046.0)</f>
        <v>44046</v>
      </c>
      <c r="X155" s="96" t="str">
        <f>IFERROR(__xludf.DUMMYFUNCTION("""COMPUTED_VALUE"""),"ETUK EFFI")</f>
        <v>ETUK EFFI</v>
      </c>
      <c r="Y155" s="96" t="str">
        <f>IFERROR(__xludf.DUMMYFUNCTION("""COMPUTED_VALUE"""),"ETUK EFFI5")</f>
        <v>ETUK EFFI5</v>
      </c>
      <c r="Z155" s="96">
        <f>IFERROR(__xludf.DUMMYFUNCTION("""COMPUTED_VALUE"""),1388.0)</f>
        <v>1388</v>
      </c>
      <c r="AA155" s="96">
        <f>IFERROR(__xludf.DUMMYFUNCTION("""COMPUTED_VALUE"""),176.0)</f>
        <v>176</v>
      </c>
      <c r="AB155" s="96"/>
      <c r="AC155" s="96">
        <f>IFERROR(__xludf.DUMMYFUNCTION("""COMPUTED_VALUE"""),22.0)</f>
        <v>22</v>
      </c>
      <c r="AD155" s="96">
        <f>IFERROR(__xludf.DUMMYFUNCTION("""COMPUTED_VALUE"""),0.0)</f>
        <v>0</v>
      </c>
      <c r="AE155" s="96">
        <f>IFERROR(__xludf.DUMMYFUNCTION("""COMPUTED_VALUE"""),790.0)</f>
        <v>790</v>
      </c>
      <c r="AF155" s="96"/>
      <c r="AG155" s="99">
        <f>IFERROR(__xludf.DUMMYFUNCTION("""COMPUTED_VALUE"""),-1079140.0)</f>
        <v>-1079140</v>
      </c>
      <c r="AH155" s="96">
        <f>IFERROR(__xludf.DUMMYFUNCTION("""COMPUTED_VALUE"""),8.0)</f>
        <v>8</v>
      </c>
      <c r="AI155" s="96">
        <f>IFERROR(__xludf.DUMMYFUNCTION("""COMPUTED_VALUE"""),0.0)</f>
        <v>0</v>
      </c>
      <c r="AJ155" s="96">
        <f>IFERROR(__xludf.DUMMYFUNCTION("""COMPUTED_VALUE"""),21.0)</f>
        <v>21</v>
      </c>
      <c r="AK155" s="96">
        <f>IFERROR(__xludf.DUMMYFUNCTION("""COMPUTED_VALUE"""),43.0)</f>
        <v>43</v>
      </c>
      <c r="AL155" s="129">
        <f>IFERROR(__xludf.DUMMYFUNCTION("""COMPUTED_VALUE"""),1366.0)</f>
        <v>1366</v>
      </c>
      <c r="AM155" s="99">
        <f>IFERROR(__xludf.DUMMYFUNCTION("""COMPUTED_VALUE"""),1079140.0)</f>
        <v>1079140</v>
      </c>
    </row>
    <row r="156">
      <c r="V156" s="96">
        <f>IFERROR(__xludf.DUMMYFUNCTION("""COMPUTED_VALUE"""),7.0)</f>
        <v>7</v>
      </c>
      <c r="W156" s="98">
        <f>IFERROR(__xludf.DUMMYFUNCTION("""COMPUTED_VALUE"""),44047.0)</f>
        <v>44047</v>
      </c>
      <c r="X156" s="96" t="str">
        <f>IFERROR(__xludf.DUMMYFUNCTION("""COMPUTED_VALUE""")," MAXWELL AGRO")</f>
        <v> MAXWELL AGRO</v>
      </c>
      <c r="Y156" s="96" t="str">
        <f>IFERROR(__xludf.DUMMYFUNCTION("""COMPUTED_VALUE""")," MAXWELL AGRO7")</f>
        <v> MAXWELL AGRO7</v>
      </c>
      <c r="Z156" s="96">
        <f>IFERROR(__xludf.DUMMYFUNCTION("""COMPUTED_VALUE"""),605.0)</f>
        <v>605</v>
      </c>
      <c r="AA156" s="96">
        <f>IFERROR(__xludf.DUMMYFUNCTION("""COMPUTED_VALUE"""),80.0)</f>
        <v>80</v>
      </c>
      <c r="AB156" s="96"/>
      <c r="AC156" s="96">
        <f>IFERROR(__xludf.DUMMYFUNCTION("""COMPUTED_VALUE"""),10.0)</f>
        <v>10</v>
      </c>
      <c r="AD156" s="96">
        <f>IFERROR(__xludf.DUMMYFUNCTION("""COMPUTED_VALUE"""),2.0)</f>
        <v>2</v>
      </c>
      <c r="AE156" s="96">
        <f>IFERROR(__xludf.DUMMYFUNCTION("""COMPUTED_VALUE"""),761.31)</f>
        <v>761.31</v>
      </c>
      <c r="AF156" s="96"/>
      <c r="AG156" s="99">
        <f>IFERROR(__xludf.DUMMYFUNCTION("""COMPUTED_VALUE"""),-454500.0)</f>
        <v>-454500</v>
      </c>
      <c r="AH156" s="96">
        <f>IFERROR(__xludf.DUMMYFUNCTION("""COMPUTED_VALUE"""),8.0)</f>
        <v>8</v>
      </c>
      <c r="AI156" s="96">
        <f>IFERROR(__xludf.DUMMYFUNCTION("""COMPUTED_VALUE"""),0.0)</f>
        <v>0</v>
      </c>
      <c r="AJ156" s="96">
        <f>IFERROR(__xludf.DUMMYFUNCTION("""COMPUTED_VALUE"""),9.0)</f>
        <v>9</v>
      </c>
      <c r="AK156" s="96">
        <f>IFERROR(__xludf.DUMMYFUNCTION("""COMPUTED_VALUE"""),30.0)</f>
        <v>30</v>
      </c>
      <c r="AL156" s="129">
        <f>IFERROR(__xludf.DUMMYFUNCTION("""COMPUTED_VALUE"""),597.0)</f>
        <v>597</v>
      </c>
      <c r="AM156" s="99">
        <f>IFERROR(__xludf.DUMMYFUNCTION("""COMPUTED_VALUE"""),454500.0)</f>
        <v>454500</v>
      </c>
    </row>
    <row r="157">
      <c r="V157" s="96">
        <f>IFERROR(__xludf.DUMMYFUNCTION("""COMPUTED_VALUE"""),7.0)</f>
        <v>7</v>
      </c>
      <c r="W157" s="98">
        <f>IFERROR(__xludf.DUMMYFUNCTION("""COMPUTED_VALUE"""),44034.0)</f>
        <v>44034</v>
      </c>
      <c r="X157" s="96" t="str">
        <f>IFERROR(__xludf.DUMMYFUNCTION("""COMPUTED_VALUE"""),"NDOMA BODE I.D")</f>
        <v>NDOMA BODE I.D</v>
      </c>
      <c r="Y157" s="96" t="str">
        <f>IFERROR(__xludf.DUMMYFUNCTION("""COMPUTED_VALUE"""),"NDOMA BODE I.D7")</f>
        <v>NDOMA BODE I.D7</v>
      </c>
      <c r="Z157" s="96">
        <f>IFERROR(__xludf.DUMMYFUNCTION("""COMPUTED_VALUE"""),256.0)</f>
        <v>256</v>
      </c>
      <c r="AA157" s="96">
        <f>IFERROR(__xludf.DUMMYFUNCTION("""COMPUTED_VALUE"""),32.0)</f>
        <v>32</v>
      </c>
      <c r="AB157" s="96"/>
      <c r="AC157" s="96">
        <f>IFERROR(__xludf.DUMMYFUNCTION("""COMPUTED_VALUE"""),4.0)</f>
        <v>4</v>
      </c>
      <c r="AD157" s="96">
        <f>IFERROR(__xludf.DUMMYFUNCTION("""COMPUTED_VALUE"""),0.0)</f>
        <v>0</v>
      </c>
      <c r="AE157" s="96">
        <f>IFERROR(__xludf.DUMMYFUNCTION("""COMPUTED_VALUE"""),780.0)</f>
        <v>780</v>
      </c>
      <c r="AF157" s="96"/>
      <c r="AG157" s="99">
        <f>IFERROR(__xludf.DUMMYFUNCTION("""COMPUTED_VALUE"""),-196560.0)</f>
        <v>-196560</v>
      </c>
      <c r="AH157" s="96">
        <f>IFERROR(__xludf.DUMMYFUNCTION("""COMPUTED_VALUE"""),8.0)</f>
        <v>8</v>
      </c>
      <c r="AI157" s="96">
        <f>IFERROR(__xludf.DUMMYFUNCTION("""COMPUTED_VALUE"""),0.0)</f>
        <v>0</v>
      </c>
      <c r="AJ157" s="96">
        <f>IFERROR(__xludf.DUMMYFUNCTION("""COMPUTED_VALUE"""),4.0)</f>
        <v>4</v>
      </c>
      <c r="AK157" s="96">
        <f>IFERROR(__xludf.DUMMYFUNCTION("""COMPUTED_VALUE"""),0.0)</f>
        <v>0</v>
      </c>
      <c r="AL157" s="129">
        <f>IFERROR(__xludf.DUMMYFUNCTION("""COMPUTED_VALUE"""),252.0)</f>
        <v>252</v>
      </c>
      <c r="AM157" s="99">
        <f>IFERROR(__xludf.DUMMYFUNCTION("""COMPUTED_VALUE"""),196560.0)</f>
        <v>196560</v>
      </c>
    </row>
    <row r="158">
      <c r="V158" s="96">
        <f>IFERROR(__xludf.DUMMYFUNCTION("""COMPUTED_VALUE"""),5.0)</f>
        <v>5</v>
      </c>
      <c r="W158" s="98">
        <f>IFERROR(__xludf.DUMMYFUNCTION("""COMPUTED_VALUE"""),44036.0)</f>
        <v>44036</v>
      </c>
      <c r="X158" s="96" t="str">
        <f>IFERROR(__xludf.DUMMYFUNCTION("""COMPUTED_VALUE"""),"JAMES AKAN")</f>
        <v>JAMES AKAN</v>
      </c>
      <c r="Y158" s="96" t="str">
        <f>IFERROR(__xludf.DUMMYFUNCTION("""COMPUTED_VALUE"""),"JAMES AKAN5")</f>
        <v>JAMES AKAN5</v>
      </c>
      <c r="Z158" s="96">
        <f>IFERROR(__xludf.DUMMYFUNCTION("""COMPUTED_VALUE"""),198.0)</f>
        <v>198</v>
      </c>
      <c r="AA158" s="96">
        <f>IFERROR(__xludf.DUMMYFUNCTION("""COMPUTED_VALUE"""),24.0)</f>
        <v>24</v>
      </c>
      <c r="AB158" s="96"/>
      <c r="AC158" s="96">
        <f>IFERROR(__xludf.DUMMYFUNCTION("""COMPUTED_VALUE"""),3.0)</f>
        <v>3</v>
      </c>
      <c r="AD158" s="96">
        <f>IFERROR(__xludf.DUMMYFUNCTION("""COMPUTED_VALUE"""),0.0)</f>
        <v>0</v>
      </c>
      <c r="AE158" s="96">
        <f>IFERROR(__xludf.DUMMYFUNCTION("""COMPUTED_VALUE"""),780.0)</f>
        <v>780</v>
      </c>
      <c r="AF158" s="96"/>
      <c r="AG158" s="99">
        <f>IFERROR(__xludf.DUMMYFUNCTION("""COMPUTED_VALUE"""),-152100.0)</f>
        <v>-152100</v>
      </c>
      <c r="AH158" s="96">
        <f>IFERROR(__xludf.DUMMYFUNCTION("""COMPUTED_VALUE"""),8.0)</f>
        <v>8</v>
      </c>
      <c r="AI158" s="96">
        <f>IFERROR(__xludf.DUMMYFUNCTION("""COMPUTED_VALUE"""),0.0)</f>
        <v>0</v>
      </c>
      <c r="AJ158" s="96">
        <f>IFERROR(__xludf.DUMMYFUNCTION("""COMPUTED_VALUE"""),3.0)</f>
        <v>3</v>
      </c>
      <c r="AK158" s="96">
        <f>IFERROR(__xludf.DUMMYFUNCTION("""COMPUTED_VALUE"""),6.0)</f>
        <v>6</v>
      </c>
      <c r="AL158" s="129">
        <f>IFERROR(__xludf.DUMMYFUNCTION("""COMPUTED_VALUE"""),195.0)</f>
        <v>195</v>
      </c>
      <c r="AM158" s="99">
        <f>IFERROR(__xludf.DUMMYFUNCTION("""COMPUTED_VALUE"""),152100.0)</f>
        <v>152100</v>
      </c>
    </row>
    <row r="159">
      <c r="V159" s="96">
        <f>IFERROR(__xludf.DUMMYFUNCTION("""COMPUTED_VALUE"""),2.0)</f>
        <v>2</v>
      </c>
      <c r="W159" s="98">
        <f>IFERROR(__xludf.DUMMYFUNCTION("""COMPUTED_VALUE"""),44040.0)</f>
        <v>44040</v>
      </c>
      <c r="X159" s="96" t="str">
        <f>IFERROR(__xludf.DUMMYFUNCTION("""COMPUTED_VALUE"""),"MAXWELL AGRO OBI")</f>
        <v>MAXWELL AGRO OBI</v>
      </c>
      <c r="Y159" s="96" t="str">
        <f>IFERROR(__xludf.DUMMYFUNCTION("""COMPUTED_VALUE"""),"MAXWELL AGRO OBI2")</f>
        <v>MAXWELL AGRO OBI2</v>
      </c>
      <c r="Z159" s="96">
        <f>IFERROR(__xludf.DUMMYFUNCTION("""COMPUTED_VALUE"""),65.0)</f>
        <v>65</v>
      </c>
      <c r="AA159" s="96">
        <f>IFERROR(__xludf.DUMMYFUNCTION("""COMPUTED_VALUE"""),8.0)</f>
        <v>8</v>
      </c>
      <c r="AB159" s="96"/>
      <c r="AC159" s="96">
        <f>IFERROR(__xludf.DUMMYFUNCTION("""COMPUTED_VALUE"""),1.0)</f>
        <v>1</v>
      </c>
      <c r="AD159" s="96">
        <f>IFERROR(__xludf.DUMMYFUNCTION("""COMPUTED_VALUE"""),0.0)</f>
        <v>0</v>
      </c>
      <c r="AE159" s="96">
        <f>IFERROR(__xludf.DUMMYFUNCTION("""COMPUTED_VALUE"""),780.0)</f>
        <v>780</v>
      </c>
      <c r="AF159" s="96"/>
      <c r="AG159" s="99">
        <f>IFERROR(__xludf.DUMMYFUNCTION("""COMPUTED_VALUE"""),-49920.0)</f>
        <v>-49920</v>
      </c>
      <c r="AH159" s="96">
        <f>IFERROR(__xludf.DUMMYFUNCTION("""COMPUTED_VALUE"""),8.0)</f>
        <v>8</v>
      </c>
      <c r="AI159" s="96">
        <f>IFERROR(__xludf.DUMMYFUNCTION("""COMPUTED_VALUE"""),0.0)</f>
        <v>0</v>
      </c>
      <c r="AJ159" s="96">
        <f>IFERROR(__xludf.DUMMYFUNCTION("""COMPUTED_VALUE"""),1.0)</f>
        <v>1</v>
      </c>
      <c r="AK159" s="96">
        <f>IFERROR(__xludf.DUMMYFUNCTION("""COMPUTED_VALUE"""),0.0)</f>
        <v>0</v>
      </c>
      <c r="AL159" s="129">
        <f>IFERROR(__xludf.DUMMYFUNCTION("""COMPUTED_VALUE"""),64.0)</f>
        <v>64</v>
      </c>
      <c r="AM159" s="99">
        <f>IFERROR(__xludf.DUMMYFUNCTION("""COMPUTED_VALUE"""),49920.0)</f>
        <v>49920</v>
      </c>
    </row>
    <row r="160">
      <c r="V160" s="96">
        <f>IFERROR(__xludf.DUMMYFUNCTION("""COMPUTED_VALUE"""),4.0)</f>
        <v>4</v>
      </c>
      <c r="W160" s="98">
        <f>IFERROR(__xludf.DUMMYFUNCTION("""COMPUTED_VALUE"""),44037.0)</f>
        <v>44037</v>
      </c>
      <c r="X160" s="96" t="str">
        <f>IFERROR(__xludf.DUMMYFUNCTION("""COMPUTED_VALUE"""),"REMMY BODES")</f>
        <v>REMMY BODES</v>
      </c>
      <c r="Y160" s="96" t="str">
        <f>IFERROR(__xludf.DUMMYFUNCTION("""COMPUTED_VALUE"""),"REMMY BODES4")</f>
        <v>REMMY BODES4</v>
      </c>
      <c r="Z160" s="96">
        <f>IFERROR(__xludf.DUMMYFUNCTION("""COMPUTED_VALUE"""),125.0)</f>
        <v>125</v>
      </c>
      <c r="AA160" s="96">
        <f>IFERROR(__xludf.DUMMYFUNCTION("""COMPUTED_VALUE"""),16.0)</f>
        <v>16</v>
      </c>
      <c r="AB160" s="96"/>
      <c r="AC160" s="96">
        <f>IFERROR(__xludf.DUMMYFUNCTION("""COMPUTED_VALUE"""),2.0)</f>
        <v>2</v>
      </c>
      <c r="AD160" s="96">
        <f>IFERROR(__xludf.DUMMYFUNCTION("""COMPUTED_VALUE"""),0.0)</f>
        <v>0</v>
      </c>
      <c r="AE160" s="96">
        <f>IFERROR(__xludf.DUMMYFUNCTION("""COMPUTED_VALUE"""),780.0)</f>
        <v>780</v>
      </c>
      <c r="AF160" s="96"/>
      <c r="AG160" s="99">
        <f>IFERROR(__xludf.DUMMYFUNCTION("""COMPUTED_VALUE"""),-95940.0)</f>
        <v>-95940</v>
      </c>
      <c r="AH160" s="96">
        <f>IFERROR(__xludf.DUMMYFUNCTION("""COMPUTED_VALUE"""),8.0)</f>
        <v>8</v>
      </c>
      <c r="AI160" s="96">
        <f>IFERROR(__xludf.DUMMYFUNCTION("""COMPUTED_VALUE"""),0.0)</f>
        <v>0</v>
      </c>
      <c r="AJ160" s="96">
        <f>IFERROR(__xludf.DUMMYFUNCTION("""COMPUTED_VALUE"""),1.0)</f>
        <v>1</v>
      </c>
      <c r="AK160" s="96">
        <f>IFERROR(__xludf.DUMMYFUNCTION("""COMPUTED_VALUE"""),60.0)</f>
        <v>60</v>
      </c>
      <c r="AL160" s="129">
        <f>IFERROR(__xludf.DUMMYFUNCTION("""COMPUTED_VALUE"""),123.0)</f>
        <v>123</v>
      </c>
      <c r="AM160" s="99">
        <f>IFERROR(__xludf.DUMMYFUNCTION("""COMPUTED_VALUE"""),95940.0)</f>
        <v>95940</v>
      </c>
    </row>
    <row r="161">
      <c r="V161" s="96">
        <f>IFERROR(__xludf.DUMMYFUNCTION("""COMPUTED_VALUE"""),8.0)</f>
        <v>8</v>
      </c>
      <c r="W161" s="98">
        <f>IFERROR(__xludf.DUMMYFUNCTION("""COMPUTED_VALUE"""),44039.0)</f>
        <v>44039</v>
      </c>
      <c r="X161" s="96" t="str">
        <f>IFERROR(__xludf.DUMMYFUNCTION("""COMPUTED_VALUE"""),"NDOMA BODE I.D")</f>
        <v>NDOMA BODE I.D</v>
      </c>
      <c r="Y161" s="96" t="str">
        <f>IFERROR(__xludf.DUMMYFUNCTION("""COMPUTED_VALUE"""),"NDOMA BODE I.D8")</f>
        <v>NDOMA BODE I.D8</v>
      </c>
      <c r="Z161" s="96">
        <f>IFERROR(__xludf.DUMMYFUNCTION("""COMPUTED_VALUE"""),389.0)</f>
        <v>389</v>
      </c>
      <c r="AA161" s="96">
        <f>IFERROR(__xludf.DUMMYFUNCTION("""COMPUTED_VALUE"""),41.0)</f>
        <v>41</v>
      </c>
      <c r="AB161" s="96"/>
      <c r="AC161" s="96">
        <f>IFERROR(__xludf.DUMMYFUNCTION("""COMPUTED_VALUE"""),5.0)</f>
        <v>5</v>
      </c>
      <c r="AD161" s="96">
        <f>IFERROR(__xludf.DUMMYFUNCTION("""COMPUTED_VALUE"""),0.0)</f>
        <v>0</v>
      </c>
      <c r="AE161" s="96">
        <f>IFERROR(__xludf.DUMMYFUNCTION("""COMPUTED_VALUE"""),780.0)</f>
        <v>780</v>
      </c>
      <c r="AF161" s="96"/>
      <c r="AG161" s="99">
        <f>IFERROR(__xludf.DUMMYFUNCTION("""COMPUTED_VALUE"""),-298740.0)</f>
        <v>-298740</v>
      </c>
      <c r="AH161" s="96">
        <f>IFERROR(__xludf.DUMMYFUNCTION("""COMPUTED_VALUE"""),8.2)</f>
        <v>8.2</v>
      </c>
      <c r="AI161" s="96">
        <f>IFERROR(__xludf.DUMMYFUNCTION("""COMPUTED_VALUE"""),1.0)</f>
        <v>1</v>
      </c>
      <c r="AJ161" s="96">
        <f>IFERROR(__xludf.DUMMYFUNCTION("""COMPUTED_VALUE"""),6.0)</f>
        <v>6</v>
      </c>
      <c r="AK161" s="96">
        <f>IFERROR(__xludf.DUMMYFUNCTION("""COMPUTED_VALUE"""),4.0)</f>
        <v>4</v>
      </c>
      <c r="AL161" s="129">
        <f>IFERROR(__xludf.DUMMYFUNCTION("""COMPUTED_VALUE"""),383.0)</f>
        <v>383</v>
      </c>
      <c r="AM161" s="99">
        <f>IFERROR(__xludf.DUMMYFUNCTION("""COMPUTED_VALUE"""),298740.0)</f>
        <v>298740</v>
      </c>
    </row>
    <row r="162">
      <c r="V162" s="96">
        <f>IFERROR(__xludf.DUMMYFUNCTION("""COMPUTED_VALUE"""),3.0)</f>
        <v>3</v>
      </c>
      <c r="W162" s="98">
        <f>IFERROR(__xludf.DUMMYFUNCTION("""COMPUTED_VALUE"""),44039.0)</f>
        <v>44039</v>
      </c>
      <c r="X162" s="96" t="str">
        <f>IFERROR(__xludf.DUMMYFUNCTION("""COMPUTED_VALUE"""),"BOSURU  BOSURU")</f>
        <v>BOSURU  BOSURU</v>
      </c>
      <c r="Y162" s="96" t="str">
        <f>IFERROR(__xludf.DUMMYFUNCTION("""COMPUTED_VALUE"""),"BOSURU  BOSURU3")</f>
        <v>BOSURU  BOSURU3</v>
      </c>
      <c r="Z162" s="96">
        <f>IFERROR(__xludf.DUMMYFUNCTION("""COMPUTED_VALUE"""),222.0)</f>
        <v>222</v>
      </c>
      <c r="AA162" s="96">
        <f>IFERROR(__xludf.DUMMYFUNCTION("""COMPUTED_VALUE"""),24.0)</f>
        <v>24</v>
      </c>
      <c r="AB162" s="96"/>
      <c r="AC162" s="96">
        <f>IFERROR(__xludf.DUMMYFUNCTION("""COMPUTED_VALUE"""),3.0)</f>
        <v>3</v>
      </c>
      <c r="AD162" s="96"/>
      <c r="AE162" s="96">
        <f>IFERROR(__xludf.DUMMYFUNCTION("""COMPUTED_VALUE"""),780.0)</f>
        <v>780</v>
      </c>
      <c r="AF162" s="96"/>
      <c r="AG162" s="99">
        <f>IFERROR(__xludf.DUMMYFUNCTION("""COMPUTED_VALUE"""),-170820.0)</f>
        <v>-170820</v>
      </c>
      <c r="AH162" s="96">
        <f>IFERROR(__xludf.DUMMYFUNCTION("""COMPUTED_VALUE"""),8.0)</f>
        <v>8</v>
      </c>
      <c r="AI162" s="96">
        <f>IFERROR(__xludf.DUMMYFUNCTION("""COMPUTED_VALUE"""),0.0)</f>
        <v>0</v>
      </c>
      <c r="AJ162" s="96">
        <f>IFERROR(__xludf.DUMMYFUNCTION("""COMPUTED_VALUE"""),3.0)</f>
        <v>3</v>
      </c>
      <c r="AK162" s="96">
        <f>IFERROR(__xludf.DUMMYFUNCTION("""COMPUTED_VALUE"""),30.0)</f>
        <v>30</v>
      </c>
      <c r="AL162" s="129">
        <f>IFERROR(__xludf.DUMMYFUNCTION("""COMPUTED_VALUE"""),219.0)</f>
        <v>219</v>
      </c>
      <c r="AM162" s="99">
        <f>IFERROR(__xludf.DUMMYFUNCTION("""COMPUTED_VALUE"""),170820.0)</f>
        <v>170820</v>
      </c>
    </row>
    <row r="163">
      <c r="V163" s="96">
        <f>IFERROR(__xludf.DUMMYFUNCTION("""COMPUTED_VALUE"""),3.0)</f>
        <v>3</v>
      </c>
      <c r="W163" s="98">
        <f>IFERROR(__xludf.DUMMYFUNCTION("""COMPUTED_VALUE"""),44039.0)</f>
        <v>44039</v>
      </c>
      <c r="X163" s="96" t="str">
        <f>IFERROR(__xludf.DUMMYFUNCTION("""COMPUTED_VALUE"""),"PRINNESS")</f>
        <v>PRINNESS</v>
      </c>
      <c r="Y163" s="96" t="str">
        <f>IFERROR(__xludf.DUMMYFUNCTION("""COMPUTED_VALUE"""),"PRINNESS3")</f>
        <v>PRINNESS3</v>
      </c>
      <c r="Z163" s="96">
        <f>IFERROR(__xludf.DUMMYFUNCTION("""COMPUTED_VALUE"""),114.0)</f>
        <v>114</v>
      </c>
      <c r="AA163" s="96">
        <f>IFERROR(__xludf.DUMMYFUNCTION("""COMPUTED_VALUE"""),21.0)</f>
        <v>21</v>
      </c>
      <c r="AB163" s="96"/>
      <c r="AC163" s="96">
        <f>IFERROR(__xludf.DUMMYFUNCTION("""COMPUTED_VALUE"""),2.0)</f>
        <v>2</v>
      </c>
      <c r="AD163" s="96"/>
      <c r="AE163" s="96">
        <f>IFERROR(__xludf.DUMMYFUNCTION("""COMPUTED_VALUE"""),780.0)</f>
        <v>780</v>
      </c>
      <c r="AF163" s="96"/>
      <c r="AG163" s="99">
        <f>IFERROR(__xludf.DUMMYFUNCTION("""COMPUTED_VALUE"""),-85020.0)</f>
        <v>-85020</v>
      </c>
      <c r="AH163" s="96">
        <f>IFERROR(__xludf.DUMMYFUNCTION("""COMPUTED_VALUE"""),10.5)</f>
        <v>10.5</v>
      </c>
      <c r="AI163" s="96">
        <f>IFERROR(__xludf.DUMMYFUNCTION("""COMPUTED_VALUE"""),3.0)</f>
        <v>3</v>
      </c>
      <c r="AJ163" s="96">
        <f>IFERROR(__xludf.DUMMYFUNCTION("""COMPUTED_VALUE"""),1.0)</f>
        <v>1</v>
      </c>
      <c r="AK163" s="96">
        <f>IFERROR(__xludf.DUMMYFUNCTION("""COMPUTED_VALUE"""),46.0)</f>
        <v>46</v>
      </c>
      <c r="AL163" s="129">
        <f>IFERROR(__xludf.DUMMYFUNCTION("""COMPUTED_VALUE"""),109.0)</f>
        <v>109</v>
      </c>
      <c r="AM163" s="99">
        <f>IFERROR(__xludf.DUMMYFUNCTION("""COMPUTED_VALUE"""),85020.0)</f>
        <v>85020</v>
      </c>
    </row>
    <row r="164">
      <c r="V164" s="96">
        <f>IFERROR(__xludf.DUMMYFUNCTION("""COMPUTED_VALUE"""),6.0)</f>
        <v>6</v>
      </c>
      <c r="W164" s="98">
        <f>IFERROR(__xludf.DUMMYFUNCTION("""COMPUTED_VALUE"""),44041.0)</f>
        <v>44041</v>
      </c>
      <c r="X164" s="96" t="str">
        <f>IFERROR(__xludf.DUMMYFUNCTION("""COMPUTED_VALUE"""),"JAMES AKAN")</f>
        <v>JAMES AKAN</v>
      </c>
      <c r="Y164" s="96" t="str">
        <f>IFERROR(__xludf.DUMMYFUNCTION("""COMPUTED_VALUE"""),"JAMES AKAN6")</f>
        <v>JAMES AKAN6</v>
      </c>
      <c r="Z164" s="96">
        <f>IFERROR(__xludf.DUMMYFUNCTION("""COMPUTED_VALUE"""),193.0)</f>
        <v>193</v>
      </c>
      <c r="AA164" s="96">
        <f>IFERROR(__xludf.DUMMYFUNCTION("""COMPUTED_VALUE"""),24.0)</f>
        <v>24</v>
      </c>
      <c r="AB164" s="96"/>
      <c r="AC164" s="96">
        <f>IFERROR(__xludf.DUMMYFUNCTION("""COMPUTED_VALUE"""),3.0)</f>
        <v>3</v>
      </c>
      <c r="AD164" s="96"/>
      <c r="AE164" s="96">
        <f>IFERROR(__xludf.DUMMYFUNCTION("""COMPUTED_VALUE"""),780.0)</f>
        <v>780</v>
      </c>
      <c r="AF164" s="96"/>
      <c r="AG164" s="99">
        <f>IFERROR(__xludf.DUMMYFUNCTION("""COMPUTED_VALUE"""),-148200.0)</f>
        <v>-148200</v>
      </c>
      <c r="AH164" s="96">
        <f>IFERROR(__xludf.DUMMYFUNCTION("""COMPUTED_VALUE"""),8.0)</f>
        <v>8</v>
      </c>
      <c r="AI164" s="96">
        <f>IFERROR(__xludf.DUMMYFUNCTION("""COMPUTED_VALUE"""),0.0)</f>
        <v>0</v>
      </c>
      <c r="AJ164" s="96">
        <f>IFERROR(__xludf.DUMMYFUNCTION("""COMPUTED_VALUE"""),3.0)</f>
        <v>3</v>
      </c>
      <c r="AK164" s="96">
        <f>IFERROR(__xludf.DUMMYFUNCTION("""COMPUTED_VALUE"""),0.0)</f>
        <v>0</v>
      </c>
      <c r="AL164" s="129">
        <f>IFERROR(__xludf.DUMMYFUNCTION("""COMPUTED_VALUE"""),190.0)</f>
        <v>190</v>
      </c>
      <c r="AM164" s="99">
        <f>IFERROR(__xludf.DUMMYFUNCTION("""COMPUTED_VALUE"""),148200.0)</f>
        <v>148200</v>
      </c>
    </row>
    <row r="165">
      <c r="V165" s="96">
        <f>IFERROR(__xludf.DUMMYFUNCTION("""COMPUTED_VALUE"""),9.0)</f>
        <v>9</v>
      </c>
      <c r="W165" s="98">
        <f>IFERROR(__xludf.DUMMYFUNCTION("""COMPUTED_VALUE"""),44045.0)</f>
        <v>44045</v>
      </c>
      <c r="X165" s="96" t="str">
        <f>IFERROR(__xludf.DUMMYFUNCTION("""COMPUTED_VALUE"""),"NDOMA BODE I.D")</f>
        <v>NDOMA BODE I.D</v>
      </c>
      <c r="Y165" s="96" t="str">
        <f>IFERROR(__xludf.DUMMYFUNCTION("""COMPUTED_VALUE"""),"NDOMA BODE I.D9")</f>
        <v>NDOMA BODE I.D9</v>
      </c>
      <c r="Z165" s="96">
        <f>IFERROR(__xludf.DUMMYFUNCTION("""COMPUTED_VALUE"""),192.0)</f>
        <v>192</v>
      </c>
      <c r="AA165" s="96">
        <f>IFERROR(__xludf.DUMMYFUNCTION("""COMPUTED_VALUE"""),24.0)</f>
        <v>24</v>
      </c>
      <c r="AB165" s="96"/>
      <c r="AC165" s="96">
        <f>IFERROR(__xludf.DUMMYFUNCTION("""COMPUTED_VALUE"""),3.0)</f>
        <v>3</v>
      </c>
      <c r="AD165" s="96"/>
      <c r="AE165" s="96">
        <f>IFERROR(__xludf.DUMMYFUNCTION("""COMPUTED_VALUE"""),780.0)</f>
        <v>780</v>
      </c>
      <c r="AF165" s="96"/>
      <c r="AG165" s="99">
        <f>IFERROR(__xludf.DUMMYFUNCTION("""COMPUTED_VALUE"""),-147420.0)</f>
        <v>-147420</v>
      </c>
      <c r="AH165" s="96">
        <f>IFERROR(__xludf.DUMMYFUNCTION("""COMPUTED_VALUE"""),8.0)</f>
        <v>8</v>
      </c>
      <c r="AI165" s="96">
        <f>IFERROR(__xludf.DUMMYFUNCTION("""COMPUTED_VALUE"""),0.0)</f>
        <v>0</v>
      </c>
      <c r="AJ165" s="96">
        <f>IFERROR(__xludf.DUMMYFUNCTION("""COMPUTED_VALUE"""),3.0)</f>
        <v>3</v>
      </c>
      <c r="AK165" s="96">
        <f>IFERROR(__xludf.DUMMYFUNCTION("""COMPUTED_VALUE"""),0.0)</f>
        <v>0</v>
      </c>
      <c r="AL165" s="129">
        <f>IFERROR(__xludf.DUMMYFUNCTION("""COMPUTED_VALUE"""),189.0)</f>
        <v>189</v>
      </c>
      <c r="AM165" s="99">
        <f>IFERROR(__xludf.DUMMYFUNCTION("""COMPUTED_VALUE"""),147420.0)</f>
        <v>147420</v>
      </c>
    </row>
    <row r="166">
      <c r="V166" s="96">
        <f>IFERROR(__xludf.DUMMYFUNCTION("""COMPUTED_VALUE"""),7.0)</f>
        <v>7</v>
      </c>
      <c r="W166" s="98">
        <f>IFERROR(__xludf.DUMMYFUNCTION("""COMPUTED_VALUE"""),44078.0)</f>
        <v>44078</v>
      </c>
      <c r="X166" s="96" t="str">
        <f>IFERROR(__xludf.DUMMYFUNCTION("""COMPUTED_VALUE"""),"JAMES AKAN")</f>
        <v>JAMES AKAN</v>
      </c>
      <c r="Y166" s="96" t="str">
        <f>IFERROR(__xludf.DUMMYFUNCTION("""COMPUTED_VALUE"""),"JAMES AKAN7")</f>
        <v>JAMES AKAN7</v>
      </c>
      <c r="Z166" s="96">
        <f>IFERROR(__xludf.DUMMYFUNCTION("""COMPUTED_VALUE"""),367.0)</f>
        <v>367</v>
      </c>
      <c r="AA166" s="96">
        <f>IFERROR(__xludf.DUMMYFUNCTION("""COMPUTED_VALUE"""),43.0)</f>
        <v>43</v>
      </c>
      <c r="AB166" s="96"/>
      <c r="AC166" s="96">
        <f>IFERROR(__xludf.DUMMYFUNCTION("""COMPUTED_VALUE"""),5.0)</f>
        <v>5</v>
      </c>
      <c r="AD166" s="96">
        <f>IFERROR(__xludf.DUMMYFUNCTION("""COMPUTED_VALUE"""),0.0)</f>
        <v>0</v>
      </c>
      <c r="AE166" s="96">
        <f>IFERROR(__xludf.DUMMYFUNCTION("""COMPUTED_VALUE"""),780.0)</f>
        <v>780</v>
      </c>
      <c r="AF166" s="96"/>
      <c r="AG166" s="99">
        <f>IFERROR(__xludf.DUMMYFUNCTION("""COMPUTED_VALUE"""),-280800.0)</f>
        <v>-280800</v>
      </c>
      <c r="AH166" s="96">
        <f>IFERROR(__xludf.DUMMYFUNCTION("""COMPUTED_VALUE"""),8.6)</f>
        <v>8.6</v>
      </c>
      <c r="AI166" s="96">
        <f>IFERROR(__xludf.DUMMYFUNCTION("""COMPUTED_VALUE"""),2.0)</f>
        <v>2</v>
      </c>
      <c r="AJ166" s="96">
        <f>IFERROR(__xludf.DUMMYFUNCTION("""COMPUTED_VALUE"""),5.0)</f>
        <v>5</v>
      </c>
      <c r="AK166" s="96">
        <f>IFERROR(__xludf.DUMMYFUNCTION("""COMPUTED_VALUE"""),45.0)</f>
        <v>45</v>
      </c>
      <c r="AL166" s="129">
        <f>IFERROR(__xludf.DUMMYFUNCTION("""COMPUTED_VALUE"""),360.0)</f>
        <v>360</v>
      </c>
      <c r="AM166" s="99">
        <f>IFERROR(__xludf.DUMMYFUNCTION("""COMPUTED_VALUE"""),280800.0)</f>
        <v>280800</v>
      </c>
    </row>
    <row r="167">
      <c r="V167" s="96">
        <f>IFERROR(__xludf.DUMMYFUNCTION("""COMPUTED_VALUE"""),3.0)</f>
        <v>3</v>
      </c>
      <c r="W167" s="98">
        <f>IFERROR(__xludf.DUMMYFUNCTION("""COMPUTED_VALUE"""),44078.0)</f>
        <v>44078</v>
      </c>
      <c r="X167" s="96" t="str">
        <f>IFERROR(__xludf.DUMMYFUNCTION("""COMPUTED_VALUE"""),"MAXWELL AGRO OBI")</f>
        <v>MAXWELL AGRO OBI</v>
      </c>
      <c r="Y167" s="96" t="str">
        <f>IFERROR(__xludf.DUMMYFUNCTION("""COMPUTED_VALUE"""),"MAXWELL AGRO OBI3")</f>
        <v>MAXWELL AGRO OBI3</v>
      </c>
      <c r="Z167" s="96">
        <f>IFERROR(__xludf.DUMMYFUNCTION("""COMPUTED_VALUE"""),263.0)</f>
        <v>263</v>
      </c>
      <c r="AA167" s="96">
        <f>IFERROR(__xludf.DUMMYFUNCTION("""COMPUTED_VALUE"""),43.5)</f>
        <v>43.5</v>
      </c>
      <c r="AB167" s="96"/>
      <c r="AC167" s="96">
        <f>IFERROR(__xludf.DUMMYFUNCTION("""COMPUTED_VALUE"""),4.0)</f>
        <v>4</v>
      </c>
      <c r="AD167" s="96"/>
      <c r="AE167" s="96">
        <f>IFERROR(__xludf.DUMMYFUNCTION("""COMPUTED_VALUE"""),780.0)</f>
        <v>780</v>
      </c>
      <c r="AF167" s="96"/>
      <c r="AG167" s="99">
        <f>IFERROR(__xludf.DUMMYFUNCTION("""COMPUTED_VALUE"""),-196560.0)</f>
        <v>-196560</v>
      </c>
      <c r="AH167" s="96">
        <f>IFERROR(__xludf.DUMMYFUNCTION("""COMPUTED_VALUE"""),10.88)</f>
        <v>10.88</v>
      </c>
      <c r="AI167" s="96">
        <f>IFERROR(__xludf.DUMMYFUNCTION("""COMPUTED_VALUE"""),7.0)</f>
        <v>7</v>
      </c>
      <c r="AJ167" s="96">
        <f>IFERROR(__xludf.DUMMYFUNCTION("""COMPUTED_VALUE"""),4.0)</f>
        <v>4</v>
      </c>
      <c r="AK167" s="96">
        <f>IFERROR(__xludf.DUMMYFUNCTION("""COMPUTED_VALUE"""),0.0)</f>
        <v>0</v>
      </c>
      <c r="AL167" s="129">
        <f>IFERROR(__xludf.DUMMYFUNCTION("""COMPUTED_VALUE"""),252.0)</f>
        <v>252</v>
      </c>
      <c r="AM167" s="99">
        <f>IFERROR(__xludf.DUMMYFUNCTION("""COMPUTED_VALUE"""),196560.0)</f>
        <v>196560</v>
      </c>
    </row>
    <row r="168">
      <c r="V168" s="96">
        <f>IFERROR(__xludf.DUMMYFUNCTION("""COMPUTED_VALUE"""),13.0)</f>
        <v>13</v>
      </c>
      <c r="W168" s="98">
        <f>IFERROR(__xludf.DUMMYFUNCTION("""COMPUTED_VALUE"""),44078.0)</f>
        <v>44078</v>
      </c>
      <c r="X168" s="96" t="str">
        <f>IFERROR(__xludf.DUMMYFUNCTION("""COMPUTED_VALUE"""),"LYDIA HNSON ")</f>
        <v>LYDIA HNSON </v>
      </c>
      <c r="Y168" s="96" t="str">
        <f>IFERROR(__xludf.DUMMYFUNCTION("""COMPUTED_VALUE"""),"LYDIA HNSON 13")</f>
        <v>LYDIA HNSON 13</v>
      </c>
      <c r="Z168" s="96">
        <f>IFERROR(__xludf.DUMMYFUNCTION("""COMPUTED_VALUE"""),228.0)</f>
        <v>228</v>
      </c>
      <c r="AA168" s="96">
        <f>IFERROR(__xludf.DUMMYFUNCTION("""COMPUTED_VALUE"""),32.0)</f>
        <v>32</v>
      </c>
      <c r="AB168" s="96"/>
      <c r="AC168" s="96">
        <f>IFERROR(__xludf.DUMMYFUNCTION("""COMPUTED_VALUE"""),4.0)</f>
        <v>4</v>
      </c>
      <c r="AD168" s="96">
        <f>IFERROR(__xludf.DUMMYFUNCTION("""COMPUTED_VALUE"""),4.0)</f>
        <v>4</v>
      </c>
      <c r="AE168" s="96">
        <f>IFERROR(__xludf.DUMMYFUNCTION("""COMPUTED_VALUE"""),800.0)</f>
        <v>800</v>
      </c>
      <c r="AF168" s="96"/>
      <c r="AG168" s="99">
        <f>IFERROR(__xludf.DUMMYFUNCTION("""COMPUTED_VALUE"""),-182400.0)</f>
        <v>-182400</v>
      </c>
      <c r="AH168" s="96">
        <f>IFERROR(__xludf.DUMMYFUNCTION("""COMPUTED_VALUE"""),8.0)</f>
        <v>8</v>
      </c>
      <c r="AI168" s="96">
        <f>IFERROR(__xludf.DUMMYFUNCTION("""COMPUTED_VALUE"""),0.0)</f>
        <v>0</v>
      </c>
      <c r="AJ168" s="96">
        <f>IFERROR(__xludf.DUMMYFUNCTION("""COMPUTED_VALUE"""),3.0)</f>
        <v>3</v>
      </c>
      <c r="AK168" s="96">
        <f>IFERROR(__xludf.DUMMYFUNCTION("""COMPUTED_VALUE"""),39.0)</f>
        <v>39</v>
      </c>
      <c r="AL168" s="129">
        <f>IFERROR(__xludf.DUMMYFUNCTION("""COMPUTED_VALUE"""),228.0)</f>
        <v>228</v>
      </c>
      <c r="AM168" s="99">
        <f>IFERROR(__xludf.DUMMYFUNCTION("""COMPUTED_VALUE"""),182400.0)</f>
        <v>182400</v>
      </c>
    </row>
    <row r="169">
      <c r="V169" s="96">
        <f>IFERROR(__xludf.DUMMYFUNCTION("""COMPUTED_VALUE"""),2.0)</f>
        <v>2</v>
      </c>
      <c r="W169" s="98">
        <f>IFERROR(__xludf.DUMMYFUNCTION("""COMPUTED_VALUE"""),44078.0)</f>
        <v>44078</v>
      </c>
      <c r="X169" s="96" t="str">
        <f>IFERROR(__xludf.DUMMYFUNCTION("""COMPUTED_VALUE"""),"EUGENE")</f>
        <v>EUGENE</v>
      </c>
      <c r="Y169" s="96" t="str">
        <f>IFERROR(__xludf.DUMMYFUNCTION("""COMPUTED_VALUE"""),"EUGENE2")</f>
        <v>EUGENE2</v>
      </c>
      <c r="Z169" s="96">
        <f>IFERROR(__xludf.DUMMYFUNCTION("""COMPUTED_VALUE"""),384.0)</f>
        <v>384</v>
      </c>
      <c r="AA169" s="96">
        <f>IFERROR(__xludf.DUMMYFUNCTION("""COMPUTED_VALUE"""),18.0)</f>
        <v>18</v>
      </c>
      <c r="AB169" s="96"/>
      <c r="AC169" s="96">
        <f>IFERROR(__xludf.DUMMYFUNCTION("""COMPUTED_VALUE"""),2.0)</f>
        <v>2</v>
      </c>
      <c r="AD169" s="96">
        <f>IFERROR(__xludf.DUMMYFUNCTION("""COMPUTED_VALUE"""),0.0)</f>
        <v>0</v>
      </c>
      <c r="AE169" s="96">
        <f>IFERROR(__xludf.DUMMYFUNCTION("""COMPUTED_VALUE"""),800.0)</f>
        <v>800</v>
      </c>
      <c r="AF169" s="96"/>
      <c r="AG169" s="99">
        <f>IFERROR(__xludf.DUMMYFUNCTION("""COMPUTED_VALUE"""),-302400.0)</f>
        <v>-302400</v>
      </c>
      <c r="AH169" s="96">
        <f>IFERROR(__xludf.DUMMYFUNCTION("""COMPUTED_VALUE"""),9.0)</f>
        <v>9</v>
      </c>
      <c r="AI169" s="96">
        <f>IFERROR(__xludf.DUMMYFUNCTION("""COMPUTED_VALUE"""),4.0)</f>
        <v>4</v>
      </c>
      <c r="AJ169" s="96">
        <f>IFERROR(__xludf.DUMMYFUNCTION("""COMPUTED_VALUE"""),6.0)</f>
        <v>6</v>
      </c>
      <c r="AK169" s="96">
        <f>IFERROR(__xludf.DUMMYFUNCTION("""COMPUTED_VALUE"""),0.0)</f>
        <v>0</v>
      </c>
      <c r="AL169" s="129">
        <f>IFERROR(__xludf.DUMMYFUNCTION("""COMPUTED_VALUE"""),378.0)</f>
        <v>378</v>
      </c>
      <c r="AM169" s="99">
        <f>IFERROR(__xludf.DUMMYFUNCTION("""COMPUTED_VALUE"""),302400.0)</f>
        <v>302400</v>
      </c>
    </row>
    <row r="170">
      <c r="V170" s="96">
        <f>IFERROR(__xludf.DUMMYFUNCTION("""COMPUTED_VALUE"""),2.0)</f>
        <v>2</v>
      </c>
      <c r="W170" s="98">
        <f>IFERROR(__xludf.DUMMYFUNCTION("""COMPUTED_VALUE"""),44079.0)</f>
        <v>44079</v>
      </c>
      <c r="X170" s="96" t="str">
        <f>IFERROR(__xludf.DUMMYFUNCTION("""COMPUTED_VALUE"""),"EMMANUEL OKO ")</f>
        <v>EMMANUEL OKO </v>
      </c>
      <c r="Y170" s="96" t="str">
        <f>IFERROR(__xludf.DUMMYFUNCTION("""COMPUTED_VALUE"""),"EMMANUEL OKO 2")</f>
        <v>EMMANUEL OKO 2</v>
      </c>
      <c r="Z170" s="96">
        <f>IFERROR(__xludf.DUMMYFUNCTION("""COMPUTED_VALUE"""),189.0)</f>
        <v>189</v>
      </c>
      <c r="AA170" s="96">
        <f>IFERROR(__xludf.DUMMYFUNCTION("""COMPUTED_VALUE"""),24.0)</f>
        <v>24</v>
      </c>
      <c r="AB170" s="96"/>
      <c r="AC170" s="96">
        <f>IFERROR(__xludf.DUMMYFUNCTION("""COMPUTED_VALUE"""),3.0)</f>
        <v>3</v>
      </c>
      <c r="AD170" s="96">
        <f>IFERROR(__xludf.DUMMYFUNCTION("""COMPUTED_VALUE"""),3.0)</f>
        <v>3</v>
      </c>
      <c r="AE170" s="96">
        <f>IFERROR(__xludf.DUMMYFUNCTION("""COMPUTED_VALUE"""),750.0)</f>
        <v>750</v>
      </c>
      <c r="AF170" s="96"/>
      <c r="AG170" s="99">
        <f>IFERROR(__xludf.DUMMYFUNCTION("""COMPUTED_VALUE"""),-141750.0)</f>
        <v>-141750</v>
      </c>
      <c r="AH170" s="96">
        <f>IFERROR(__xludf.DUMMYFUNCTION("""COMPUTED_VALUE"""),8.0)</f>
        <v>8</v>
      </c>
      <c r="AI170" s="96">
        <f>IFERROR(__xludf.DUMMYFUNCTION("""COMPUTED_VALUE"""),0.0)</f>
        <v>0</v>
      </c>
      <c r="AJ170" s="96">
        <f>IFERROR(__xludf.DUMMYFUNCTION("""COMPUTED_VALUE"""),3.0)</f>
        <v>3</v>
      </c>
      <c r="AK170" s="96">
        <f>IFERROR(__xludf.DUMMYFUNCTION("""COMPUTED_VALUE"""),0.0)</f>
        <v>0</v>
      </c>
      <c r="AL170" s="129">
        <f>IFERROR(__xludf.DUMMYFUNCTION("""COMPUTED_VALUE"""),189.0)</f>
        <v>189</v>
      </c>
      <c r="AM170" s="99">
        <f>IFERROR(__xludf.DUMMYFUNCTION("""COMPUTED_VALUE"""),141750.0)</f>
        <v>141750</v>
      </c>
    </row>
    <row r="171">
      <c r="V171" s="96">
        <f>IFERROR(__xludf.DUMMYFUNCTION("""COMPUTED_VALUE"""),7.0)</f>
        <v>7</v>
      </c>
      <c r="W171" s="98">
        <f>IFERROR(__xludf.DUMMYFUNCTION("""COMPUTED_VALUE"""),44039.0)</f>
        <v>44039</v>
      </c>
      <c r="X171" s="96" t="str">
        <f>IFERROR(__xludf.DUMMYFUNCTION("""COMPUTED_VALUE"""),"CORNWELL")</f>
        <v>CORNWELL</v>
      </c>
      <c r="Y171" s="96" t="str">
        <f>IFERROR(__xludf.DUMMYFUNCTION("""COMPUTED_VALUE"""),"CORNWELL7")</f>
        <v>CORNWELL7</v>
      </c>
      <c r="Z171" s="96">
        <f>IFERROR(__xludf.DUMMYFUNCTION("""COMPUTED_VALUE"""),17903.0)</f>
        <v>17903</v>
      </c>
      <c r="AA171" s="96">
        <f>IFERROR(__xludf.DUMMYFUNCTION("""COMPUTED_VALUE"""),1464.0)</f>
        <v>1464</v>
      </c>
      <c r="AB171" s="96"/>
      <c r="AC171" s="96">
        <f>IFERROR(__xludf.DUMMYFUNCTION("""COMPUTED_VALUE"""),183.0)</f>
        <v>183</v>
      </c>
      <c r="AD171" s="96">
        <f>IFERROR(__xludf.DUMMYFUNCTION("""COMPUTED_VALUE"""),183.0)</f>
        <v>183</v>
      </c>
      <c r="AE171" s="96">
        <f>IFERROR(__xludf.DUMMYFUNCTION("""COMPUTED_VALUE"""),762.44)</f>
        <v>762.44</v>
      </c>
      <c r="AF171" s="96"/>
      <c r="AG171" s="99">
        <f>IFERROR(__xludf.DUMMYFUNCTION("""COMPUTED_VALUE"""),-1.365E7)</f>
        <v>-13650000</v>
      </c>
      <c r="AH171" s="96">
        <f>IFERROR(__xludf.DUMMYFUNCTION("""COMPUTED_VALUE"""),8.0)</f>
        <v>8</v>
      </c>
      <c r="AI171" s="96">
        <f>IFERROR(__xludf.DUMMYFUNCTION("""COMPUTED_VALUE"""),0.0)</f>
        <v>0</v>
      </c>
      <c r="AJ171" s="96">
        <f>IFERROR(__xludf.DUMMYFUNCTION("""COMPUTED_VALUE"""),284.0)</f>
        <v>284</v>
      </c>
      <c r="AK171" s="96">
        <f>IFERROR(__xludf.DUMMYFUNCTION("""COMPUTED_VALUE"""),11.0)</f>
        <v>11</v>
      </c>
      <c r="AL171" s="129">
        <f>IFERROR(__xludf.DUMMYFUNCTION("""COMPUTED_VALUE"""),17903.0)</f>
        <v>17903</v>
      </c>
      <c r="AM171" s="99">
        <f>IFERROR(__xludf.DUMMYFUNCTION("""COMPUTED_VALUE"""),1.365E7)</f>
        <v>13650000</v>
      </c>
    </row>
    <row r="172">
      <c r="V172" s="96">
        <f>IFERROR(__xludf.DUMMYFUNCTION("""COMPUTED_VALUE"""),3.0)</f>
        <v>3</v>
      </c>
      <c r="W172" s="98">
        <f>IFERROR(__xludf.DUMMYFUNCTION("""COMPUTED_VALUE"""),44048.0)</f>
        <v>44048</v>
      </c>
      <c r="X172" s="96" t="str">
        <f>IFERROR(__xludf.DUMMYFUNCTION("""COMPUTED_VALUE"""),"ALFRED ALABI")</f>
        <v>ALFRED ALABI</v>
      </c>
      <c r="Y172" s="96" t="str">
        <f>IFERROR(__xludf.DUMMYFUNCTION("""COMPUTED_VALUE"""),"ALFRED ALABI3")</f>
        <v>ALFRED ALABI3</v>
      </c>
      <c r="Z172" s="96"/>
      <c r="AA172" s="96"/>
      <c r="AB172" s="96"/>
      <c r="AC172" s="96"/>
      <c r="AD172" s="96"/>
      <c r="AE172" s="96"/>
      <c r="AF172" s="96">
        <f>IFERROR(__xludf.DUMMYFUNCTION("""COMPUTED_VALUE"""),5000.0)</f>
        <v>5000</v>
      </c>
      <c r="AG172" s="99">
        <f>IFERROR(__xludf.DUMMYFUNCTION("""COMPUTED_VALUE"""),5000.0)</f>
        <v>5000</v>
      </c>
      <c r="AH172" s="96"/>
      <c r="AI172" s="96">
        <f>IFERROR(__xludf.DUMMYFUNCTION("""COMPUTED_VALUE"""),0.0)</f>
        <v>0</v>
      </c>
      <c r="AJ172" s="96">
        <f>IFERROR(__xludf.DUMMYFUNCTION("""COMPUTED_VALUE"""),0.0)</f>
        <v>0</v>
      </c>
      <c r="AK172" s="96">
        <f>IFERROR(__xludf.DUMMYFUNCTION("""COMPUTED_VALUE"""),0.0)</f>
        <v>0</v>
      </c>
      <c r="AL172" s="129">
        <f>IFERROR(__xludf.DUMMYFUNCTION("""COMPUTED_VALUE"""),0.0)</f>
        <v>0</v>
      </c>
      <c r="AM172" s="99"/>
    </row>
    <row r="173">
      <c r="V173" s="96">
        <f>IFERROR(__xludf.DUMMYFUNCTION("""COMPUTED_VALUE"""),11.0)</f>
        <v>11</v>
      </c>
      <c r="W173" s="98">
        <f>IFERROR(__xludf.DUMMYFUNCTION("""COMPUTED_VALUE"""),44049.0)</f>
        <v>44049</v>
      </c>
      <c r="X173" s="96" t="str">
        <f>IFERROR(__xludf.DUMMYFUNCTION("""COMPUTED_VALUE"""),"CONNECT")</f>
        <v>CONNECT</v>
      </c>
      <c r="Y173" s="96" t="str">
        <f>IFERROR(__xludf.DUMMYFUNCTION("""COMPUTED_VALUE"""),"CONNECT11")</f>
        <v>CONNECT11</v>
      </c>
      <c r="Z173" s="96"/>
      <c r="AA173" s="96"/>
      <c r="AB173" s="96"/>
      <c r="AC173" s="96"/>
      <c r="AD173" s="96"/>
      <c r="AE173" s="96"/>
      <c r="AF173" s="96">
        <f>IFERROR(__xludf.DUMMYFUNCTION("""COMPUTED_VALUE"""),500000.0)</f>
        <v>500000</v>
      </c>
      <c r="AG173" s="99">
        <f>IFERROR(__xludf.DUMMYFUNCTION("""COMPUTED_VALUE"""),500000.0)</f>
        <v>500000</v>
      </c>
      <c r="AH173" s="96"/>
      <c r="AI173" s="96">
        <f>IFERROR(__xludf.DUMMYFUNCTION("""COMPUTED_VALUE"""),0.0)</f>
        <v>0</v>
      </c>
      <c r="AJ173" s="96">
        <f>IFERROR(__xludf.DUMMYFUNCTION("""COMPUTED_VALUE"""),0.0)</f>
        <v>0</v>
      </c>
      <c r="AK173" s="96">
        <f>IFERROR(__xludf.DUMMYFUNCTION("""COMPUTED_VALUE"""),0.0)</f>
        <v>0</v>
      </c>
      <c r="AL173" s="129">
        <f>IFERROR(__xludf.DUMMYFUNCTION("""COMPUTED_VALUE"""),0.0)</f>
        <v>0</v>
      </c>
      <c r="AM173" s="99"/>
    </row>
    <row r="174">
      <c r="V174" s="96">
        <f>IFERROR(__xludf.DUMMYFUNCTION("""COMPUTED_VALUE"""),12.0)</f>
        <v>12</v>
      </c>
      <c r="W174" s="98">
        <f>IFERROR(__xludf.DUMMYFUNCTION("""COMPUTED_VALUE"""),44049.0)</f>
        <v>44049</v>
      </c>
      <c r="X174" s="96" t="str">
        <f>IFERROR(__xludf.DUMMYFUNCTION("""COMPUTED_VALUE"""),"CONNECT")</f>
        <v>CONNECT</v>
      </c>
      <c r="Y174" s="96" t="str">
        <f>IFERROR(__xludf.DUMMYFUNCTION("""COMPUTED_VALUE"""),"CONNECT12")</f>
        <v>CONNECT12</v>
      </c>
      <c r="Z174" s="96"/>
      <c r="AA174" s="96"/>
      <c r="AB174" s="96"/>
      <c r="AC174" s="96"/>
      <c r="AD174" s="96"/>
      <c r="AE174" s="96"/>
      <c r="AF174" s="96">
        <f>IFERROR(__xludf.DUMMYFUNCTION("""COMPUTED_VALUE"""),5000.0)</f>
        <v>5000</v>
      </c>
      <c r="AG174" s="99">
        <f>IFERROR(__xludf.DUMMYFUNCTION("""COMPUTED_VALUE"""),5000.0)</f>
        <v>5000</v>
      </c>
      <c r="AH174" s="96"/>
      <c r="AI174" s="96">
        <f>IFERROR(__xludf.DUMMYFUNCTION("""COMPUTED_VALUE"""),0.0)</f>
        <v>0</v>
      </c>
      <c r="AJ174" s="96">
        <f>IFERROR(__xludf.DUMMYFUNCTION("""COMPUTED_VALUE"""),0.0)</f>
        <v>0</v>
      </c>
      <c r="AK174" s="96">
        <f>IFERROR(__xludf.DUMMYFUNCTION("""COMPUTED_VALUE"""),0.0)</f>
        <v>0</v>
      </c>
      <c r="AL174" s="129">
        <f>IFERROR(__xludf.DUMMYFUNCTION("""COMPUTED_VALUE"""),0.0)</f>
        <v>0</v>
      </c>
      <c r="AM174" s="99"/>
    </row>
    <row r="175">
      <c r="V175" s="96">
        <f>IFERROR(__xludf.DUMMYFUNCTION("""COMPUTED_VALUE"""),11.0)</f>
        <v>11</v>
      </c>
      <c r="W175" s="98">
        <f>IFERROR(__xludf.DUMMYFUNCTION("""COMPUTED_VALUE"""),44049.0)</f>
        <v>44049</v>
      </c>
      <c r="X175" s="96" t="str">
        <f>IFERROR(__xludf.DUMMYFUNCTION("""COMPUTED_VALUE"""),"RECTOR W.")</f>
        <v>RECTOR W.</v>
      </c>
      <c r="Y175" s="96" t="str">
        <f>IFERROR(__xludf.DUMMYFUNCTION("""COMPUTED_VALUE"""),"RECTOR W.11")</f>
        <v>RECTOR W.11</v>
      </c>
      <c r="Z175" s="96"/>
      <c r="AA175" s="96"/>
      <c r="AB175" s="96"/>
      <c r="AC175" s="96"/>
      <c r="AD175" s="96"/>
      <c r="AE175" s="96"/>
      <c r="AF175" s="96">
        <f>IFERROR(__xludf.DUMMYFUNCTION("""COMPUTED_VALUE"""),111800.0)</f>
        <v>111800</v>
      </c>
      <c r="AG175" s="99">
        <f>IFERROR(__xludf.DUMMYFUNCTION("""COMPUTED_VALUE"""),111800.0)</f>
        <v>111800</v>
      </c>
      <c r="AH175" s="96"/>
      <c r="AI175" s="96">
        <f>IFERROR(__xludf.DUMMYFUNCTION("""COMPUTED_VALUE"""),0.0)</f>
        <v>0</v>
      </c>
      <c r="AJ175" s="96">
        <f>IFERROR(__xludf.DUMMYFUNCTION("""COMPUTED_VALUE"""),0.0)</f>
        <v>0</v>
      </c>
      <c r="AK175" s="96">
        <f>IFERROR(__xludf.DUMMYFUNCTION("""COMPUTED_VALUE"""),0.0)</f>
        <v>0</v>
      </c>
      <c r="AL175" s="129">
        <f>IFERROR(__xludf.DUMMYFUNCTION("""COMPUTED_VALUE"""),0.0)</f>
        <v>0</v>
      </c>
      <c r="AM175" s="99"/>
    </row>
    <row r="176">
      <c r="V176" s="96">
        <f>IFERROR(__xludf.DUMMYFUNCTION("""COMPUTED_VALUE"""),8.0)</f>
        <v>8</v>
      </c>
      <c r="W176" s="98">
        <f>IFERROR(__xludf.DUMMYFUNCTION("""COMPUTED_VALUE"""),44049.0)</f>
        <v>44049</v>
      </c>
      <c r="X176" s="96" t="str">
        <f>IFERROR(__xludf.DUMMYFUNCTION("""COMPUTED_VALUE""")," MAXWELL AGRO")</f>
        <v> MAXWELL AGRO</v>
      </c>
      <c r="Y176" s="96" t="str">
        <f>IFERROR(__xludf.DUMMYFUNCTION("""COMPUTED_VALUE""")," MAXWELL AGRO8")</f>
        <v> MAXWELL AGRO8</v>
      </c>
      <c r="Z176" s="96"/>
      <c r="AA176" s="96"/>
      <c r="AB176" s="96"/>
      <c r="AC176" s="96"/>
      <c r="AD176" s="96"/>
      <c r="AE176" s="96"/>
      <c r="AF176" s="96">
        <f>IFERROR(__xludf.DUMMYFUNCTION("""COMPUTED_VALUE"""),2000.0)</f>
        <v>2000</v>
      </c>
      <c r="AG176" s="99">
        <f>IFERROR(__xludf.DUMMYFUNCTION("""COMPUTED_VALUE"""),2000.0)</f>
        <v>2000</v>
      </c>
      <c r="AH176" s="96"/>
      <c r="AI176" s="96">
        <f>IFERROR(__xludf.DUMMYFUNCTION("""COMPUTED_VALUE"""),0.0)</f>
        <v>0</v>
      </c>
      <c r="AJ176" s="96">
        <f>IFERROR(__xludf.DUMMYFUNCTION("""COMPUTED_VALUE"""),0.0)</f>
        <v>0</v>
      </c>
      <c r="AK176" s="96">
        <f>IFERROR(__xludf.DUMMYFUNCTION("""COMPUTED_VALUE"""),0.0)</f>
        <v>0</v>
      </c>
      <c r="AL176" s="129">
        <f>IFERROR(__xludf.DUMMYFUNCTION("""COMPUTED_VALUE"""),0.0)</f>
        <v>0</v>
      </c>
      <c r="AM176" s="99"/>
    </row>
    <row r="177">
      <c r="V177" s="96">
        <f>IFERROR(__xludf.DUMMYFUNCTION("""COMPUTED_VALUE"""),1.0)</f>
        <v>1</v>
      </c>
      <c r="W177" s="98">
        <f>IFERROR(__xludf.DUMMYFUNCTION("""COMPUTED_VALUE"""),44049.0)</f>
        <v>44049</v>
      </c>
      <c r="X177" s="96" t="str">
        <f>IFERROR(__xludf.DUMMYFUNCTION("""COMPUTED_VALUE"""),"OBIM TIWA HNSON")</f>
        <v>OBIM TIWA HNSON</v>
      </c>
      <c r="Y177" s="96" t="str">
        <f>IFERROR(__xludf.DUMMYFUNCTION("""COMPUTED_VALUE"""),"OBIM TIWA HNSON1")</f>
        <v>OBIM TIWA HNSON1</v>
      </c>
      <c r="Z177" s="96"/>
      <c r="AA177" s="96"/>
      <c r="AB177" s="96"/>
      <c r="AC177" s="96"/>
      <c r="AD177" s="96"/>
      <c r="AE177" s="96"/>
      <c r="AF177" s="96">
        <f>IFERROR(__xludf.DUMMYFUNCTION("""COMPUTED_VALUE"""),90000.0)</f>
        <v>90000</v>
      </c>
      <c r="AG177" s="99">
        <f>IFERROR(__xludf.DUMMYFUNCTION("""COMPUTED_VALUE"""),90000.0)</f>
        <v>90000</v>
      </c>
      <c r="AH177" s="96"/>
      <c r="AI177" s="96">
        <f>IFERROR(__xludf.DUMMYFUNCTION("""COMPUTED_VALUE"""),0.0)</f>
        <v>0</v>
      </c>
      <c r="AJ177" s="96">
        <f>IFERROR(__xludf.DUMMYFUNCTION("""COMPUTED_VALUE"""),0.0)</f>
        <v>0</v>
      </c>
      <c r="AK177" s="96">
        <f>IFERROR(__xludf.DUMMYFUNCTION("""COMPUTED_VALUE"""),0.0)</f>
        <v>0</v>
      </c>
      <c r="AL177" s="129">
        <f>IFERROR(__xludf.DUMMYFUNCTION("""COMPUTED_VALUE"""),0.0)</f>
        <v>0</v>
      </c>
      <c r="AM177" s="99"/>
    </row>
    <row r="178">
      <c r="V178" s="96">
        <f>IFERROR(__xludf.DUMMYFUNCTION("""COMPUTED_VALUE"""),1.0)</f>
        <v>1</v>
      </c>
      <c r="W178" s="98">
        <f>IFERROR(__xludf.DUMMYFUNCTION("""COMPUTED_VALUE"""),44049.0)</f>
        <v>44049</v>
      </c>
      <c r="X178" s="96" t="str">
        <f>IFERROR(__xludf.DUMMYFUNCTION("""COMPUTED_VALUE"""),"DUN SUNDAY NDOMA (NATION)")</f>
        <v>DUN SUNDAY NDOMA (NATION)</v>
      </c>
      <c r="Y178" s="96" t="str">
        <f>IFERROR(__xludf.DUMMYFUNCTION("""COMPUTED_VALUE"""),"DUN SUNDAY NDOMA (NATION)1")</f>
        <v>DUN SUNDAY NDOMA (NATION)1</v>
      </c>
      <c r="Z178" s="96"/>
      <c r="AA178" s="96"/>
      <c r="AB178" s="96"/>
      <c r="AC178" s="96"/>
      <c r="AD178" s="96"/>
      <c r="AE178" s="96"/>
      <c r="AF178" s="96">
        <f>IFERROR(__xludf.DUMMYFUNCTION("""COMPUTED_VALUE"""),100000.0)</f>
        <v>100000</v>
      </c>
      <c r="AG178" s="99">
        <f>IFERROR(__xludf.DUMMYFUNCTION("""COMPUTED_VALUE"""),100000.0)</f>
        <v>100000</v>
      </c>
      <c r="AH178" s="96"/>
      <c r="AI178" s="96">
        <f>IFERROR(__xludf.DUMMYFUNCTION("""COMPUTED_VALUE"""),0.0)</f>
        <v>0</v>
      </c>
      <c r="AJ178" s="96">
        <f>IFERROR(__xludf.DUMMYFUNCTION("""COMPUTED_VALUE"""),0.0)</f>
        <v>0</v>
      </c>
      <c r="AK178" s="96">
        <f>IFERROR(__xludf.DUMMYFUNCTION("""COMPUTED_VALUE"""),0.0)</f>
        <v>0</v>
      </c>
      <c r="AL178" s="129">
        <f>IFERROR(__xludf.DUMMYFUNCTION("""COMPUTED_VALUE"""),0.0)</f>
        <v>0</v>
      </c>
      <c r="AM178" s="99"/>
    </row>
    <row r="179">
      <c r="V179" s="96">
        <f>IFERROR(__xludf.DUMMYFUNCTION("""COMPUTED_VALUE"""),4.0)</f>
        <v>4</v>
      </c>
      <c r="W179" s="98">
        <f>IFERROR(__xludf.DUMMYFUNCTION("""COMPUTED_VALUE"""),44049.0)</f>
        <v>44049</v>
      </c>
      <c r="X179" s="96" t="str">
        <f>IFERROR(__xludf.DUMMYFUNCTION("""COMPUTED_VALUE"""),"ALFRED ALABI")</f>
        <v>ALFRED ALABI</v>
      </c>
      <c r="Y179" s="96" t="str">
        <f>IFERROR(__xludf.DUMMYFUNCTION("""COMPUTED_VALUE"""),"ALFRED ALABI4")</f>
        <v>ALFRED ALABI4</v>
      </c>
      <c r="Z179" s="96"/>
      <c r="AA179" s="96"/>
      <c r="AB179" s="96"/>
      <c r="AC179" s="96"/>
      <c r="AD179" s="96"/>
      <c r="AE179" s="96"/>
      <c r="AF179" s="96">
        <f>IFERROR(__xludf.DUMMYFUNCTION("""COMPUTED_VALUE"""),1000000.0)</f>
        <v>1000000</v>
      </c>
      <c r="AG179" s="99">
        <f>IFERROR(__xludf.DUMMYFUNCTION("""COMPUTED_VALUE"""),1000000.0)</f>
        <v>1000000</v>
      </c>
      <c r="AH179" s="96"/>
      <c r="AI179" s="96">
        <f>IFERROR(__xludf.DUMMYFUNCTION("""COMPUTED_VALUE"""),0.0)</f>
        <v>0</v>
      </c>
      <c r="AJ179" s="96">
        <f>IFERROR(__xludf.DUMMYFUNCTION("""COMPUTED_VALUE"""),0.0)</f>
        <v>0</v>
      </c>
      <c r="AK179" s="96">
        <f>IFERROR(__xludf.DUMMYFUNCTION("""COMPUTED_VALUE"""),0.0)</f>
        <v>0</v>
      </c>
      <c r="AL179" s="129">
        <f>IFERROR(__xludf.DUMMYFUNCTION("""COMPUTED_VALUE"""),0.0)</f>
        <v>0</v>
      </c>
      <c r="AM179" s="99"/>
    </row>
    <row r="180">
      <c r="V180" s="96">
        <f>IFERROR(__xludf.DUMMYFUNCTION("""COMPUTED_VALUE"""),1.0)</f>
        <v>1</v>
      </c>
      <c r="W180" s="98">
        <f>IFERROR(__xludf.DUMMYFUNCTION("""COMPUTED_VALUE"""),44049.0)</f>
        <v>44049</v>
      </c>
      <c r="X180" s="96" t="str">
        <f>IFERROR(__xludf.DUMMYFUNCTION("""COMPUTED_VALUE"""),"A. D. FREDERICK")</f>
        <v>A. D. FREDERICK</v>
      </c>
      <c r="Y180" s="96" t="str">
        <f>IFERROR(__xludf.DUMMYFUNCTION("""COMPUTED_VALUE"""),"A. D. FREDERICK1")</f>
        <v>A. D. FREDERICK1</v>
      </c>
      <c r="Z180" s="96"/>
      <c r="AA180" s="96"/>
      <c r="AB180" s="96"/>
      <c r="AC180" s="96"/>
      <c r="AD180" s="96"/>
      <c r="AE180" s="96"/>
      <c r="AF180" s="96">
        <f>IFERROR(__xludf.DUMMYFUNCTION("""COMPUTED_VALUE"""),250000.0)</f>
        <v>250000</v>
      </c>
      <c r="AG180" s="99">
        <f>IFERROR(__xludf.DUMMYFUNCTION("""COMPUTED_VALUE"""),250000.0)</f>
        <v>250000</v>
      </c>
      <c r="AH180" s="96"/>
      <c r="AI180" s="96">
        <f>IFERROR(__xludf.DUMMYFUNCTION("""COMPUTED_VALUE"""),0.0)</f>
        <v>0</v>
      </c>
      <c r="AJ180" s="96">
        <f>IFERROR(__xludf.DUMMYFUNCTION("""COMPUTED_VALUE"""),0.0)</f>
        <v>0</v>
      </c>
      <c r="AK180" s="96">
        <f>IFERROR(__xludf.DUMMYFUNCTION("""COMPUTED_VALUE"""),0.0)</f>
        <v>0</v>
      </c>
      <c r="AL180" s="129">
        <f>IFERROR(__xludf.DUMMYFUNCTION("""COMPUTED_VALUE"""),0.0)</f>
        <v>0</v>
      </c>
      <c r="AM180" s="99"/>
    </row>
    <row r="181">
      <c r="V181" s="96">
        <f>IFERROR(__xludf.DUMMYFUNCTION("""COMPUTED_VALUE"""),3.0)</f>
        <v>3</v>
      </c>
      <c r="W181" s="98">
        <f>IFERROR(__xludf.DUMMYFUNCTION("""COMPUTED_VALUE"""),44049.0)</f>
        <v>44049</v>
      </c>
      <c r="X181" s="96" t="str">
        <f>IFERROR(__xludf.DUMMYFUNCTION("""COMPUTED_VALUE"""),"EMMANUEL OKO ")</f>
        <v>EMMANUEL OKO </v>
      </c>
      <c r="Y181" s="96" t="str">
        <f>IFERROR(__xludf.DUMMYFUNCTION("""COMPUTED_VALUE"""),"EMMANUEL OKO 3")</f>
        <v>EMMANUEL OKO 3</v>
      </c>
      <c r="Z181" s="96"/>
      <c r="AA181" s="96"/>
      <c r="AB181" s="96"/>
      <c r="AC181" s="96"/>
      <c r="AD181" s="96"/>
      <c r="AE181" s="96"/>
      <c r="AF181" s="96">
        <f>IFERROR(__xludf.DUMMYFUNCTION("""COMPUTED_VALUE"""),245000.0)</f>
        <v>245000</v>
      </c>
      <c r="AG181" s="99">
        <f>IFERROR(__xludf.DUMMYFUNCTION("""COMPUTED_VALUE"""),245000.0)</f>
        <v>245000</v>
      </c>
      <c r="AH181" s="96"/>
      <c r="AI181" s="96">
        <f>IFERROR(__xludf.DUMMYFUNCTION("""COMPUTED_VALUE"""),0.0)</f>
        <v>0</v>
      </c>
      <c r="AJ181" s="96">
        <f>IFERROR(__xludf.DUMMYFUNCTION("""COMPUTED_VALUE"""),0.0)</f>
        <v>0</v>
      </c>
      <c r="AK181" s="96">
        <f>IFERROR(__xludf.DUMMYFUNCTION("""COMPUTED_VALUE"""),0.0)</f>
        <v>0</v>
      </c>
      <c r="AL181" s="129">
        <f>IFERROR(__xludf.DUMMYFUNCTION("""COMPUTED_VALUE"""),0.0)</f>
        <v>0</v>
      </c>
      <c r="AM181" s="99"/>
    </row>
    <row r="182">
      <c r="V182" s="96">
        <f>IFERROR(__xludf.DUMMYFUNCTION("""COMPUTED_VALUE"""),12.0)</f>
        <v>12</v>
      </c>
      <c r="W182" s="98">
        <f>IFERROR(__xludf.DUMMYFUNCTION("""COMPUTED_VALUE"""),44049.0)</f>
        <v>44049</v>
      </c>
      <c r="X182" s="96" t="str">
        <f>IFERROR(__xludf.DUMMYFUNCTION("""COMPUTED_VALUE"""),"RECTOR W.")</f>
        <v>RECTOR W.</v>
      </c>
      <c r="Y182" s="96" t="str">
        <f>IFERROR(__xludf.DUMMYFUNCTION("""COMPUTED_VALUE"""),"RECTOR W.12")</f>
        <v>RECTOR W.12</v>
      </c>
      <c r="Z182" s="96"/>
      <c r="AA182" s="96"/>
      <c r="AB182" s="96"/>
      <c r="AC182" s="96"/>
      <c r="AD182" s="96"/>
      <c r="AE182" s="96"/>
      <c r="AF182" s="96">
        <f>IFERROR(__xludf.DUMMYFUNCTION("""COMPUTED_VALUE"""),3000.0)</f>
        <v>3000</v>
      </c>
      <c r="AG182" s="99">
        <f>IFERROR(__xludf.DUMMYFUNCTION("""COMPUTED_VALUE"""),3000.0)</f>
        <v>3000</v>
      </c>
      <c r="AH182" s="96"/>
      <c r="AI182" s="96">
        <f>IFERROR(__xludf.DUMMYFUNCTION("""COMPUTED_VALUE"""),0.0)</f>
        <v>0</v>
      </c>
      <c r="AJ182" s="96">
        <f>IFERROR(__xludf.DUMMYFUNCTION("""COMPUTED_VALUE"""),0.0)</f>
        <v>0</v>
      </c>
      <c r="AK182" s="96">
        <f>IFERROR(__xludf.DUMMYFUNCTION("""COMPUTED_VALUE"""),0.0)</f>
        <v>0</v>
      </c>
      <c r="AL182" s="129">
        <f>IFERROR(__xludf.DUMMYFUNCTION("""COMPUTED_VALUE"""),0.0)</f>
        <v>0</v>
      </c>
      <c r="AM182" s="99"/>
    </row>
    <row r="183">
      <c r="V183" s="96">
        <f>IFERROR(__xludf.DUMMYFUNCTION("""COMPUTED_VALUE"""),8.0)</f>
        <v>8</v>
      </c>
      <c r="W183" s="98">
        <f>IFERROR(__xludf.DUMMYFUNCTION("""COMPUTED_VALUE"""),44049.0)</f>
        <v>44049</v>
      </c>
      <c r="X183" s="96" t="str">
        <f>IFERROR(__xludf.DUMMYFUNCTION("""COMPUTED_VALUE"""),"CORNWELL")</f>
        <v>CORNWELL</v>
      </c>
      <c r="Y183" s="96" t="str">
        <f>IFERROR(__xludf.DUMMYFUNCTION("""COMPUTED_VALUE"""),"CORNWELL8")</f>
        <v>CORNWELL8</v>
      </c>
      <c r="Z183" s="96"/>
      <c r="AA183" s="96"/>
      <c r="AB183" s="96"/>
      <c r="AC183" s="96"/>
      <c r="AD183" s="96"/>
      <c r="AE183" s="96"/>
      <c r="AF183" s="96">
        <f>IFERROR(__xludf.DUMMYFUNCTION("""COMPUTED_VALUE"""),3.642825E7)</f>
        <v>36428250</v>
      </c>
      <c r="AG183" s="99">
        <f>IFERROR(__xludf.DUMMYFUNCTION("""COMPUTED_VALUE"""),3.642825E7)</f>
        <v>36428250</v>
      </c>
      <c r="AH183" s="96"/>
      <c r="AI183" s="96">
        <f>IFERROR(__xludf.DUMMYFUNCTION("""COMPUTED_VALUE"""),0.0)</f>
        <v>0</v>
      </c>
      <c r="AJ183" s="96">
        <f>IFERROR(__xludf.DUMMYFUNCTION("""COMPUTED_VALUE"""),0.0)</f>
        <v>0</v>
      </c>
      <c r="AK183" s="96">
        <f>IFERROR(__xludf.DUMMYFUNCTION("""COMPUTED_VALUE"""),0.0)</f>
        <v>0</v>
      </c>
      <c r="AL183" s="129">
        <f>IFERROR(__xludf.DUMMYFUNCTION("""COMPUTED_VALUE"""),0.0)</f>
        <v>0</v>
      </c>
      <c r="AM183" s="99"/>
    </row>
    <row r="184">
      <c r="V184" s="96">
        <f>IFERROR(__xludf.DUMMYFUNCTION("""COMPUTED_VALUE"""),13.0)</f>
        <v>13</v>
      </c>
      <c r="W184" s="98">
        <f>IFERROR(__xludf.DUMMYFUNCTION("""COMPUTED_VALUE"""),44050.0)</f>
        <v>44050</v>
      </c>
      <c r="X184" s="96" t="str">
        <f>IFERROR(__xludf.DUMMYFUNCTION("""COMPUTED_VALUE"""),"RECTOR W.")</f>
        <v>RECTOR W.</v>
      </c>
      <c r="Y184" s="96" t="str">
        <f>IFERROR(__xludf.DUMMYFUNCTION("""COMPUTED_VALUE"""),"RECTOR W.13")</f>
        <v>RECTOR W.13</v>
      </c>
      <c r="Z184" s="96"/>
      <c r="AA184" s="96"/>
      <c r="AB184" s="96"/>
      <c r="AC184" s="96"/>
      <c r="AD184" s="96"/>
      <c r="AE184" s="96"/>
      <c r="AF184" s="96">
        <f>IFERROR(__xludf.DUMMYFUNCTION("""COMPUTED_VALUE"""),2500000.0)</f>
        <v>2500000</v>
      </c>
      <c r="AG184" s="99">
        <f>IFERROR(__xludf.DUMMYFUNCTION("""COMPUTED_VALUE"""),2500000.0)</f>
        <v>2500000</v>
      </c>
      <c r="AH184" s="96"/>
      <c r="AI184" s="96">
        <f>IFERROR(__xludf.DUMMYFUNCTION("""COMPUTED_VALUE"""),0.0)</f>
        <v>0</v>
      </c>
      <c r="AJ184" s="96">
        <f>IFERROR(__xludf.DUMMYFUNCTION("""COMPUTED_VALUE"""),0.0)</f>
        <v>0</v>
      </c>
      <c r="AK184" s="96">
        <f>IFERROR(__xludf.DUMMYFUNCTION("""COMPUTED_VALUE"""),0.0)</f>
        <v>0</v>
      </c>
      <c r="AL184" s="129">
        <f>IFERROR(__xludf.DUMMYFUNCTION("""COMPUTED_VALUE"""),0.0)</f>
        <v>0</v>
      </c>
      <c r="AM184" s="99"/>
    </row>
    <row r="185">
      <c r="V185" s="96">
        <f>IFERROR(__xludf.DUMMYFUNCTION("""COMPUTED_VALUE"""),4.0)</f>
        <v>4</v>
      </c>
      <c r="W185" s="98">
        <f>IFERROR(__xludf.DUMMYFUNCTION("""COMPUTED_VALUE"""),44050.0)</f>
        <v>44050</v>
      </c>
      <c r="X185" s="96" t="str">
        <f>IFERROR(__xludf.DUMMYFUNCTION("""COMPUTED_VALUE"""),"ZULU &amp; NDOMA")</f>
        <v>ZULU &amp; NDOMA</v>
      </c>
      <c r="Y185" s="96" t="str">
        <f>IFERROR(__xludf.DUMMYFUNCTION("""COMPUTED_VALUE"""),"ZULU &amp; NDOMA4")</f>
        <v>ZULU &amp; NDOMA4</v>
      </c>
      <c r="Z185" s="96"/>
      <c r="AA185" s="96"/>
      <c r="AB185" s="96"/>
      <c r="AC185" s="96"/>
      <c r="AD185" s="96"/>
      <c r="AE185" s="96"/>
      <c r="AF185" s="96">
        <f>IFERROR(__xludf.DUMMYFUNCTION("""COMPUTED_VALUE"""),5000.0)</f>
        <v>5000</v>
      </c>
      <c r="AG185" s="99">
        <f>IFERROR(__xludf.DUMMYFUNCTION("""COMPUTED_VALUE"""),5000.0)</f>
        <v>5000</v>
      </c>
      <c r="AH185" s="96"/>
      <c r="AI185" s="96">
        <f>IFERROR(__xludf.DUMMYFUNCTION("""COMPUTED_VALUE"""),0.0)</f>
        <v>0</v>
      </c>
      <c r="AJ185" s="96">
        <f>IFERROR(__xludf.DUMMYFUNCTION("""COMPUTED_VALUE"""),0.0)</f>
        <v>0</v>
      </c>
      <c r="AK185" s="96">
        <f>IFERROR(__xludf.DUMMYFUNCTION("""COMPUTED_VALUE"""),0.0)</f>
        <v>0</v>
      </c>
      <c r="AL185" s="129">
        <f>IFERROR(__xludf.DUMMYFUNCTION("""COMPUTED_VALUE"""),0.0)</f>
        <v>0</v>
      </c>
      <c r="AM185" s="99"/>
    </row>
    <row r="186">
      <c r="V186" s="96">
        <f>IFERROR(__xludf.DUMMYFUNCTION("""COMPUTED_VALUE"""),14.0)</f>
        <v>14</v>
      </c>
      <c r="W186" s="98">
        <f>IFERROR(__xludf.DUMMYFUNCTION("""COMPUTED_VALUE"""),44050.0)</f>
        <v>44050</v>
      </c>
      <c r="X186" s="96" t="str">
        <f>IFERROR(__xludf.DUMMYFUNCTION("""COMPUTED_VALUE"""),"RECTOR W.")</f>
        <v>RECTOR W.</v>
      </c>
      <c r="Y186" s="96" t="str">
        <f>IFERROR(__xludf.DUMMYFUNCTION("""COMPUTED_VALUE"""),"RECTOR W.14")</f>
        <v>RECTOR W.14</v>
      </c>
      <c r="Z186" s="96"/>
      <c r="AA186" s="96"/>
      <c r="AB186" s="96"/>
      <c r="AC186" s="96"/>
      <c r="AD186" s="96"/>
      <c r="AE186" s="96"/>
      <c r="AF186" s="96">
        <f>IFERROR(__xludf.DUMMYFUNCTION("""COMPUTED_VALUE"""),1530000.0)</f>
        <v>1530000</v>
      </c>
      <c r="AG186" s="99">
        <f>IFERROR(__xludf.DUMMYFUNCTION("""COMPUTED_VALUE"""),1530000.0)</f>
        <v>1530000</v>
      </c>
      <c r="AH186" s="96"/>
      <c r="AI186" s="96">
        <f>IFERROR(__xludf.DUMMYFUNCTION("""COMPUTED_VALUE"""),0.0)</f>
        <v>0</v>
      </c>
      <c r="AJ186" s="96">
        <f>IFERROR(__xludf.DUMMYFUNCTION("""COMPUTED_VALUE"""),0.0)</f>
        <v>0</v>
      </c>
      <c r="AK186" s="96">
        <f>IFERROR(__xludf.DUMMYFUNCTION("""COMPUTED_VALUE"""),0.0)</f>
        <v>0</v>
      </c>
      <c r="AL186" s="129">
        <f>IFERROR(__xludf.DUMMYFUNCTION("""COMPUTED_VALUE"""),0.0)</f>
        <v>0</v>
      </c>
      <c r="AM186" s="99"/>
    </row>
    <row r="187">
      <c r="V187" s="96">
        <f>IFERROR(__xludf.DUMMYFUNCTION("""COMPUTED_VALUE"""),6.0)</f>
        <v>6</v>
      </c>
      <c r="W187" s="98">
        <f>IFERROR(__xludf.DUMMYFUNCTION("""COMPUTED_VALUE"""),44051.0)</f>
        <v>44051</v>
      </c>
      <c r="X187" s="96" t="str">
        <f>IFERROR(__xludf.DUMMYFUNCTION("""COMPUTED_VALUE"""),"ETUK EFFI")</f>
        <v>ETUK EFFI</v>
      </c>
      <c r="Y187" s="96" t="str">
        <f>IFERROR(__xludf.DUMMYFUNCTION("""COMPUTED_VALUE"""),"ETUK EFFI6")</f>
        <v>ETUK EFFI6</v>
      </c>
      <c r="Z187" s="96"/>
      <c r="AA187" s="96"/>
      <c r="AB187" s="96"/>
      <c r="AC187" s="96"/>
      <c r="AD187" s="96"/>
      <c r="AE187" s="96"/>
      <c r="AF187" s="96">
        <f>IFERROR(__xludf.DUMMYFUNCTION("""COMPUTED_VALUE"""),1379140.0)</f>
        <v>1379140</v>
      </c>
      <c r="AG187" s="99">
        <f>IFERROR(__xludf.DUMMYFUNCTION("""COMPUTED_VALUE"""),1379140.0)</f>
        <v>1379140</v>
      </c>
      <c r="AH187" s="96"/>
      <c r="AI187" s="96">
        <f>IFERROR(__xludf.DUMMYFUNCTION("""COMPUTED_VALUE"""),0.0)</f>
        <v>0</v>
      </c>
      <c r="AJ187" s="96">
        <f>IFERROR(__xludf.DUMMYFUNCTION("""COMPUTED_VALUE"""),0.0)</f>
        <v>0</v>
      </c>
      <c r="AK187" s="96">
        <f>IFERROR(__xludf.DUMMYFUNCTION("""COMPUTED_VALUE"""),0.0)</f>
        <v>0</v>
      </c>
      <c r="AL187" s="129">
        <f>IFERROR(__xludf.DUMMYFUNCTION("""COMPUTED_VALUE"""),0.0)</f>
        <v>0</v>
      </c>
      <c r="AM187" s="99"/>
    </row>
    <row r="188">
      <c r="V188" s="96">
        <f>IFERROR(__xludf.DUMMYFUNCTION("""COMPUTED_VALUE"""),15.0)</f>
        <v>15</v>
      </c>
      <c r="W188" s="98">
        <f>IFERROR(__xludf.DUMMYFUNCTION("""COMPUTED_VALUE"""),44051.0)</f>
        <v>44051</v>
      </c>
      <c r="X188" s="96" t="str">
        <f>IFERROR(__xludf.DUMMYFUNCTION("""COMPUTED_VALUE"""),"RECTOR W.")</f>
        <v>RECTOR W.</v>
      </c>
      <c r="Y188" s="96" t="str">
        <f>IFERROR(__xludf.DUMMYFUNCTION("""COMPUTED_VALUE"""),"RECTOR W.15")</f>
        <v>RECTOR W.15</v>
      </c>
      <c r="Z188" s="96"/>
      <c r="AA188" s="96"/>
      <c r="AB188" s="96"/>
      <c r="AC188" s="96"/>
      <c r="AD188" s="96"/>
      <c r="AE188" s="96"/>
      <c r="AF188" s="96">
        <f>IFERROR(__xludf.DUMMYFUNCTION("""COMPUTED_VALUE"""),75000.0)</f>
        <v>75000</v>
      </c>
      <c r="AG188" s="99">
        <f>IFERROR(__xludf.DUMMYFUNCTION("""COMPUTED_VALUE"""),75000.0)</f>
        <v>75000</v>
      </c>
      <c r="AH188" s="96"/>
      <c r="AI188" s="96">
        <f>IFERROR(__xludf.DUMMYFUNCTION("""COMPUTED_VALUE"""),0.0)</f>
        <v>0</v>
      </c>
      <c r="AJ188" s="96">
        <f>IFERROR(__xludf.DUMMYFUNCTION("""COMPUTED_VALUE"""),0.0)</f>
        <v>0</v>
      </c>
      <c r="AK188" s="96">
        <f>IFERROR(__xludf.DUMMYFUNCTION("""COMPUTED_VALUE"""),0.0)</f>
        <v>0</v>
      </c>
      <c r="AL188" s="129">
        <f>IFERROR(__xludf.DUMMYFUNCTION("""COMPUTED_VALUE"""),0.0)</f>
        <v>0</v>
      </c>
      <c r="AM188" s="99"/>
    </row>
    <row r="189">
      <c r="V189" s="96">
        <f>IFERROR(__xludf.DUMMYFUNCTION("""COMPUTED_VALUE"""),4.0)</f>
        <v>4</v>
      </c>
      <c r="W189" s="98">
        <f>IFERROR(__xludf.DUMMYFUNCTION("""COMPUTED_VALUE"""),44051.0)</f>
        <v>44051</v>
      </c>
      <c r="X189" s="96" t="str">
        <f>IFERROR(__xludf.DUMMYFUNCTION("""COMPUTED_VALUE"""),"BOSURU  BOSURU")</f>
        <v>BOSURU  BOSURU</v>
      </c>
      <c r="Y189" s="96" t="str">
        <f>IFERROR(__xludf.DUMMYFUNCTION("""COMPUTED_VALUE"""),"BOSURU  BOSURU4")</f>
        <v>BOSURU  BOSURU4</v>
      </c>
      <c r="Z189" s="96"/>
      <c r="AA189" s="96"/>
      <c r="AB189" s="96"/>
      <c r="AC189" s="96"/>
      <c r="AD189" s="96"/>
      <c r="AE189" s="96"/>
      <c r="AF189" s="96">
        <f>IFERROR(__xludf.DUMMYFUNCTION("""COMPUTED_VALUE"""),200000.0)</f>
        <v>200000</v>
      </c>
      <c r="AG189" s="99">
        <f>IFERROR(__xludf.DUMMYFUNCTION("""COMPUTED_VALUE"""),200000.0)</f>
        <v>200000</v>
      </c>
      <c r="AH189" s="96"/>
      <c r="AI189" s="96">
        <f>IFERROR(__xludf.DUMMYFUNCTION("""COMPUTED_VALUE"""),0.0)</f>
        <v>0</v>
      </c>
      <c r="AJ189" s="96">
        <f>IFERROR(__xludf.DUMMYFUNCTION("""COMPUTED_VALUE"""),0.0)</f>
        <v>0</v>
      </c>
      <c r="AK189" s="96">
        <f>IFERROR(__xludf.DUMMYFUNCTION("""COMPUTED_VALUE"""),0.0)</f>
        <v>0</v>
      </c>
      <c r="AL189" s="129">
        <f>IFERROR(__xludf.DUMMYFUNCTION("""COMPUTED_VALUE"""),0.0)</f>
        <v>0</v>
      </c>
      <c r="AM189" s="99"/>
    </row>
    <row r="190">
      <c r="V190" s="96">
        <f>IFERROR(__xludf.DUMMYFUNCTION("""COMPUTED_VALUE"""),10.0)</f>
        <v>10</v>
      </c>
      <c r="W190" s="98">
        <f>IFERROR(__xludf.DUMMYFUNCTION("""COMPUTED_VALUE"""),44052.0)</f>
        <v>44052</v>
      </c>
      <c r="X190" s="96" t="str">
        <f>IFERROR(__xludf.DUMMYFUNCTION("""COMPUTED_VALUE"""),"NDOMA BODE I.D")</f>
        <v>NDOMA BODE I.D</v>
      </c>
      <c r="Y190" s="96" t="str">
        <f>IFERROR(__xludf.DUMMYFUNCTION("""COMPUTED_VALUE"""),"NDOMA BODE I.D10")</f>
        <v>NDOMA BODE I.D10</v>
      </c>
      <c r="Z190" s="96">
        <f>IFERROR(__xludf.DUMMYFUNCTION("""COMPUTED_VALUE"""),908.0)</f>
        <v>908</v>
      </c>
      <c r="AA190" s="96">
        <f>IFERROR(__xludf.DUMMYFUNCTION("""COMPUTED_VALUE"""),129.0)</f>
        <v>129</v>
      </c>
      <c r="AB190" s="96"/>
      <c r="AC190" s="96">
        <f>IFERROR(__xludf.DUMMYFUNCTION("""COMPUTED_VALUE"""),14.0)</f>
        <v>14</v>
      </c>
      <c r="AD190" s="96">
        <f>IFERROR(__xludf.DUMMYFUNCTION("""COMPUTED_VALUE"""),0.0)</f>
        <v>0</v>
      </c>
      <c r="AE190" s="96">
        <f>IFERROR(__xludf.DUMMYFUNCTION("""COMPUTED_VALUE"""),647.43)</f>
        <v>647.43</v>
      </c>
      <c r="AF190" s="96"/>
      <c r="AG190" s="99">
        <f>IFERROR(__xludf.DUMMYFUNCTION("""COMPUTED_VALUE"""),-571680.0)</f>
        <v>-571680</v>
      </c>
      <c r="AH190" s="96">
        <f>IFERROR(__xludf.DUMMYFUNCTION("""COMPUTED_VALUE"""),9.21)</f>
        <v>9.21</v>
      </c>
      <c r="AI190" s="96">
        <f>IFERROR(__xludf.DUMMYFUNCTION("""COMPUTED_VALUE"""),11.0)</f>
        <v>11</v>
      </c>
      <c r="AJ190" s="96">
        <f>IFERROR(__xludf.DUMMYFUNCTION("""COMPUTED_VALUE"""),14.0)</f>
        <v>14</v>
      </c>
      <c r="AK190" s="96">
        <f>IFERROR(__xludf.DUMMYFUNCTION("""COMPUTED_VALUE"""),0.0)</f>
        <v>0</v>
      </c>
      <c r="AL190" s="129">
        <f>IFERROR(__xludf.DUMMYFUNCTION("""COMPUTED_VALUE"""),883.0)</f>
        <v>883</v>
      </c>
      <c r="AM190" s="99">
        <f>IFERROR(__xludf.DUMMYFUNCTION("""COMPUTED_VALUE"""),571680.0)</f>
        <v>571680</v>
      </c>
    </row>
    <row r="191">
      <c r="V191" s="96">
        <f>IFERROR(__xludf.DUMMYFUNCTION("""COMPUTED_VALUE"""),3.0)</f>
        <v>3</v>
      </c>
      <c r="W191" s="98">
        <f>IFERROR(__xludf.DUMMYFUNCTION("""COMPUTED_VALUE"""),44053.0)</f>
        <v>44053</v>
      </c>
      <c r="X191" s="96" t="str">
        <f>IFERROR(__xludf.DUMMYFUNCTION("""COMPUTED_VALUE"""),"NDOMA PETER")</f>
        <v>NDOMA PETER</v>
      </c>
      <c r="Y191" s="96" t="str">
        <f>IFERROR(__xludf.DUMMYFUNCTION("""COMPUTED_VALUE"""),"NDOMA PETER3")</f>
        <v>NDOMA PETER3</v>
      </c>
      <c r="Z191" s="96">
        <f>IFERROR(__xludf.DUMMYFUNCTION("""COMPUTED_VALUE"""),1397.0)</f>
        <v>1397</v>
      </c>
      <c r="AA191" s="96">
        <f>IFERROR(__xludf.DUMMYFUNCTION("""COMPUTED_VALUE"""),198.0)</f>
        <v>198</v>
      </c>
      <c r="AB191" s="96"/>
      <c r="AC191" s="96">
        <f>IFERROR(__xludf.DUMMYFUNCTION("""COMPUTED_VALUE"""),21.0)</f>
        <v>21</v>
      </c>
      <c r="AD191" s="96"/>
      <c r="AE191" s="96">
        <f>IFERROR(__xludf.DUMMYFUNCTION("""COMPUTED_VALUE"""),800.0)</f>
        <v>800</v>
      </c>
      <c r="AF191" s="96"/>
      <c r="AG191" s="99">
        <f>IFERROR(__xludf.DUMMYFUNCTION("""COMPUTED_VALUE"""),-1084800.0)</f>
        <v>-1084800</v>
      </c>
      <c r="AH191" s="96">
        <f>IFERROR(__xludf.DUMMYFUNCTION("""COMPUTED_VALUE"""),9.43)</f>
        <v>9.43</v>
      </c>
      <c r="AI191" s="96">
        <f>IFERROR(__xludf.DUMMYFUNCTION("""COMPUTED_VALUE"""),20.0)</f>
        <v>20</v>
      </c>
      <c r="AJ191" s="96">
        <f>IFERROR(__xludf.DUMMYFUNCTION("""COMPUTED_VALUE"""),21.0)</f>
        <v>21</v>
      </c>
      <c r="AK191" s="96">
        <f>IFERROR(__xludf.DUMMYFUNCTION("""COMPUTED_VALUE"""),33.0)</f>
        <v>33</v>
      </c>
      <c r="AL191" s="129">
        <f>IFERROR(__xludf.DUMMYFUNCTION("""COMPUTED_VALUE"""),1356.0)</f>
        <v>1356</v>
      </c>
      <c r="AM191" s="99">
        <f>IFERROR(__xludf.DUMMYFUNCTION("""COMPUTED_VALUE"""),1084800.0)</f>
        <v>1084800</v>
      </c>
    </row>
    <row r="192">
      <c r="V192" s="96">
        <f>IFERROR(__xludf.DUMMYFUNCTION("""COMPUTED_VALUE"""),6.0)</f>
        <v>6</v>
      </c>
      <c r="W192" s="98">
        <f>IFERROR(__xludf.DUMMYFUNCTION("""COMPUTED_VALUE"""),44051.0)</f>
        <v>44051</v>
      </c>
      <c r="X192" s="96" t="str">
        <f>IFERROR(__xludf.DUMMYFUNCTION("""COMPUTED_VALUE"""),"EDWARD OKO")</f>
        <v>EDWARD OKO</v>
      </c>
      <c r="Y192" s="96" t="str">
        <f>IFERROR(__xludf.DUMMYFUNCTION("""COMPUTED_VALUE"""),"EDWARD OKO6")</f>
        <v>EDWARD OKO6</v>
      </c>
      <c r="Z192" s="96">
        <f>IFERROR(__xludf.DUMMYFUNCTION("""COMPUTED_VALUE"""),1596.0)</f>
        <v>1596</v>
      </c>
      <c r="AA192" s="96">
        <f>IFERROR(__xludf.DUMMYFUNCTION("""COMPUTED_VALUE"""),211.5)</f>
        <v>211.5</v>
      </c>
      <c r="AB192" s="96"/>
      <c r="AC192" s="96">
        <f>IFERROR(__xludf.DUMMYFUNCTION("""COMPUTED_VALUE"""),24.0)</f>
        <v>24</v>
      </c>
      <c r="AD192" s="96"/>
      <c r="AE192" s="96">
        <f>IFERROR(__xludf.DUMMYFUNCTION("""COMPUTED_VALUE"""),820.0)</f>
        <v>820</v>
      </c>
      <c r="AF192" s="96"/>
      <c r="AG192" s="99">
        <f>IFERROR(__xludf.DUMMYFUNCTION("""COMPUTED_VALUE"""),-1278380.0)</f>
        <v>-1278380</v>
      </c>
      <c r="AH192" s="96">
        <f>IFERROR(__xludf.DUMMYFUNCTION("""COMPUTED_VALUE"""),8.81)</f>
        <v>8.81</v>
      </c>
      <c r="AI192" s="96">
        <f>IFERROR(__xludf.DUMMYFUNCTION("""COMPUTED_VALUE"""),13.0)</f>
        <v>13</v>
      </c>
      <c r="AJ192" s="96">
        <f>IFERROR(__xludf.DUMMYFUNCTION("""COMPUTED_VALUE"""),24.0)</f>
        <v>24</v>
      </c>
      <c r="AK192" s="96">
        <f>IFERROR(__xludf.DUMMYFUNCTION("""COMPUTED_VALUE"""),47.0)</f>
        <v>47</v>
      </c>
      <c r="AL192" s="129">
        <f>IFERROR(__xludf.DUMMYFUNCTION("""COMPUTED_VALUE"""),1559.0)</f>
        <v>1559</v>
      </c>
      <c r="AM192" s="99">
        <f>IFERROR(__xludf.DUMMYFUNCTION("""COMPUTED_VALUE"""),1278380.0)</f>
        <v>1278380</v>
      </c>
    </row>
    <row r="193">
      <c r="V193" s="96">
        <f>IFERROR(__xludf.DUMMYFUNCTION("""COMPUTED_VALUE"""),5.0)</f>
        <v>5</v>
      </c>
      <c r="W193" s="98">
        <f>IFERROR(__xludf.DUMMYFUNCTION("""COMPUTED_VALUE"""),44048.0)</f>
        <v>44048</v>
      </c>
      <c r="X193" s="96" t="str">
        <f>IFERROR(__xludf.DUMMYFUNCTION("""COMPUTED_VALUE"""),"ALFRED ALABI")</f>
        <v>ALFRED ALABI</v>
      </c>
      <c r="Y193" s="96" t="str">
        <f>IFERROR(__xludf.DUMMYFUNCTION("""COMPUTED_VALUE"""),"ALFRED ALABI5")</f>
        <v>ALFRED ALABI5</v>
      </c>
      <c r="Z193" s="96">
        <f>IFERROR(__xludf.DUMMYFUNCTION("""COMPUTED_VALUE"""),1040.0)</f>
        <v>1040</v>
      </c>
      <c r="AA193" s="96">
        <f>IFERROR(__xludf.DUMMYFUNCTION("""COMPUTED_VALUE"""),120.0)</f>
        <v>120</v>
      </c>
      <c r="AB193" s="96"/>
      <c r="AC193" s="96">
        <f>IFERROR(__xludf.DUMMYFUNCTION("""COMPUTED_VALUE"""),15.0)</f>
        <v>15</v>
      </c>
      <c r="AD193" s="96"/>
      <c r="AE193" s="96">
        <f>IFERROR(__xludf.DUMMYFUNCTION("""COMPUTED_VALUE"""),790.0)</f>
        <v>790</v>
      </c>
      <c r="AF193" s="96"/>
      <c r="AG193" s="99">
        <f>IFERROR(__xludf.DUMMYFUNCTION("""COMPUTED_VALUE"""),-809750.0)</f>
        <v>-809750</v>
      </c>
      <c r="AH193" s="96">
        <f>IFERROR(__xludf.DUMMYFUNCTION("""COMPUTED_VALUE"""),8.0)</f>
        <v>8</v>
      </c>
      <c r="AI193" s="96">
        <f>IFERROR(__xludf.DUMMYFUNCTION("""COMPUTED_VALUE"""),0.0)</f>
        <v>0</v>
      </c>
      <c r="AJ193" s="96">
        <f>IFERROR(__xludf.DUMMYFUNCTION("""COMPUTED_VALUE"""),16.0)</f>
        <v>16</v>
      </c>
      <c r="AK193" s="96">
        <f>IFERROR(__xludf.DUMMYFUNCTION("""COMPUTED_VALUE"""),16.0)</f>
        <v>16</v>
      </c>
      <c r="AL193" s="129">
        <f>IFERROR(__xludf.DUMMYFUNCTION("""COMPUTED_VALUE"""),1025.0)</f>
        <v>1025</v>
      </c>
      <c r="AM193" s="99">
        <f>IFERROR(__xludf.DUMMYFUNCTION("""COMPUTED_VALUE"""),809750.0)</f>
        <v>809750</v>
      </c>
    </row>
    <row r="194">
      <c r="V194" s="96">
        <f>IFERROR(__xludf.DUMMYFUNCTION("""COMPUTED_VALUE"""),16.0)</f>
        <v>16</v>
      </c>
      <c r="W194" s="98">
        <f>IFERROR(__xludf.DUMMYFUNCTION("""COMPUTED_VALUE"""),44053.0)</f>
        <v>44053</v>
      </c>
      <c r="X194" s="96" t="str">
        <f>IFERROR(__xludf.DUMMYFUNCTION("""COMPUTED_VALUE"""),"RECTOR W.")</f>
        <v>RECTOR W.</v>
      </c>
      <c r="Y194" s="96" t="str">
        <f>IFERROR(__xludf.DUMMYFUNCTION("""COMPUTED_VALUE"""),"RECTOR W.16")</f>
        <v>RECTOR W.16</v>
      </c>
      <c r="Z194" s="96">
        <f>IFERROR(__xludf.DUMMYFUNCTION("""COMPUTED_VALUE"""),1420.0)</f>
        <v>1420</v>
      </c>
      <c r="AA194" s="96">
        <f>IFERROR(__xludf.DUMMYFUNCTION("""COMPUTED_VALUE"""),176.0)</f>
        <v>176</v>
      </c>
      <c r="AB194" s="96"/>
      <c r="AC194" s="96">
        <f>IFERROR(__xludf.DUMMYFUNCTION("""COMPUTED_VALUE"""),22.0)</f>
        <v>22</v>
      </c>
      <c r="AD194" s="96"/>
      <c r="AE194" s="96">
        <f>IFERROR(__xludf.DUMMYFUNCTION("""COMPUTED_VALUE"""),780.0)</f>
        <v>780</v>
      </c>
      <c r="AF194" s="96"/>
      <c r="AG194" s="99">
        <f>IFERROR(__xludf.DUMMYFUNCTION("""COMPUTED_VALUE"""),-1090440.0)</f>
        <v>-1090440</v>
      </c>
      <c r="AH194" s="96">
        <f>IFERROR(__xludf.DUMMYFUNCTION("""COMPUTED_VALUE"""),8.0)</f>
        <v>8</v>
      </c>
      <c r="AI194" s="96">
        <f>IFERROR(__xludf.DUMMYFUNCTION("""COMPUTED_VALUE"""),0.0)</f>
        <v>0</v>
      </c>
      <c r="AJ194" s="96">
        <f>IFERROR(__xludf.DUMMYFUNCTION("""COMPUTED_VALUE"""),22.0)</f>
        <v>22</v>
      </c>
      <c r="AK194" s="96">
        <f>IFERROR(__xludf.DUMMYFUNCTION("""COMPUTED_VALUE"""),12.0)</f>
        <v>12</v>
      </c>
      <c r="AL194" s="129">
        <f>IFERROR(__xludf.DUMMYFUNCTION("""COMPUTED_VALUE"""),1398.0)</f>
        <v>1398</v>
      </c>
      <c r="AM194" s="99">
        <f>IFERROR(__xludf.DUMMYFUNCTION("""COMPUTED_VALUE"""),1090440.0)</f>
        <v>1090440</v>
      </c>
    </row>
    <row r="195">
      <c r="V195" s="96">
        <f>IFERROR(__xludf.DUMMYFUNCTION("""COMPUTED_VALUE"""),5.0)</f>
        <v>5</v>
      </c>
      <c r="W195" s="98">
        <f>IFERROR(__xludf.DUMMYFUNCTION("""COMPUTED_VALUE"""),44053.0)</f>
        <v>44053</v>
      </c>
      <c r="X195" s="96" t="str">
        <f>IFERROR(__xludf.DUMMYFUNCTION("""COMPUTED_VALUE"""),"ZULU &amp; NDOMA")</f>
        <v>ZULU &amp; NDOMA</v>
      </c>
      <c r="Y195" s="96" t="str">
        <f>IFERROR(__xludf.DUMMYFUNCTION("""COMPUTED_VALUE"""),"ZULU &amp; NDOMA5")</f>
        <v>ZULU &amp; NDOMA5</v>
      </c>
      <c r="Z195" s="96">
        <f>IFERROR(__xludf.DUMMYFUNCTION("""COMPUTED_VALUE"""),129.0)</f>
        <v>129</v>
      </c>
      <c r="AA195" s="96">
        <f>IFERROR(__xludf.DUMMYFUNCTION("""COMPUTED_VALUE"""),16.0)</f>
        <v>16</v>
      </c>
      <c r="AB195" s="96"/>
      <c r="AC195" s="96">
        <f>IFERROR(__xludf.DUMMYFUNCTION("""COMPUTED_VALUE"""),2.0)</f>
        <v>2</v>
      </c>
      <c r="AD195" s="96"/>
      <c r="AE195" s="96">
        <f>IFERROR(__xludf.DUMMYFUNCTION("""COMPUTED_VALUE"""),800.0)</f>
        <v>800</v>
      </c>
      <c r="AF195" s="96"/>
      <c r="AG195" s="99">
        <f>IFERROR(__xludf.DUMMYFUNCTION("""COMPUTED_VALUE"""),-101600.0)</f>
        <v>-101600</v>
      </c>
      <c r="AH195" s="96">
        <f>IFERROR(__xludf.DUMMYFUNCTION("""COMPUTED_VALUE"""),8.0)</f>
        <v>8</v>
      </c>
      <c r="AI195" s="96">
        <f>IFERROR(__xludf.DUMMYFUNCTION("""COMPUTED_VALUE"""),0.0)</f>
        <v>0</v>
      </c>
      <c r="AJ195" s="96">
        <f>IFERROR(__xludf.DUMMYFUNCTION("""COMPUTED_VALUE"""),2.0)</f>
        <v>2</v>
      </c>
      <c r="AK195" s="96">
        <f>IFERROR(__xludf.DUMMYFUNCTION("""COMPUTED_VALUE"""),0.0)</f>
        <v>0</v>
      </c>
      <c r="AL195" s="129">
        <f>IFERROR(__xludf.DUMMYFUNCTION("""COMPUTED_VALUE"""),127.0)</f>
        <v>127</v>
      </c>
      <c r="AM195" s="99">
        <f>IFERROR(__xludf.DUMMYFUNCTION("""COMPUTED_VALUE"""),101600.0)</f>
        <v>101600</v>
      </c>
    </row>
    <row r="196">
      <c r="V196" s="96">
        <f>IFERROR(__xludf.DUMMYFUNCTION("""COMPUTED_VALUE"""),5.0)</f>
        <v>5</v>
      </c>
      <c r="W196" s="98">
        <f>IFERROR(__xludf.DUMMYFUNCTION("""COMPUTED_VALUE"""),44051.0)</f>
        <v>44051</v>
      </c>
      <c r="X196" s="96" t="str">
        <f>IFERROR(__xludf.DUMMYFUNCTION("""COMPUTED_VALUE"""),"BOSURU  BOSURU")</f>
        <v>BOSURU  BOSURU</v>
      </c>
      <c r="Y196" s="96" t="str">
        <f>IFERROR(__xludf.DUMMYFUNCTION("""COMPUTED_VALUE"""),"BOSURU  BOSURU5")</f>
        <v>BOSURU  BOSURU5</v>
      </c>
      <c r="Z196" s="96">
        <f>IFERROR(__xludf.DUMMYFUNCTION("""COMPUTED_VALUE"""),232.0)</f>
        <v>232</v>
      </c>
      <c r="AA196" s="96">
        <f>IFERROR(__xludf.DUMMYFUNCTION("""COMPUTED_VALUE"""),23.66)</f>
        <v>23.66</v>
      </c>
      <c r="AB196" s="96"/>
      <c r="AC196" s="96">
        <f>IFERROR(__xludf.DUMMYFUNCTION("""COMPUTED_VALUE"""),2.0)</f>
        <v>2</v>
      </c>
      <c r="AD196" s="96"/>
      <c r="AE196" s="96">
        <f>IFERROR(__xludf.DUMMYFUNCTION("""COMPUTED_VALUE"""),800.0)</f>
        <v>800</v>
      </c>
      <c r="AF196" s="96"/>
      <c r="AG196" s="99">
        <f>IFERROR(__xludf.DUMMYFUNCTION("""COMPUTED_VALUE"""),-176800.0)</f>
        <v>-176800</v>
      </c>
      <c r="AH196" s="96">
        <f>IFERROR(__xludf.DUMMYFUNCTION("""COMPUTED_VALUE"""),11.83)</f>
        <v>11.83</v>
      </c>
      <c r="AI196" s="96">
        <f>IFERROR(__xludf.DUMMYFUNCTION("""COMPUTED_VALUE"""),9.0)</f>
        <v>9</v>
      </c>
      <c r="AJ196" s="96">
        <f>IFERROR(__xludf.DUMMYFUNCTION("""COMPUTED_VALUE"""),3.0)</f>
        <v>3</v>
      </c>
      <c r="AK196" s="96">
        <f>IFERROR(__xludf.DUMMYFUNCTION("""COMPUTED_VALUE"""),32.0)</f>
        <v>32</v>
      </c>
      <c r="AL196" s="129">
        <f>IFERROR(__xludf.DUMMYFUNCTION("""COMPUTED_VALUE"""),221.0)</f>
        <v>221</v>
      </c>
      <c r="AM196" s="99">
        <f>IFERROR(__xludf.DUMMYFUNCTION("""COMPUTED_VALUE"""),176800.0)</f>
        <v>176800</v>
      </c>
    </row>
    <row r="197">
      <c r="V197" s="96">
        <f>IFERROR(__xludf.DUMMYFUNCTION("""COMPUTED_VALUE"""),3.0)</f>
        <v>3</v>
      </c>
      <c r="W197" s="98">
        <f>IFERROR(__xludf.DUMMYFUNCTION("""COMPUTED_VALUE"""),44052.0)</f>
        <v>44052</v>
      </c>
      <c r="X197" s="96" t="str">
        <f>IFERROR(__xludf.DUMMYFUNCTION("""COMPUTED_VALUE"""),"EUGENE")</f>
        <v>EUGENE</v>
      </c>
      <c r="Y197" s="96" t="str">
        <f>IFERROR(__xludf.DUMMYFUNCTION("""COMPUTED_VALUE"""),"EUGENE3")</f>
        <v>EUGENE3</v>
      </c>
      <c r="Z197" s="96">
        <f>IFERROR(__xludf.DUMMYFUNCTION("""COMPUTED_VALUE"""),212.0)</f>
        <v>212</v>
      </c>
      <c r="AA197" s="96">
        <f>IFERROR(__xludf.DUMMYFUNCTION("""COMPUTED_VALUE"""),25.5)</f>
        <v>25.5</v>
      </c>
      <c r="AB197" s="96"/>
      <c r="AC197" s="96">
        <f>IFERROR(__xludf.DUMMYFUNCTION("""COMPUTED_VALUE"""),3.0)</f>
        <v>3</v>
      </c>
      <c r="AD197" s="96"/>
      <c r="AE197" s="96">
        <f>IFERROR(__xludf.DUMMYFUNCTION("""COMPUTED_VALUE"""),800.0)</f>
        <v>800</v>
      </c>
      <c r="AF197" s="96"/>
      <c r="AG197" s="99">
        <f>IFERROR(__xludf.DUMMYFUNCTION("""COMPUTED_VALUE"""),-166400.0)</f>
        <v>-166400</v>
      </c>
      <c r="AH197" s="96">
        <f>IFERROR(__xludf.DUMMYFUNCTION("""COMPUTED_VALUE"""),8.5)</f>
        <v>8.5</v>
      </c>
      <c r="AI197" s="96">
        <f>IFERROR(__xludf.DUMMYFUNCTION("""COMPUTED_VALUE"""),1.0)</f>
        <v>1</v>
      </c>
      <c r="AJ197" s="96">
        <f>IFERROR(__xludf.DUMMYFUNCTION("""COMPUTED_VALUE"""),3.0)</f>
        <v>3</v>
      </c>
      <c r="AK197" s="96">
        <f>IFERROR(__xludf.DUMMYFUNCTION("""COMPUTED_VALUE"""),19.0)</f>
        <v>19</v>
      </c>
      <c r="AL197" s="129">
        <f>IFERROR(__xludf.DUMMYFUNCTION("""COMPUTED_VALUE"""),208.0)</f>
        <v>208</v>
      </c>
      <c r="AM197" s="99">
        <f>IFERROR(__xludf.DUMMYFUNCTION("""COMPUTED_VALUE"""),166400.0)</f>
        <v>166400</v>
      </c>
    </row>
    <row r="198">
      <c r="V198" s="96">
        <f>IFERROR(__xludf.DUMMYFUNCTION("""COMPUTED_VALUE"""),4.0)</f>
        <v>4</v>
      </c>
      <c r="W198" s="98">
        <f>IFERROR(__xludf.DUMMYFUNCTION("""COMPUTED_VALUE"""),44054.0)</f>
        <v>44054</v>
      </c>
      <c r="X198" s="96" t="str">
        <f>IFERROR(__xludf.DUMMYFUNCTION("""COMPUTED_VALUE"""),"EMMANUEL OKO ")</f>
        <v>EMMANUEL OKO </v>
      </c>
      <c r="Y198" s="96" t="str">
        <f>IFERROR(__xludf.DUMMYFUNCTION("""COMPUTED_VALUE"""),"EMMANUEL OKO 4")</f>
        <v>EMMANUEL OKO 4</v>
      </c>
      <c r="Z198" s="96">
        <f>IFERROR(__xludf.DUMMYFUNCTION("""COMPUTED_VALUE"""),133.0)</f>
        <v>133</v>
      </c>
      <c r="AA198" s="96">
        <f>IFERROR(__xludf.DUMMYFUNCTION("""COMPUTED_VALUE"""),24.0)</f>
        <v>24</v>
      </c>
      <c r="AB198" s="96"/>
      <c r="AC198" s="96">
        <f>IFERROR(__xludf.DUMMYFUNCTION("""COMPUTED_VALUE"""),3.0)</f>
        <v>3</v>
      </c>
      <c r="AD198" s="96"/>
      <c r="AE198" s="96">
        <f>IFERROR(__xludf.DUMMYFUNCTION("""COMPUTED_VALUE"""),750.0)</f>
        <v>750</v>
      </c>
      <c r="AF198" s="96"/>
      <c r="AG198" s="99">
        <f>IFERROR(__xludf.DUMMYFUNCTION("""COMPUTED_VALUE"""),-97500.0)</f>
        <v>-97500</v>
      </c>
      <c r="AH198" s="96">
        <f>IFERROR(__xludf.DUMMYFUNCTION("""COMPUTED_VALUE"""),8.0)</f>
        <v>8</v>
      </c>
      <c r="AI198" s="96">
        <f>IFERROR(__xludf.DUMMYFUNCTION("""COMPUTED_VALUE"""),0.0)</f>
        <v>0</v>
      </c>
      <c r="AJ198" s="96">
        <f>IFERROR(__xludf.DUMMYFUNCTION("""COMPUTED_VALUE"""),2.0)</f>
        <v>2</v>
      </c>
      <c r="AK198" s="96">
        <f>IFERROR(__xludf.DUMMYFUNCTION("""COMPUTED_VALUE"""),4.0)</f>
        <v>4</v>
      </c>
      <c r="AL198" s="129">
        <f>IFERROR(__xludf.DUMMYFUNCTION("""COMPUTED_VALUE"""),130.0)</f>
        <v>130</v>
      </c>
      <c r="AM198" s="99">
        <f>IFERROR(__xludf.DUMMYFUNCTION("""COMPUTED_VALUE"""),97500.0)</f>
        <v>97500</v>
      </c>
    </row>
    <row r="199">
      <c r="V199" s="96">
        <f>IFERROR(__xludf.DUMMYFUNCTION("""COMPUTED_VALUE"""),4.0)</f>
        <v>4</v>
      </c>
      <c r="W199" s="98">
        <f>IFERROR(__xludf.DUMMYFUNCTION("""COMPUTED_VALUE"""),44054.0)</f>
        <v>44054</v>
      </c>
      <c r="X199" s="96" t="str">
        <f>IFERROR(__xludf.DUMMYFUNCTION("""COMPUTED_VALUE"""),"NDOMA PETER")</f>
        <v>NDOMA PETER</v>
      </c>
      <c r="Y199" s="96" t="str">
        <f>IFERROR(__xludf.DUMMYFUNCTION("""COMPUTED_VALUE"""),"NDOMA PETER4")</f>
        <v>NDOMA PETER4</v>
      </c>
      <c r="Z199" s="96"/>
      <c r="AA199" s="96"/>
      <c r="AB199" s="96"/>
      <c r="AC199" s="96"/>
      <c r="AD199" s="96"/>
      <c r="AE199" s="96"/>
      <c r="AF199" s="96">
        <f>IFERROR(__xludf.DUMMYFUNCTION("""COMPUTED_VALUE"""),484800.0)</f>
        <v>484800</v>
      </c>
      <c r="AG199" s="99">
        <f>IFERROR(__xludf.DUMMYFUNCTION("""COMPUTED_VALUE"""),484800.0)</f>
        <v>484800</v>
      </c>
      <c r="AH199" s="96"/>
      <c r="AI199" s="96">
        <f>IFERROR(__xludf.DUMMYFUNCTION("""COMPUTED_VALUE"""),0.0)</f>
        <v>0</v>
      </c>
      <c r="AJ199" s="96">
        <f>IFERROR(__xludf.DUMMYFUNCTION("""COMPUTED_VALUE"""),0.0)</f>
        <v>0</v>
      </c>
      <c r="AK199" s="96">
        <f>IFERROR(__xludf.DUMMYFUNCTION("""COMPUTED_VALUE"""),0.0)</f>
        <v>0</v>
      </c>
      <c r="AL199" s="129">
        <f>IFERROR(__xludf.DUMMYFUNCTION("""COMPUTED_VALUE"""),0.0)</f>
        <v>0</v>
      </c>
      <c r="AM199" s="99"/>
    </row>
    <row r="200">
      <c r="V200" s="96">
        <f>IFERROR(__xludf.DUMMYFUNCTION("""COMPUTED_VALUE"""),11.0)</f>
        <v>11</v>
      </c>
      <c r="W200" s="98">
        <f>IFERROR(__xludf.DUMMYFUNCTION("""COMPUTED_VALUE"""),44054.0)</f>
        <v>44054</v>
      </c>
      <c r="X200" s="96" t="str">
        <f>IFERROR(__xludf.DUMMYFUNCTION("""COMPUTED_VALUE"""),"NDOMA BODE I.D")</f>
        <v>NDOMA BODE I.D</v>
      </c>
      <c r="Y200" s="96" t="str">
        <f>IFERROR(__xludf.DUMMYFUNCTION("""COMPUTED_VALUE"""),"NDOMA BODE I.D11")</f>
        <v>NDOMA BODE I.D11</v>
      </c>
      <c r="Z200" s="96"/>
      <c r="AA200" s="96"/>
      <c r="AB200" s="96"/>
      <c r="AC200" s="96"/>
      <c r="AD200" s="96"/>
      <c r="AE200" s="96"/>
      <c r="AF200" s="96">
        <f>IFERROR(__xludf.DUMMYFUNCTION("""COMPUTED_VALUE"""),14400.0)</f>
        <v>14400</v>
      </c>
      <c r="AG200" s="99">
        <f>IFERROR(__xludf.DUMMYFUNCTION("""COMPUTED_VALUE"""),14400.0)</f>
        <v>14400</v>
      </c>
      <c r="AH200" s="96"/>
      <c r="AI200" s="96">
        <f>IFERROR(__xludf.DUMMYFUNCTION("""COMPUTED_VALUE"""),0.0)</f>
        <v>0</v>
      </c>
      <c r="AJ200" s="96">
        <f>IFERROR(__xludf.DUMMYFUNCTION("""COMPUTED_VALUE"""),0.0)</f>
        <v>0</v>
      </c>
      <c r="AK200" s="96">
        <f>IFERROR(__xludf.DUMMYFUNCTION("""COMPUTED_VALUE"""),0.0)</f>
        <v>0</v>
      </c>
      <c r="AL200" s="129">
        <f>IFERROR(__xludf.DUMMYFUNCTION("""COMPUTED_VALUE"""),0.0)</f>
        <v>0</v>
      </c>
      <c r="AM200" s="99"/>
    </row>
    <row r="201">
      <c r="V201" s="96">
        <f>IFERROR(__xludf.DUMMYFUNCTION("""COMPUTED_VALUE"""),13.0)</f>
        <v>13</v>
      </c>
      <c r="W201" s="98">
        <f>IFERROR(__xludf.DUMMYFUNCTION("""COMPUTED_VALUE"""),44054.0)</f>
        <v>44054</v>
      </c>
      <c r="X201" s="96" t="str">
        <f>IFERROR(__xludf.DUMMYFUNCTION("""COMPUTED_VALUE"""),"CONNECT")</f>
        <v>CONNECT</v>
      </c>
      <c r="Y201" s="96" t="str">
        <f>IFERROR(__xludf.DUMMYFUNCTION("""COMPUTED_VALUE"""),"CONNECT13")</f>
        <v>CONNECT13</v>
      </c>
      <c r="Z201" s="96"/>
      <c r="AA201" s="96"/>
      <c r="AB201" s="96"/>
      <c r="AC201" s="96"/>
      <c r="AD201" s="96"/>
      <c r="AE201" s="96"/>
      <c r="AF201" s="96">
        <f>IFERROR(__xludf.DUMMYFUNCTION("""COMPUTED_VALUE"""),3000000.0)</f>
        <v>3000000</v>
      </c>
      <c r="AG201" s="99">
        <f>IFERROR(__xludf.DUMMYFUNCTION("""COMPUTED_VALUE"""),3000000.0)</f>
        <v>3000000</v>
      </c>
      <c r="AH201" s="96"/>
      <c r="AI201" s="96">
        <f>IFERROR(__xludf.DUMMYFUNCTION("""COMPUTED_VALUE"""),0.0)</f>
        <v>0</v>
      </c>
      <c r="AJ201" s="96">
        <f>IFERROR(__xludf.DUMMYFUNCTION("""COMPUTED_VALUE"""),0.0)</f>
        <v>0</v>
      </c>
      <c r="AK201" s="96">
        <f>IFERROR(__xludf.DUMMYFUNCTION("""COMPUTED_VALUE"""),0.0)</f>
        <v>0</v>
      </c>
      <c r="AL201" s="129">
        <f>IFERROR(__xludf.DUMMYFUNCTION("""COMPUTED_VALUE"""),0.0)</f>
        <v>0</v>
      </c>
      <c r="AM201" s="99"/>
    </row>
    <row r="202">
      <c r="V202" s="96">
        <f>IFERROR(__xludf.DUMMYFUNCTION("""COMPUTED_VALUE"""),14.0)</f>
        <v>14</v>
      </c>
      <c r="W202" s="98">
        <f>IFERROR(__xludf.DUMMYFUNCTION("""COMPUTED_VALUE"""),44054.0)</f>
        <v>44054</v>
      </c>
      <c r="X202" s="96" t="str">
        <f>IFERROR(__xludf.DUMMYFUNCTION("""COMPUTED_VALUE"""),"CONNECT")</f>
        <v>CONNECT</v>
      </c>
      <c r="Y202" s="96" t="str">
        <f>IFERROR(__xludf.DUMMYFUNCTION("""COMPUTED_VALUE"""),"CONNECT14")</f>
        <v>CONNECT14</v>
      </c>
      <c r="Z202" s="96"/>
      <c r="AA202" s="96"/>
      <c r="AB202" s="96"/>
      <c r="AC202" s="96"/>
      <c r="AD202" s="96"/>
      <c r="AE202" s="96"/>
      <c r="AF202" s="96">
        <f>IFERROR(__xludf.DUMMYFUNCTION("""COMPUTED_VALUE"""),100000.0)</f>
        <v>100000</v>
      </c>
      <c r="AG202" s="99">
        <f>IFERROR(__xludf.DUMMYFUNCTION("""COMPUTED_VALUE"""),100000.0)</f>
        <v>100000</v>
      </c>
      <c r="AH202" s="96"/>
      <c r="AI202" s="96">
        <f>IFERROR(__xludf.DUMMYFUNCTION("""COMPUTED_VALUE"""),0.0)</f>
        <v>0</v>
      </c>
      <c r="AJ202" s="96">
        <f>IFERROR(__xludf.DUMMYFUNCTION("""COMPUTED_VALUE"""),0.0)</f>
        <v>0</v>
      </c>
      <c r="AK202" s="96">
        <f>IFERROR(__xludf.DUMMYFUNCTION("""COMPUTED_VALUE"""),0.0)</f>
        <v>0</v>
      </c>
      <c r="AL202" s="129">
        <f>IFERROR(__xludf.DUMMYFUNCTION("""COMPUTED_VALUE"""),0.0)</f>
        <v>0</v>
      </c>
      <c r="AM202" s="99"/>
    </row>
    <row r="203">
      <c r="V203" s="96">
        <f>IFERROR(__xludf.DUMMYFUNCTION("""COMPUTED_VALUE"""),12.0)</f>
        <v>12</v>
      </c>
      <c r="W203" s="98">
        <f>IFERROR(__xludf.DUMMYFUNCTION("""COMPUTED_VALUE"""),44054.0)</f>
        <v>44054</v>
      </c>
      <c r="X203" s="96" t="str">
        <f>IFERROR(__xludf.DUMMYFUNCTION("""COMPUTED_VALUE"""),"NDOMA BODE I.D")</f>
        <v>NDOMA BODE I.D</v>
      </c>
      <c r="Y203" s="96" t="str">
        <f>IFERROR(__xludf.DUMMYFUNCTION("""COMPUTED_VALUE"""),"NDOMA BODE I.D12")</f>
        <v>NDOMA BODE I.D12</v>
      </c>
      <c r="Z203" s="96"/>
      <c r="AA203" s="96"/>
      <c r="AB203" s="96"/>
      <c r="AC203" s="96"/>
      <c r="AD203" s="96"/>
      <c r="AE203" s="96"/>
      <c r="AF203" s="96">
        <f>IFERROR(__xludf.DUMMYFUNCTION("""COMPUTED_VALUE"""),1000000.0)</f>
        <v>1000000</v>
      </c>
      <c r="AG203" s="99">
        <f>IFERROR(__xludf.DUMMYFUNCTION("""COMPUTED_VALUE"""),1000000.0)</f>
        <v>1000000</v>
      </c>
      <c r="AH203" s="96"/>
      <c r="AI203" s="96">
        <f>IFERROR(__xludf.DUMMYFUNCTION("""COMPUTED_VALUE"""),0.0)</f>
        <v>0</v>
      </c>
      <c r="AJ203" s="96">
        <f>IFERROR(__xludf.DUMMYFUNCTION("""COMPUTED_VALUE"""),0.0)</f>
        <v>0</v>
      </c>
      <c r="AK203" s="96">
        <f>IFERROR(__xludf.DUMMYFUNCTION("""COMPUTED_VALUE"""),0.0)</f>
        <v>0</v>
      </c>
      <c r="AL203" s="129">
        <f>IFERROR(__xludf.DUMMYFUNCTION("""COMPUTED_VALUE"""),0.0)</f>
        <v>0</v>
      </c>
      <c r="AM203" s="99"/>
    </row>
    <row r="204">
      <c r="V204" s="96">
        <f>IFERROR(__xludf.DUMMYFUNCTION("""COMPUTED_VALUE"""),11.0)</f>
        <v>11</v>
      </c>
      <c r="W204" s="98">
        <f>IFERROR(__xludf.DUMMYFUNCTION("""COMPUTED_VALUE"""),44054.0)</f>
        <v>44054</v>
      </c>
      <c r="X204" s="96" t="str">
        <f>IFERROR(__xludf.DUMMYFUNCTION("""COMPUTED_VALUE"""),"LIVINUS")</f>
        <v>LIVINUS</v>
      </c>
      <c r="Y204" s="96" t="str">
        <f>IFERROR(__xludf.DUMMYFUNCTION("""COMPUTED_VALUE"""),"LIVINUS11")</f>
        <v>LIVINUS11</v>
      </c>
      <c r="Z204" s="96"/>
      <c r="AA204" s="96"/>
      <c r="AB204" s="96"/>
      <c r="AC204" s="96"/>
      <c r="AD204" s="96"/>
      <c r="AE204" s="96"/>
      <c r="AF204" s="96">
        <f>IFERROR(__xludf.DUMMYFUNCTION("""COMPUTED_VALUE"""),512000.0)</f>
        <v>512000</v>
      </c>
      <c r="AG204" s="99">
        <f>IFERROR(__xludf.DUMMYFUNCTION("""COMPUTED_VALUE"""),512000.0)</f>
        <v>512000</v>
      </c>
      <c r="AH204" s="96"/>
      <c r="AI204" s="96">
        <f>IFERROR(__xludf.DUMMYFUNCTION("""COMPUTED_VALUE"""),0.0)</f>
        <v>0</v>
      </c>
      <c r="AJ204" s="96">
        <f>IFERROR(__xludf.DUMMYFUNCTION("""COMPUTED_VALUE"""),0.0)</f>
        <v>0</v>
      </c>
      <c r="AK204" s="96">
        <f>IFERROR(__xludf.DUMMYFUNCTION("""COMPUTED_VALUE"""),0.0)</f>
        <v>0</v>
      </c>
      <c r="AL204" s="129">
        <f>IFERROR(__xludf.DUMMYFUNCTION("""COMPUTED_VALUE"""),0.0)</f>
        <v>0</v>
      </c>
      <c r="AM204" s="99"/>
    </row>
    <row r="205">
      <c r="V205" s="96">
        <f>IFERROR(__xludf.DUMMYFUNCTION("""COMPUTED_VALUE"""),7.0)</f>
        <v>7</v>
      </c>
      <c r="W205" s="98">
        <f>IFERROR(__xludf.DUMMYFUNCTION("""COMPUTED_VALUE"""),44054.0)</f>
        <v>44054</v>
      </c>
      <c r="X205" s="96" t="str">
        <f>IFERROR(__xludf.DUMMYFUNCTION("""COMPUTED_VALUE"""),"ETUK EFFI")</f>
        <v>ETUK EFFI</v>
      </c>
      <c r="Y205" s="96" t="str">
        <f>IFERROR(__xludf.DUMMYFUNCTION("""COMPUTED_VALUE"""),"ETUK EFFI7")</f>
        <v>ETUK EFFI7</v>
      </c>
      <c r="Z205" s="96"/>
      <c r="AA205" s="96"/>
      <c r="AB205" s="96"/>
      <c r="AC205" s="96"/>
      <c r="AD205" s="96"/>
      <c r="AE205" s="96"/>
      <c r="AF205" s="96">
        <f>IFERROR(__xludf.DUMMYFUNCTION("""COMPUTED_VALUE"""),1500000.0)</f>
        <v>1500000</v>
      </c>
      <c r="AG205" s="99">
        <f>IFERROR(__xludf.DUMMYFUNCTION("""COMPUTED_VALUE"""),1500000.0)</f>
        <v>1500000</v>
      </c>
      <c r="AH205" s="96"/>
      <c r="AI205" s="96">
        <f>IFERROR(__xludf.DUMMYFUNCTION("""COMPUTED_VALUE"""),0.0)</f>
        <v>0</v>
      </c>
      <c r="AJ205" s="96">
        <f>IFERROR(__xludf.DUMMYFUNCTION("""COMPUTED_VALUE"""),0.0)</f>
        <v>0</v>
      </c>
      <c r="AK205" s="96">
        <f>IFERROR(__xludf.DUMMYFUNCTION("""COMPUTED_VALUE"""),0.0)</f>
        <v>0</v>
      </c>
      <c r="AL205" s="129">
        <f>IFERROR(__xludf.DUMMYFUNCTION("""COMPUTED_VALUE"""),0.0)</f>
        <v>0</v>
      </c>
      <c r="AM205" s="99"/>
    </row>
    <row r="206">
      <c r="V206" s="96">
        <f>IFERROR(__xludf.DUMMYFUNCTION("""COMPUTED_VALUE"""),2.0)</f>
        <v>2</v>
      </c>
      <c r="W206" s="98">
        <f>IFERROR(__xludf.DUMMYFUNCTION("""COMPUTED_VALUE"""),44054.0)</f>
        <v>44054</v>
      </c>
      <c r="X206" s="96" t="str">
        <f>IFERROR(__xludf.DUMMYFUNCTION("""COMPUTED_VALUE"""),"NAOMI")</f>
        <v>NAOMI</v>
      </c>
      <c r="Y206" s="96" t="str">
        <f>IFERROR(__xludf.DUMMYFUNCTION("""COMPUTED_VALUE"""),"NAOMI2")</f>
        <v>NAOMI2</v>
      </c>
      <c r="Z206" s="96"/>
      <c r="AA206" s="96"/>
      <c r="AB206" s="96"/>
      <c r="AC206" s="96"/>
      <c r="AD206" s="96"/>
      <c r="AE206" s="96"/>
      <c r="AF206" s="96">
        <f>IFERROR(__xludf.DUMMYFUNCTION("""COMPUTED_VALUE"""),10000.0)</f>
        <v>10000</v>
      </c>
      <c r="AG206" s="99">
        <f>IFERROR(__xludf.DUMMYFUNCTION("""COMPUTED_VALUE"""),10000.0)</f>
        <v>10000</v>
      </c>
      <c r="AH206" s="96"/>
      <c r="AI206" s="96">
        <f>IFERROR(__xludf.DUMMYFUNCTION("""COMPUTED_VALUE"""),0.0)</f>
        <v>0</v>
      </c>
      <c r="AJ206" s="96">
        <f>IFERROR(__xludf.DUMMYFUNCTION("""COMPUTED_VALUE"""),0.0)</f>
        <v>0</v>
      </c>
      <c r="AK206" s="96">
        <f>IFERROR(__xludf.DUMMYFUNCTION("""COMPUTED_VALUE"""),0.0)</f>
        <v>0</v>
      </c>
      <c r="AL206" s="129">
        <f>IFERROR(__xludf.DUMMYFUNCTION("""COMPUTED_VALUE"""),0.0)</f>
        <v>0</v>
      </c>
      <c r="AM206" s="99"/>
    </row>
    <row r="207">
      <c r="V207" s="96">
        <f>IFERROR(__xludf.DUMMYFUNCTION("""COMPUTED_VALUE"""),2.0)</f>
        <v>2</v>
      </c>
      <c r="W207" s="98">
        <f>IFERROR(__xludf.DUMMYFUNCTION("""COMPUTED_VALUE"""),44054.0)</f>
        <v>44054</v>
      </c>
      <c r="X207" s="96" t="str">
        <f>IFERROR(__xludf.DUMMYFUNCTION("""COMPUTED_VALUE"""),"RI SAMP")</f>
        <v>RI SAMP</v>
      </c>
      <c r="Y207" s="96" t="str">
        <f>IFERROR(__xludf.DUMMYFUNCTION("""COMPUTED_VALUE"""),"RI SAMP2")</f>
        <v>RI SAMP2</v>
      </c>
      <c r="Z207" s="96"/>
      <c r="AA207" s="96"/>
      <c r="AB207" s="96"/>
      <c r="AC207" s="96"/>
      <c r="AD207" s="96"/>
      <c r="AE207" s="96"/>
      <c r="AF207" s="96">
        <f>IFERROR(__xludf.DUMMYFUNCTION("""COMPUTED_VALUE"""),429600.0)</f>
        <v>429600</v>
      </c>
      <c r="AG207" s="99">
        <f>IFERROR(__xludf.DUMMYFUNCTION("""COMPUTED_VALUE"""),429600.0)</f>
        <v>429600</v>
      </c>
      <c r="AH207" s="96"/>
      <c r="AI207" s="96">
        <f>IFERROR(__xludf.DUMMYFUNCTION("""COMPUTED_VALUE"""),0.0)</f>
        <v>0</v>
      </c>
      <c r="AJ207" s="96">
        <f>IFERROR(__xludf.DUMMYFUNCTION("""COMPUTED_VALUE"""),0.0)</f>
        <v>0</v>
      </c>
      <c r="AK207" s="96">
        <f>IFERROR(__xludf.DUMMYFUNCTION("""COMPUTED_VALUE"""),0.0)</f>
        <v>0</v>
      </c>
      <c r="AL207" s="129">
        <f>IFERROR(__xludf.DUMMYFUNCTION("""COMPUTED_VALUE"""),0.0)</f>
        <v>0</v>
      </c>
      <c r="AM207" s="99"/>
    </row>
    <row r="208">
      <c r="V208" s="96">
        <f>IFERROR(__xludf.DUMMYFUNCTION("""COMPUTED_VALUE"""),8.0)</f>
        <v>8</v>
      </c>
      <c r="W208" s="98">
        <f>IFERROR(__xludf.DUMMYFUNCTION("""COMPUTED_VALUE"""),44054.0)</f>
        <v>44054</v>
      </c>
      <c r="X208" s="96" t="str">
        <f>IFERROR(__xludf.DUMMYFUNCTION("""COMPUTED_VALUE"""),"JAMES AKAN")</f>
        <v>JAMES AKAN</v>
      </c>
      <c r="Y208" s="96" t="str">
        <f>IFERROR(__xludf.DUMMYFUNCTION("""COMPUTED_VALUE"""),"JAMES AKAN8")</f>
        <v>JAMES AKAN8</v>
      </c>
      <c r="Z208" s="96"/>
      <c r="AA208" s="96"/>
      <c r="AB208" s="96"/>
      <c r="AC208" s="96"/>
      <c r="AD208" s="96"/>
      <c r="AE208" s="96"/>
      <c r="AF208" s="96">
        <f>IFERROR(__xludf.DUMMYFUNCTION("""COMPUTED_VALUE"""),670000.0)</f>
        <v>670000</v>
      </c>
      <c r="AG208" s="99">
        <f>IFERROR(__xludf.DUMMYFUNCTION("""COMPUTED_VALUE"""),670000.0)</f>
        <v>670000</v>
      </c>
      <c r="AH208" s="96"/>
      <c r="AI208" s="96">
        <f>IFERROR(__xludf.DUMMYFUNCTION("""COMPUTED_VALUE"""),0.0)</f>
        <v>0</v>
      </c>
      <c r="AJ208" s="96">
        <f>IFERROR(__xludf.DUMMYFUNCTION("""COMPUTED_VALUE"""),0.0)</f>
        <v>0</v>
      </c>
      <c r="AK208" s="96">
        <f>IFERROR(__xludf.DUMMYFUNCTION("""COMPUTED_VALUE"""),0.0)</f>
        <v>0</v>
      </c>
      <c r="AL208" s="129">
        <f>IFERROR(__xludf.DUMMYFUNCTION("""COMPUTED_VALUE"""),0.0)</f>
        <v>0</v>
      </c>
      <c r="AM208" s="99"/>
    </row>
    <row r="209">
      <c r="V209" s="96">
        <f>IFERROR(__xludf.DUMMYFUNCTION("""COMPUTED_VALUE"""),5.0)</f>
        <v>5</v>
      </c>
      <c r="W209" s="98">
        <f>IFERROR(__xludf.DUMMYFUNCTION("""COMPUTED_VALUE"""),44054.0)</f>
        <v>44054</v>
      </c>
      <c r="X209" s="96" t="str">
        <f>IFERROR(__xludf.DUMMYFUNCTION("""COMPUTED_VALUE"""),"EMMANUEL OKO ")</f>
        <v>EMMANUEL OKO </v>
      </c>
      <c r="Y209" s="96" t="str">
        <f>IFERROR(__xludf.DUMMYFUNCTION("""COMPUTED_VALUE"""),"EMMANUEL OKO 5")</f>
        <v>EMMANUEL OKO 5</v>
      </c>
      <c r="Z209" s="96"/>
      <c r="AA209" s="96"/>
      <c r="AB209" s="96"/>
      <c r="AC209" s="96"/>
      <c r="AD209" s="96"/>
      <c r="AE209" s="96"/>
      <c r="AF209" s="96">
        <f>IFERROR(__xludf.DUMMYFUNCTION("""COMPUTED_VALUE"""),500000.0)</f>
        <v>500000</v>
      </c>
      <c r="AG209" s="99">
        <f>IFERROR(__xludf.DUMMYFUNCTION("""COMPUTED_VALUE"""),500000.0)</f>
        <v>500000</v>
      </c>
      <c r="AH209" s="96"/>
      <c r="AI209" s="96">
        <f>IFERROR(__xludf.DUMMYFUNCTION("""COMPUTED_VALUE"""),0.0)</f>
        <v>0</v>
      </c>
      <c r="AJ209" s="96">
        <f>IFERROR(__xludf.DUMMYFUNCTION("""COMPUTED_VALUE"""),0.0)</f>
        <v>0</v>
      </c>
      <c r="AK209" s="96">
        <f>IFERROR(__xludf.DUMMYFUNCTION("""COMPUTED_VALUE"""),0.0)</f>
        <v>0</v>
      </c>
      <c r="AL209" s="129">
        <f>IFERROR(__xludf.DUMMYFUNCTION("""COMPUTED_VALUE"""),0.0)</f>
        <v>0</v>
      </c>
      <c r="AM209" s="99"/>
    </row>
    <row r="210">
      <c r="V210" s="96">
        <f>IFERROR(__xludf.DUMMYFUNCTION("""COMPUTED_VALUE"""),4.0)</f>
        <v>4</v>
      </c>
      <c r="W210" s="98">
        <f>IFERROR(__xludf.DUMMYFUNCTION("""COMPUTED_VALUE"""),44054.0)</f>
        <v>44054</v>
      </c>
      <c r="X210" s="96" t="str">
        <f>IFERROR(__xludf.DUMMYFUNCTION("""COMPUTED_VALUE"""),"EUGENE")</f>
        <v>EUGENE</v>
      </c>
      <c r="Y210" s="96" t="str">
        <f>IFERROR(__xludf.DUMMYFUNCTION("""COMPUTED_VALUE"""),"EUGENE4")</f>
        <v>EUGENE4</v>
      </c>
      <c r="Z210" s="96"/>
      <c r="AA210" s="96"/>
      <c r="AB210" s="96"/>
      <c r="AC210" s="96"/>
      <c r="AD210" s="96"/>
      <c r="AE210" s="96"/>
      <c r="AF210" s="96">
        <f>IFERROR(__xludf.DUMMYFUNCTION("""COMPUTED_VALUE"""),300000.0)</f>
        <v>300000</v>
      </c>
      <c r="AG210" s="99">
        <f>IFERROR(__xludf.DUMMYFUNCTION("""COMPUTED_VALUE"""),300000.0)</f>
        <v>300000</v>
      </c>
      <c r="AH210" s="96"/>
      <c r="AI210" s="96">
        <f>IFERROR(__xludf.DUMMYFUNCTION("""COMPUTED_VALUE"""),0.0)</f>
        <v>0</v>
      </c>
      <c r="AJ210" s="96">
        <f>IFERROR(__xludf.DUMMYFUNCTION("""COMPUTED_VALUE"""),0.0)</f>
        <v>0</v>
      </c>
      <c r="AK210" s="96">
        <f>IFERROR(__xludf.DUMMYFUNCTION("""COMPUTED_VALUE"""),0.0)</f>
        <v>0</v>
      </c>
      <c r="AL210" s="129">
        <f>IFERROR(__xludf.DUMMYFUNCTION("""COMPUTED_VALUE"""),0.0)</f>
        <v>0</v>
      </c>
      <c r="AM210" s="99"/>
    </row>
    <row r="211">
      <c r="V211" s="96">
        <f>IFERROR(__xludf.DUMMYFUNCTION("""COMPUTED_VALUE"""),6.0)</f>
        <v>6</v>
      </c>
      <c r="W211" s="98">
        <f>IFERROR(__xludf.DUMMYFUNCTION("""COMPUTED_VALUE"""),44054.0)</f>
        <v>44054</v>
      </c>
      <c r="X211" s="96" t="str">
        <f>IFERROR(__xludf.DUMMYFUNCTION("""COMPUTED_VALUE"""),"BOSURU  BOSURU")</f>
        <v>BOSURU  BOSURU</v>
      </c>
      <c r="Y211" s="96" t="str">
        <f>IFERROR(__xludf.DUMMYFUNCTION("""COMPUTED_VALUE"""),"BOSURU  BOSURU6")</f>
        <v>BOSURU  BOSURU6</v>
      </c>
      <c r="Z211" s="96"/>
      <c r="AA211" s="96"/>
      <c r="AB211" s="96"/>
      <c r="AC211" s="96"/>
      <c r="AD211" s="96"/>
      <c r="AE211" s="96"/>
      <c r="AF211" s="96">
        <f>IFERROR(__xludf.DUMMYFUNCTION("""COMPUTED_VALUE"""),200000.0)</f>
        <v>200000</v>
      </c>
      <c r="AG211" s="99">
        <f>IFERROR(__xludf.DUMMYFUNCTION("""COMPUTED_VALUE"""),200000.0)</f>
        <v>200000</v>
      </c>
      <c r="AH211" s="96"/>
      <c r="AI211" s="96">
        <f>IFERROR(__xludf.DUMMYFUNCTION("""COMPUTED_VALUE"""),0.0)</f>
        <v>0</v>
      </c>
      <c r="AJ211" s="96">
        <f>IFERROR(__xludf.DUMMYFUNCTION("""COMPUTED_VALUE"""),0.0)</f>
        <v>0</v>
      </c>
      <c r="AK211" s="96">
        <f>IFERROR(__xludf.DUMMYFUNCTION("""COMPUTED_VALUE"""),0.0)</f>
        <v>0</v>
      </c>
      <c r="AL211" s="129">
        <f>IFERROR(__xludf.DUMMYFUNCTION("""COMPUTED_VALUE"""),0.0)</f>
        <v>0</v>
      </c>
      <c r="AM211" s="99"/>
    </row>
    <row r="212">
      <c r="V212" s="96">
        <f>IFERROR(__xludf.DUMMYFUNCTION("""COMPUTED_VALUE"""),2.0)</f>
        <v>2</v>
      </c>
      <c r="W212" s="98">
        <f>IFERROR(__xludf.DUMMYFUNCTION("""COMPUTED_VALUE"""),44054.0)</f>
        <v>44054</v>
      </c>
      <c r="X212" s="96" t="str">
        <f>IFERROR(__xludf.DUMMYFUNCTION("""COMPUTED_VALUE"""),"A. D. FREDERICK")</f>
        <v>A. D. FREDERICK</v>
      </c>
      <c r="Y212" s="96" t="str">
        <f>IFERROR(__xludf.DUMMYFUNCTION("""COMPUTED_VALUE"""),"A. D. FREDERICK2")</f>
        <v>A. D. FREDERICK2</v>
      </c>
      <c r="Z212" s="96"/>
      <c r="AA212" s="96"/>
      <c r="AB212" s="96"/>
      <c r="AC212" s="96"/>
      <c r="AD212" s="96"/>
      <c r="AE212" s="96"/>
      <c r="AF212" s="96">
        <f>IFERROR(__xludf.DUMMYFUNCTION("""COMPUTED_VALUE"""),200000.0)</f>
        <v>200000</v>
      </c>
      <c r="AG212" s="99">
        <f>IFERROR(__xludf.DUMMYFUNCTION("""COMPUTED_VALUE"""),200000.0)</f>
        <v>200000</v>
      </c>
      <c r="AH212" s="96"/>
      <c r="AI212" s="96">
        <f>IFERROR(__xludf.DUMMYFUNCTION("""COMPUTED_VALUE"""),0.0)</f>
        <v>0</v>
      </c>
      <c r="AJ212" s="96">
        <f>IFERROR(__xludf.DUMMYFUNCTION("""COMPUTED_VALUE"""),0.0)</f>
        <v>0</v>
      </c>
      <c r="AK212" s="96">
        <f>IFERROR(__xludf.DUMMYFUNCTION("""COMPUTED_VALUE"""),0.0)</f>
        <v>0</v>
      </c>
      <c r="AL212" s="129">
        <f>IFERROR(__xludf.DUMMYFUNCTION("""COMPUTED_VALUE"""),0.0)</f>
        <v>0</v>
      </c>
      <c r="AM212" s="99"/>
    </row>
    <row r="213">
      <c r="V213" s="96">
        <f>IFERROR(__xludf.DUMMYFUNCTION("""COMPUTED_VALUE"""),3.0)</f>
        <v>3</v>
      </c>
      <c r="W213" s="98">
        <f>IFERROR(__xludf.DUMMYFUNCTION("""COMPUTED_VALUE"""),44054.0)</f>
        <v>44054</v>
      </c>
      <c r="X213" s="96" t="str">
        <f>IFERROR(__xludf.DUMMYFUNCTION("""COMPUTED_VALUE"""),"A. D. FREDERICK")</f>
        <v>A. D. FREDERICK</v>
      </c>
      <c r="Y213" s="96" t="str">
        <f>IFERROR(__xludf.DUMMYFUNCTION("""COMPUTED_VALUE"""),"A. D. FREDERICK3")</f>
        <v>A. D. FREDERICK3</v>
      </c>
      <c r="Z213" s="96"/>
      <c r="AA213" s="96"/>
      <c r="AB213" s="96"/>
      <c r="AC213" s="96"/>
      <c r="AD213" s="96"/>
      <c r="AE213" s="96"/>
      <c r="AF213" s="96">
        <f>IFERROR(__xludf.DUMMYFUNCTION("""COMPUTED_VALUE"""),300000.0)</f>
        <v>300000</v>
      </c>
      <c r="AG213" s="99">
        <f>IFERROR(__xludf.DUMMYFUNCTION("""COMPUTED_VALUE"""),300000.0)</f>
        <v>300000</v>
      </c>
      <c r="AH213" s="96"/>
      <c r="AI213" s="96">
        <f>IFERROR(__xludf.DUMMYFUNCTION("""COMPUTED_VALUE"""),0.0)</f>
        <v>0</v>
      </c>
      <c r="AJ213" s="96">
        <f>IFERROR(__xludf.DUMMYFUNCTION("""COMPUTED_VALUE"""),0.0)</f>
        <v>0</v>
      </c>
      <c r="AK213" s="96">
        <f>IFERROR(__xludf.DUMMYFUNCTION("""COMPUTED_VALUE"""),0.0)</f>
        <v>0</v>
      </c>
      <c r="AL213" s="129">
        <f>IFERROR(__xludf.DUMMYFUNCTION("""COMPUTED_VALUE"""),0.0)</f>
        <v>0</v>
      </c>
      <c r="AM213" s="99"/>
    </row>
    <row r="214">
      <c r="V214" s="96">
        <f>IFERROR(__xludf.DUMMYFUNCTION("""COMPUTED_VALUE"""),5.0)</f>
        <v>5</v>
      </c>
      <c r="W214" s="98">
        <f>IFERROR(__xludf.DUMMYFUNCTION("""COMPUTED_VALUE"""),44054.0)</f>
        <v>44054</v>
      </c>
      <c r="X214" s="96" t="str">
        <f>IFERROR(__xludf.DUMMYFUNCTION("""COMPUTED_VALUE"""),"NDOMA PETER")</f>
        <v>NDOMA PETER</v>
      </c>
      <c r="Y214" s="96" t="str">
        <f>IFERROR(__xludf.DUMMYFUNCTION("""COMPUTED_VALUE"""),"NDOMA PETER5")</f>
        <v>NDOMA PETER5</v>
      </c>
      <c r="Z214" s="96"/>
      <c r="AA214" s="96"/>
      <c r="AB214" s="96"/>
      <c r="AC214" s="96"/>
      <c r="AD214" s="96"/>
      <c r="AE214" s="96"/>
      <c r="AF214" s="96">
        <f>IFERROR(__xludf.DUMMYFUNCTION("""COMPUTED_VALUE"""),600000.0)</f>
        <v>600000</v>
      </c>
      <c r="AG214" s="99">
        <f>IFERROR(__xludf.DUMMYFUNCTION("""COMPUTED_VALUE"""),600000.0)</f>
        <v>600000</v>
      </c>
      <c r="AH214" s="96"/>
      <c r="AI214" s="96">
        <f>IFERROR(__xludf.DUMMYFUNCTION("""COMPUTED_VALUE"""),0.0)</f>
        <v>0</v>
      </c>
      <c r="AJ214" s="96">
        <f>IFERROR(__xludf.DUMMYFUNCTION("""COMPUTED_VALUE"""),0.0)</f>
        <v>0</v>
      </c>
      <c r="AK214" s="96">
        <f>IFERROR(__xludf.DUMMYFUNCTION("""COMPUTED_VALUE"""),0.0)</f>
        <v>0</v>
      </c>
      <c r="AL214" s="129">
        <f>IFERROR(__xludf.DUMMYFUNCTION("""COMPUTED_VALUE"""),0.0)</f>
        <v>0</v>
      </c>
      <c r="AM214" s="99"/>
    </row>
    <row r="215">
      <c r="V215" s="96">
        <f>IFERROR(__xludf.DUMMYFUNCTION("""COMPUTED_VALUE"""),1.0)</f>
        <v>1</v>
      </c>
      <c r="W215" s="98">
        <f>IFERROR(__xludf.DUMMYFUNCTION("""COMPUTED_VALUE"""),44054.0)</f>
        <v>44054</v>
      </c>
      <c r="X215" s="96" t="str">
        <f>IFERROR(__xludf.DUMMYFUNCTION("""COMPUTED_VALUE"""),"NDOMA NDOMA")</f>
        <v>NDOMA NDOMA</v>
      </c>
      <c r="Y215" s="96" t="str">
        <f>IFERROR(__xludf.DUMMYFUNCTION("""COMPUTED_VALUE"""),"NDOMA NDOMA1")</f>
        <v>NDOMA NDOMA1</v>
      </c>
      <c r="Z215" s="96"/>
      <c r="AA215" s="96"/>
      <c r="AB215" s="96"/>
      <c r="AC215" s="96"/>
      <c r="AD215" s="96"/>
      <c r="AE215" s="96"/>
      <c r="AF215" s="96">
        <f>IFERROR(__xludf.DUMMYFUNCTION("""COMPUTED_VALUE"""),200000.0)</f>
        <v>200000</v>
      </c>
      <c r="AG215" s="99">
        <f>IFERROR(__xludf.DUMMYFUNCTION("""COMPUTED_VALUE"""),200000.0)</f>
        <v>200000</v>
      </c>
      <c r="AH215" s="96"/>
      <c r="AI215" s="96">
        <f>IFERROR(__xludf.DUMMYFUNCTION("""COMPUTED_VALUE"""),0.0)</f>
        <v>0</v>
      </c>
      <c r="AJ215" s="96">
        <f>IFERROR(__xludf.DUMMYFUNCTION("""COMPUTED_VALUE"""),0.0)</f>
        <v>0</v>
      </c>
      <c r="AK215" s="96">
        <f>IFERROR(__xludf.DUMMYFUNCTION("""COMPUTED_VALUE"""),0.0)</f>
        <v>0</v>
      </c>
      <c r="AL215" s="129">
        <f>IFERROR(__xludf.DUMMYFUNCTION("""COMPUTED_VALUE"""),0.0)</f>
        <v>0</v>
      </c>
      <c r="AM215" s="99"/>
    </row>
    <row r="216">
      <c r="V216" s="96">
        <f>IFERROR(__xludf.DUMMYFUNCTION("""COMPUTED_VALUE"""),5.0)</f>
        <v>5</v>
      </c>
      <c r="W216" s="98">
        <f>IFERROR(__xludf.DUMMYFUNCTION("""COMPUTED_VALUE"""),44054.0)</f>
        <v>44054</v>
      </c>
      <c r="X216" s="96" t="str">
        <f>IFERROR(__xludf.DUMMYFUNCTION("""COMPUTED_VALUE"""),"REMMY BODES")</f>
        <v>REMMY BODES</v>
      </c>
      <c r="Y216" s="96" t="str">
        <f>IFERROR(__xludf.DUMMYFUNCTION("""COMPUTED_VALUE"""),"REMMY BODES5")</f>
        <v>REMMY BODES5</v>
      </c>
      <c r="Z216" s="96"/>
      <c r="AA216" s="96"/>
      <c r="AB216" s="96"/>
      <c r="AC216" s="96"/>
      <c r="AD216" s="96"/>
      <c r="AE216" s="96"/>
      <c r="AF216" s="96">
        <f>IFERROR(__xludf.DUMMYFUNCTION("""COMPUTED_VALUE"""),500000.0)</f>
        <v>500000</v>
      </c>
      <c r="AG216" s="99">
        <f>IFERROR(__xludf.DUMMYFUNCTION("""COMPUTED_VALUE"""),500000.0)</f>
        <v>500000</v>
      </c>
      <c r="AH216" s="96"/>
      <c r="AI216" s="96">
        <f>IFERROR(__xludf.DUMMYFUNCTION("""COMPUTED_VALUE"""),0.0)</f>
        <v>0</v>
      </c>
      <c r="AJ216" s="96">
        <f>IFERROR(__xludf.DUMMYFUNCTION("""COMPUTED_VALUE"""),0.0)</f>
        <v>0</v>
      </c>
      <c r="AK216" s="96">
        <f>IFERROR(__xludf.DUMMYFUNCTION("""COMPUTED_VALUE"""),0.0)</f>
        <v>0</v>
      </c>
      <c r="AL216" s="129">
        <f>IFERROR(__xludf.DUMMYFUNCTION("""COMPUTED_VALUE"""),0.0)</f>
        <v>0</v>
      </c>
      <c r="AM216" s="99"/>
    </row>
    <row r="217">
      <c r="V217" s="96">
        <f>IFERROR(__xludf.DUMMYFUNCTION("""COMPUTED_VALUE"""),6.0)</f>
        <v>6</v>
      </c>
      <c r="W217" s="98">
        <f>IFERROR(__xludf.DUMMYFUNCTION("""COMPUTED_VALUE"""),44055.0)</f>
        <v>44055</v>
      </c>
      <c r="X217" s="96" t="str">
        <f>IFERROR(__xludf.DUMMYFUNCTION("""COMPUTED_VALUE"""),"ZULU &amp; NDOMA")</f>
        <v>ZULU &amp; NDOMA</v>
      </c>
      <c r="Y217" s="96" t="str">
        <f>IFERROR(__xludf.DUMMYFUNCTION("""COMPUTED_VALUE"""),"ZULU &amp; NDOMA6")</f>
        <v>ZULU &amp; NDOMA6</v>
      </c>
      <c r="Z217" s="96"/>
      <c r="AA217" s="96"/>
      <c r="AB217" s="96"/>
      <c r="AC217" s="96"/>
      <c r="AD217" s="96"/>
      <c r="AE217" s="96"/>
      <c r="AF217" s="96">
        <f>IFERROR(__xludf.DUMMYFUNCTION("""COMPUTED_VALUE"""),100000.0)</f>
        <v>100000</v>
      </c>
      <c r="AG217" s="99">
        <f>IFERROR(__xludf.DUMMYFUNCTION("""COMPUTED_VALUE"""),100000.0)</f>
        <v>100000</v>
      </c>
      <c r="AH217" s="96"/>
      <c r="AI217" s="96">
        <f>IFERROR(__xludf.DUMMYFUNCTION("""COMPUTED_VALUE"""),0.0)</f>
        <v>0</v>
      </c>
      <c r="AJ217" s="96">
        <f>IFERROR(__xludf.DUMMYFUNCTION("""COMPUTED_VALUE"""),0.0)</f>
        <v>0</v>
      </c>
      <c r="AK217" s="96">
        <f>IFERROR(__xludf.DUMMYFUNCTION("""COMPUTED_VALUE"""),0.0)</f>
        <v>0</v>
      </c>
      <c r="AL217" s="129">
        <f>IFERROR(__xludf.DUMMYFUNCTION("""COMPUTED_VALUE"""),0.0)</f>
        <v>0</v>
      </c>
      <c r="AM217" s="99"/>
    </row>
    <row r="218">
      <c r="V218" s="96">
        <f>IFERROR(__xludf.DUMMYFUNCTION("""COMPUTED_VALUE"""),12.0)</f>
        <v>12</v>
      </c>
      <c r="W218" s="98">
        <f>IFERROR(__xludf.DUMMYFUNCTION("""COMPUTED_VALUE"""),44055.0)</f>
        <v>44055</v>
      </c>
      <c r="X218" s="96" t="str">
        <f>IFERROR(__xludf.DUMMYFUNCTION("""COMPUTED_VALUE"""),"LIVINUS")</f>
        <v>LIVINUS</v>
      </c>
      <c r="Y218" s="96" t="str">
        <f>IFERROR(__xludf.DUMMYFUNCTION("""COMPUTED_VALUE"""),"LIVINUS12")</f>
        <v>LIVINUS12</v>
      </c>
      <c r="Z218" s="96"/>
      <c r="AA218" s="96"/>
      <c r="AB218" s="96"/>
      <c r="AC218" s="96"/>
      <c r="AD218" s="96"/>
      <c r="AE218" s="96"/>
      <c r="AF218" s="96">
        <f>IFERROR(__xludf.DUMMYFUNCTION("""COMPUTED_VALUE"""),1250000.0)</f>
        <v>1250000</v>
      </c>
      <c r="AG218" s="99">
        <f>IFERROR(__xludf.DUMMYFUNCTION("""COMPUTED_VALUE"""),1250000.0)</f>
        <v>1250000</v>
      </c>
      <c r="AH218" s="96"/>
      <c r="AI218" s="96">
        <f>IFERROR(__xludf.DUMMYFUNCTION("""COMPUTED_VALUE"""),0.0)</f>
        <v>0</v>
      </c>
      <c r="AJ218" s="96">
        <f>IFERROR(__xludf.DUMMYFUNCTION("""COMPUTED_VALUE"""),0.0)</f>
        <v>0</v>
      </c>
      <c r="AK218" s="96">
        <f>IFERROR(__xludf.DUMMYFUNCTION("""COMPUTED_VALUE"""),0.0)</f>
        <v>0</v>
      </c>
      <c r="AL218" s="129">
        <f>IFERROR(__xludf.DUMMYFUNCTION("""COMPUTED_VALUE"""),0.0)</f>
        <v>0</v>
      </c>
      <c r="AM218" s="99"/>
    </row>
    <row r="219">
      <c r="V219" s="96">
        <f>IFERROR(__xludf.DUMMYFUNCTION("""COMPUTED_VALUE"""),1.0)</f>
        <v>1</v>
      </c>
      <c r="W219" s="98">
        <f>IFERROR(__xludf.DUMMYFUNCTION("""COMPUTED_VALUE"""),44055.0)</f>
        <v>44055</v>
      </c>
      <c r="X219" s="96" t="str">
        <f>IFERROR(__xludf.DUMMYFUNCTION("""COMPUTED_VALUE"""),"OMODION")</f>
        <v>OMODION</v>
      </c>
      <c r="Y219" s="96" t="str">
        <f>IFERROR(__xludf.DUMMYFUNCTION("""COMPUTED_VALUE"""),"OMODION1")</f>
        <v>OMODION1</v>
      </c>
      <c r="Z219" s="96"/>
      <c r="AA219" s="96"/>
      <c r="AB219" s="96"/>
      <c r="AC219" s="96"/>
      <c r="AD219" s="96"/>
      <c r="AE219" s="96"/>
      <c r="AF219" s="96">
        <f>IFERROR(__xludf.DUMMYFUNCTION("""COMPUTED_VALUE"""),500000.0)</f>
        <v>500000</v>
      </c>
      <c r="AG219" s="99">
        <f>IFERROR(__xludf.DUMMYFUNCTION("""COMPUTED_VALUE"""),500000.0)</f>
        <v>500000</v>
      </c>
      <c r="AH219" s="96"/>
      <c r="AI219" s="96">
        <f>IFERROR(__xludf.DUMMYFUNCTION("""COMPUTED_VALUE"""),0.0)</f>
        <v>0</v>
      </c>
      <c r="AJ219" s="96">
        <f>IFERROR(__xludf.DUMMYFUNCTION("""COMPUTED_VALUE"""),0.0)</f>
        <v>0</v>
      </c>
      <c r="AK219" s="96">
        <f>IFERROR(__xludf.DUMMYFUNCTION("""COMPUTED_VALUE"""),0.0)</f>
        <v>0</v>
      </c>
      <c r="AL219" s="129">
        <f>IFERROR(__xludf.DUMMYFUNCTION("""COMPUTED_VALUE"""),0.0)</f>
        <v>0</v>
      </c>
      <c r="AM219" s="99"/>
    </row>
    <row r="220">
      <c r="V220" s="96">
        <f>IFERROR(__xludf.DUMMYFUNCTION("""COMPUTED_VALUE"""),2.0)</f>
        <v>2</v>
      </c>
      <c r="W220" s="98">
        <f>IFERROR(__xludf.DUMMYFUNCTION("""COMPUTED_VALUE"""),44056.0)</f>
        <v>44056</v>
      </c>
      <c r="X220" s="96" t="str">
        <f>IFERROR(__xludf.DUMMYFUNCTION("""COMPUTED_VALUE"""),"AUGUSTINE IGBA")</f>
        <v>AUGUSTINE IGBA</v>
      </c>
      <c r="Y220" s="96" t="str">
        <f>IFERROR(__xludf.DUMMYFUNCTION("""COMPUTED_VALUE"""),"AUGUSTINE IGBA2")</f>
        <v>AUGUSTINE IGBA2</v>
      </c>
      <c r="Z220" s="96"/>
      <c r="AA220" s="96"/>
      <c r="AB220" s="96"/>
      <c r="AC220" s="96"/>
      <c r="AD220" s="96"/>
      <c r="AE220" s="96"/>
      <c r="AF220" s="96">
        <f>IFERROR(__xludf.DUMMYFUNCTION("""COMPUTED_VALUE"""),1000000.0)</f>
        <v>1000000</v>
      </c>
      <c r="AG220" s="99">
        <f>IFERROR(__xludf.DUMMYFUNCTION("""COMPUTED_VALUE"""),1000000.0)</f>
        <v>1000000</v>
      </c>
      <c r="AH220" s="96"/>
      <c r="AI220" s="96">
        <f>IFERROR(__xludf.DUMMYFUNCTION("""COMPUTED_VALUE"""),0.0)</f>
        <v>0</v>
      </c>
      <c r="AJ220" s="96">
        <f>IFERROR(__xludf.DUMMYFUNCTION("""COMPUTED_VALUE"""),0.0)</f>
        <v>0</v>
      </c>
      <c r="AK220" s="96">
        <f>IFERROR(__xludf.DUMMYFUNCTION("""COMPUTED_VALUE"""),0.0)</f>
        <v>0</v>
      </c>
      <c r="AL220" s="129">
        <f>IFERROR(__xludf.DUMMYFUNCTION("""COMPUTED_VALUE"""),0.0)</f>
        <v>0</v>
      </c>
      <c r="AM220" s="99"/>
    </row>
    <row r="221">
      <c r="V221" s="96">
        <f>IFERROR(__xludf.DUMMYFUNCTION("""COMPUTED_VALUE"""),8.0)</f>
        <v>8</v>
      </c>
      <c r="W221" s="98">
        <f>IFERROR(__xludf.DUMMYFUNCTION("""COMPUTED_VALUE"""),44056.0)</f>
        <v>44056</v>
      </c>
      <c r="X221" s="96" t="str">
        <f>IFERROR(__xludf.DUMMYFUNCTION("""COMPUTED_VALUE"""),"ETUK EFFI")</f>
        <v>ETUK EFFI</v>
      </c>
      <c r="Y221" s="96" t="str">
        <f>IFERROR(__xludf.DUMMYFUNCTION("""COMPUTED_VALUE"""),"ETUK EFFI8")</f>
        <v>ETUK EFFI8</v>
      </c>
      <c r="Z221" s="96"/>
      <c r="AA221" s="96"/>
      <c r="AB221" s="96"/>
      <c r="AC221" s="96"/>
      <c r="AD221" s="96"/>
      <c r="AE221" s="96"/>
      <c r="AF221" s="96">
        <f>IFERROR(__xludf.DUMMYFUNCTION("""COMPUTED_VALUE"""),500000.0)</f>
        <v>500000</v>
      </c>
      <c r="AG221" s="99">
        <f>IFERROR(__xludf.DUMMYFUNCTION("""COMPUTED_VALUE"""),500000.0)</f>
        <v>500000</v>
      </c>
      <c r="AH221" s="96"/>
      <c r="AI221" s="96">
        <f>IFERROR(__xludf.DUMMYFUNCTION("""COMPUTED_VALUE"""),0.0)</f>
        <v>0</v>
      </c>
      <c r="AJ221" s="96">
        <f>IFERROR(__xludf.DUMMYFUNCTION("""COMPUTED_VALUE"""),0.0)</f>
        <v>0</v>
      </c>
      <c r="AK221" s="96">
        <f>IFERROR(__xludf.DUMMYFUNCTION("""COMPUTED_VALUE"""),0.0)</f>
        <v>0</v>
      </c>
      <c r="AL221" s="129">
        <f>IFERROR(__xludf.DUMMYFUNCTION("""COMPUTED_VALUE"""),0.0)</f>
        <v>0</v>
      </c>
      <c r="AM221" s="99"/>
    </row>
    <row r="222">
      <c r="V222" s="96">
        <f>IFERROR(__xludf.DUMMYFUNCTION("""COMPUTED_VALUE"""),14.0)</f>
        <v>14</v>
      </c>
      <c r="W222" s="98">
        <f>IFERROR(__xludf.DUMMYFUNCTION("""COMPUTED_VALUE"""),44055.0)</f>
        <v>44055</v>
      </c>
      <c r="X222" s="96" t="str">
        <f>IFERROR(__xludf.DUMMYFUNCTION("""COMPUTED_VALUE"""),"LYDIA HNSON ")</f>
        <v>LYDIA HNSON </v>
      </c>
      <c r="Y222" s="96" t="str">
        <f>IFERROR(__xludf.DUMMYFUNCTION("""COMPUTED_VALUE"""),"LYDIA HNSON 14")</f>
        <v>LYDIA HNSON 14</v>
      </c>
      <c r="Z222" s="96">
        <f>IFERROR(__xludf.DUMMYFUNCTION("""COMPUTED_VALUE"""),798.0)</f>
        <v>798</v>
      </c>
      <c r="AA222" s="96">
        <f>IFERROR(__xludf.DUMMYFUNCTION("""COMPUTED_VALUE"""),104.0)</f>
        <v>104</v>
      </c>
      <c r="AB222" s="96"/>
      <c r="AC222" s="96">
        <f>IFERROR(__xludf.DUMMYFUNCTION("""COMPUTED_VALUE"""),13.0)</f>
        <v>13</v>
      </c>
      <c r="AD222" s="96"/>
      <c r="AE222" s="96">
        <f>IFERROR(__xludf.DUMMYFUNCTION("""COMPUTED_VALUE"""),800.0)</f>
        <v>800</v>
      </c>
      <c r="AF222" s="96">
        <f>IFERROR(__xludf.DUMMYFUNCTION("""COMPUTED_VALUE"""),1000000.0)</f>
        <v>1000000</v>
      </c>
      <c r="AG222" s="99">
        <f>IFERROR(__xludf.DUMMYFUNCTION("""COMPUTED_VALUE"""),372000.0)</f>
        <v>372000</v>
      </c>
      <c r="AH222" s="96">
        <f>IFERROR(__xludf.DUMMYFUNCTION("""COMPUTED_VALUE"""),8.0)</f>
        <v>8</v>
      </c>
      <c r="AI222" s="96">
        <f>IFERROR(__xludf.DUMMYFUNCTION("""COMPUTED_VALUE"""),0.0)</f>
        <v>0</v>
      </c>
      <c r="AJ222" s="96">
        <f>IFERROR(__xludf.DUMMYFUNCTION("""COMPUTED_VALUE"""),12.0)</f>
        <v>12</v>
      </c>
      <c r="AK222" s="96">
        <f>IFERROR(__xludf.DUMMYFUNCTION("""COMPUTED_VALUE"""),29.0)</f>
        <v>29</v>
      </c>
      <c r="AL222" s="129">
        <f>IFERROR(__xludf.DUMMYFUNCTION("""COMPUTED_VALUE"""),785.0)</f>
        <v>785</v>
      </c>
      <c r="AM222" s="99">
        <f>IFERROR(__xludf.DUMMYFUNCTION("""COMPUTED_VALUE"""),628000.0)</f>
        <v>628000</v>
      </c>
    </row>
    <row r="223">
      <c r="V223" s="96">
        <f>IFERROR(__xludf.DUMMYFUNCTION("""COMPUTED_VALUE"""),13.0)</f>
        <v>13</v>
      </c>
      <c r="W223" s="98">
        <f>IFERROR(__xludf.DUMMYFUNCTION("""COMPUTED_VALUE"""),44055.0)</f>
        <v>44055</v>
      </c>
      <c r="X223" s="96" t="str">
        <f>IFERROR(__xludf.DUMMYFUNCTION("""COMPUTED_VALUE"""),"LIVINUS")</f>
        <v>LIVINUS</v>
      </c>
      <c r="Y223" s="96" t="str">
        <f>IFERROR(__xludf.DUMMYFUNCTION("""COMPUTED_VALUE"""),"LIVINUS13")</f>
        <v>LIVINUS13</v>
      </c>
      <c r="Z223" s="96"/>
      <c r="AA223" s="96"/>
      <c r="AB223" s="96"/>
      <c r="AC223" s="96"/>
      <c r="AD223" s="96"/>
      <c r="AE223" s="96"/>
      <c r="AF223" s="96">
        <f>IFERROR(__xludf.DUMMYFUNCTION("""COMPUTED_VALUE"""),-1000000.0)</f>
        <v>-1000000</v>
      </c>
      <c r="AG223" s="99">
        <f>IFERROR(__xludf.DUMMYFUNCTION("""COMPUTED_VALUE"""),-1000000.0)</f>
        <v>-1000000</v>
      </c>
      <c r="AH223" s="96"/>
      <c r="AI223" s="96">
        <f>IFERROR(__xludf.DUMMYFUNCTION("""COMPUTED_VALUE"""),0.0)</f>
        <v>0</v>
      </c>
      <c r="AJ223" s="96">
        <f>IFERROR(__xludf.DUMMYFUNCTION("""COMPUTED_VALUE"""),0.0)</f>
        <v>0</v>
      </c>
      <c r="AK223" s="96">
        <f>IFERROR(__xludf.DUMMYFUNCTION("""COMPUTED_VALUE"""),0.0)</f>
        <v>0</v>
      </c>
      <c r="AL223" s="129">
        <f>IFERROR(__xludf.DUMMYFUNCTION("""COMPUTED_VALUE"""),0.0)</f>
        <v>0</v>
      </c>
      <c r="AM223" s="99"/>
    </row>
    <row r="224">
      <c r="V224" s="96">
        <f>IFERROR(__xludf.DUMMYFUNCTION("""COMPUTED_VALUE"""),5.0)</f>
        <v>5</v>
      </c>
      <c r="W224" s="98">
        <f>IFERROR(__xludf.DUMMYFUNCTION("""COMPUTED_VALUE"""),44057.0)</f>
        <v>44057</v>
      </c>
      <c r="X224" s="96" t="str">
        <f>IFERROR(__xludf.DUMMYFUNCTION("""COMPUTED_VALUE"""),"ANDRDEW GREAT")</f>
        <v>ANDRDEW GREAT</v>
      </c>
      <c r="Y224" s="96" t="str">
        <f>IFERROR(__xludf.DUMMYFUNCTION("""COMPUTED_VALUE"""),"ANDRDEW GREAT5")</f>
        <v>ANDRDEW GREAT5</v>
      </c>
      <c r="Z224" s="96"/>
      <c r="AA224" s="96"/>
      <c r="AB224" s="96"/>
      <c r="AC224" s="96"/>
      <c r="AD224" s="96"/>
      <c r="AE224" s="96"/>
      <c r="AF224" s="96">
        <f>IFERROR(__xludf.DUMMYFUNCTION("""COMPUTED_VALUE"""),30000.0)</f>
        <v>30000</v>
      </c>
      <c r="AG224" s="99">
        <f>IFERROR(__xludf.DUMMYFUNCTION("""COMPUTED_VALUE"""),30000.0)</f>
        <v>30000</v>
      </c>
      <c r="AH224" s="96"/>
      <c r="AI224" s="96">
        <f>IFERROR(__xludf.DUMMYFUNCTION("""COMPUTED_VALUE"""),0.0)</f>
        <v>0</v>
      </c>
      <c r="AJ224" s="96">
        <f>IFERROR(__xludf.DUMMYFUNCTION("""COMPUTED_VALUE"""),0.0)</f>
        <v>0</v>
      </c>
      <c r="AK224" s="96">
        <f>IFERROR(__xludf.DUMMYFUNCTION("""COMPUTED_VALUE"""),0.0)</f>
        <v>0</v>
      </c>
      <c r="AL224" s="129">
        <f>IFERROR(__xludf.DUMMYFUNCTION("""COMPUTED_VALUE"""),0.0)</f>
        <v>0</v>
      </c>
      <c r="AM224" s="99"/>
    </row>
    <row r="225">
      <c r="V225" s="96">
        <f>IFERROR(__xludf.DUMMYFUNCTION("""COMPUTED_VALUE"""),2.0)</f>
        <v>2</v>
      </c>
      <c r="W225" s="98">
        <f>IFERROR(__xludf.DUMMYFUNCTION("""COMPUTED_VALUE"""),44057.0)</f>
        <v>44057</v>
      </c>
      <c r="X225" s="96" t="str">
        <f>IFERROR(__xludf.DUMMYFUNCTION("""COMPUTED_VALUE"""),"OMODION")</f>
        <v>OMODION</v>
      </c>
      <c r="Y225" s="96" t="str">
        <f>IFERROR(__xludf.DUMMYFUNCTION("""COMPUTED_VALUE"""),"OMODION2")</f>
        <v>OMODION2</v>
      </c>
      <c r="Z225" s="96"/>
      <c r="AA225" s="96"/>
      <c r="AB225" s="96"/>
      <c r="AC225" s="96"/>
      <c r="AD225" s="96"/>
      <c r="AE225" s="96"/>
      <c r="AF225" s="96">
        <f>IFERROR(__xludf.DUMMYFUNCTION("""COMPUTED_VALUE"""),330000.0)</f>
        <v>330000</v>
      </c>
      <c r="AG225" s="99">
        <f>IFERROR(__xludf.DUMMYFUNCTION("""COMPUTED_VALUE"""),330000.0)</f>
        <v>330000</v>
      </c>
      <c r="AH225" s="96"/>
      <c r="AI225" s="96">
        <f>IFERROR(__xludf.DUMMYFUNCTION("""COMPUTED_VALUE"""),0.0)</f>
        <v>0</v>
      </c>
      <c r="AJ225" s="96">
        <f>IFERROR(__xludf.DUMMYFUNCTION("""COMPUTED_VALUE"""),0.0)</f>
        <v>0</v>
      </c>
      <c r="AK225" s="96">
        <f>IFERROR(__xludf.DUMMYFUNCTION("""COMPUTED_VALUE"""),0.0)</f>
        <v>0</v>
      </c>
      <c r="AL225" s="129">
        <f>IFERROR(__xludf.DUMMYFUNCTION("""COMPUTED_VALUE"""),0.0)</f>
        <v>0</v>
      </c>
      <c r="AM225" s="99"/>
    </row>
    <row r="226">
      <c r="V226" s="96">
        <f>IFERROR(__xludf.DUMMYFUNCTION("""COMPUTED_VALUE"""),2.0)</f>
        <v>2</v>
      </c>
      <c r="W226" s="98">
        <f>IFERROR(__xludf.DUMMYFUNCTION("""COMPUTED_VALUE"""),44057.0)</f>
        <v>44057</v>
      </c>
      <c r="X226" s="96" t="str">
        <f>IFERROR(__xludf.DUMMYFUNCTION("""COMPUTED_VALUE"""),"OBIM TIWA HNSON")</f>
        <v>OBIM TIWA HNSON</v>
      </c>
      <c r="Y226" s="96" t="str">
        <f>IFERROR(__xludf.DUMMYFUNCTION("""COMPUTED_VALUE"""),"OBIM TIWA HNSON2")</f>
        <v>OBIM TIWA HNSON2</v>
      </c>
      <c r="Z226" s="96"/>
      <c r="AA226" s="96"/>
      <c r="AB226" s="96"/>
      <c r="AC226" s="96"/>
      <c r="AD226" s="96"/>
      <c r="AE226" s="96"/>
      <c r="AF226" s="96">
        <f>IFERROR(__xludf.DUMMYFUNCTION("""COMPUTED_VALUE"""),500000.0)</f>
        <v>500000</v>
      </c>
      <c r="AG226" s="99">
        <f>IFERROR(__xludf.DUMMYFUNCTION("""COMPUTED_VALUE"""),500000.0)</f>
        <v>500000</v>
      </c>
      <c r="AH226" s="96"/>
      <c r="AI226" s="96">
        <f>IFERROR(__xludf.DUMMYFUNCTION("""COMPUTED_VALUE"""),0.0)</f>
        <v>0</v>
      </c>
      <c r="AJ226" s="96">
        <f>IFERROR(__xludf.DUMMYFUNCTION("""COMPUTED_VALUE"""),0.0)</f>
        <v>0</v>
      </c>
      <c r="AK226" s="96">
        <f>IFERROR(__xludf.DUMMYFUNCTION("""COMPUTED_VALUE"""),0.0)</f>
        <v>0</v>
      </c>
      <c r="AL226" s="129">
        <f>IFERROR(__xludf.DUMMYFUNCTION("""COMPUTED_VALUE"""),0.0)</f>
        <v>0</v>
      </c>
      <c r="AM226" s="99"/>
    </row>
    <row r="227">
      <c r="V227" s="96">
        <f>IFERROR(__xludf.DUMMYFUNCTION("""COMPUTED_VALUE"""),3.0)</f>
        <v>3</v>
      </c>
      <c r="W227" s="98">
        <f>IFERROR(__xludf.DUMMYFUNCTION("""COMPUTED_VALUE"""),44057.0)</f>
        <v>44057</v>
      </c>
      <c r="X227" s="96" t="str">
        <f>IFERROR(__xludf.DUMMYFUNCTION("""COMPUTED_VALUE"""),"OBIM TIWA HNSON")</f>
        <v>OBIM TIWA HNSON</v>
      </c>
      <c r="Y227" s="96" t="str">
        <f>IFERROR(__xludf.DUMMYFUNCTION("""COMPUTED_VALUE"""),"OBIM TIWA HNSON3")</f>
        <v>OBIM TIWA HNSON3</v>
      </c>
      <c r="Z227" s="96"/>
      <c r="AA227" s="96"/>
      <c r="AB227" s="96"/>
      <c r="AC227" s="96"/>
      <c r="AD227" s="96"/>
      <c r="AE227" s="96"/>
      <c r="AF227" s="96">
        <f>IFERROR(__xludf.DUMMYFUNCTION("""COMPUTED_VALUE"""),20000.0)</f>
        <v>20000</v>
      </c>
      <c r="AG227" s="99">
        <f>IFERROR(__xludf.DUMMYFUNCTION("""COMPUTED_VALUE"""),20000.0)</f>
        <v>20000</v>
      </c>
      <c r="AH227" s="96"/>
      <c r="AI227" s="96">
        <f>IFERROR(__xludf.DUMMYFUNCTION("""COMPUTED_VALUE"""),0.0)</f>
        <v>0</v>
      </c>
      <c r="AJ227" s="96">
        <f>IFERROR(__xludf.DUMMYFUNCTION("""COMPUTED_VALUE"""),0.0)</f>
        <v>0</v>
      </c>
      <c r="AK227" s="96">
        <f>IFERROR(__xludf.DUMMYFUNCTION("""COMPUTED_VALUE"""),0.0)</f>
        <v>0</v>
      </c>
      <c r="AL227" s="129">
        <f>IFERROR(__xludf.DUMMYFUNCTION("""COMPUTED_VALUE"""),0.0)</f>
        <v>0</v>
      </c>
      <c r="AM227" s="99"/>
    </row>
    <row r="228">
      <c r="V228" s="96">
        <f>IFERROR(__xludf.DUMMYFUNCTION("""COMPUTED_VALUE"""),7.0)</f>
        <v>7</v>
      </c>
      <c r="W228" s="98">
        <f>IFERROR(__xludf.DUMMYFUNCTION("""COMPUTED_VALUE"""),44041.0)</f>
        <v>44041</v>
      </c>
      <c r="X228" s="96" t="str">
        <f>IFERROR(__xludf.DUMMYFUNCTION("""COMPUTED_VALUE"""),"EDWARD OKO")</f>
        <v>EDWARD OKO</v>
      </c>
      <c r="Y228" s="96" t="str">
        <f>IFERROR(__xludf.DUMMYFUNCTION("""COMPUTED_VALUE"""),"EDWARD OKO7")</f>
        <v>EDWARD OKO7</v>
      </c>
      <c r="Z228" s="96">
        <f>IFERROR(__xludf.DUMMYFUNCTION("""COMPUTED_VALUE"""),93.0)</f>
        <v>93</v>
      </c>
      <c r="AA228" s="96">
        <f>IFERROR(__xludf.DUMMYFUNCTION("""COMPUTED_VALUE"""),8.0)</f>
        <v>8</v>
      </c>
      <c r="AB228" s="96"/>
      <c r="AC228" s="96">
        <f>IFERROR(__xludf.DUMMYFUNCTION("""COMPUTED_VALUE"""),1.0)</f>
        <v>1</v>
      </c>
      <c r="AD228" s="96"/>
      <c r="AE228" s="96">
        <f>IFERROR(__xludf.DUMMYFUNCTION("""COMPUTED_VALUE"""),552.07)</f>
        <v>552.07</v>
      </c>
      <c r="AF228" s="96"/>
      <c r="AG228" s="99">
        <f>IFERROR(__xludf.DUMMYFUNCTION("""COMPUTED_VALUE"""),-50790.0)</f>
        <v>-50790</v>
      </c>
      <c r="AH228" s="96">
        <f>IFERROR(__xludf.DUMMYFUNCTION("""COMPUTED_VALUE"""),8.0)</f>
        <v>8</v>
      </c>
      <c r="AI228" s="96">
        <f>IFERROR(__xludf.DUMMYFUNCTION("""COMPUTED_VALUE"""),0.0)</f>
        <v>0</v>
      </c>
      <c r="AJ228" s="96">
        <f>IFERROR(__xludf.DUMMYFUNCTION("""COMPUTED_VALUE"""),1.0)</f>
        <v>1</v>
      </c>
      <c r="AK228" s="96">
        <f>IFERROR(__xludf.DUMMYFUNCTION("""COMPUTED_VALUE"""),29.0)</f>
        <v>29</v>
      </c>
      <c r="AL228" s="129">
        <f>IFERROR(__xludf.DUMMYFUNCTION("""COMPUTED_VALUE"""),92.0)</f>
        <v>92</v>
      </c>
      <c r="AM228" s="99">
        <f>IFERROR(__xludf.DUMMYFUNCTION("""COMPUTED_VALUE"""),50790.0)</f>
        <v>50790</v>
      </c>
    </row>
    <row r="229">
      <c r="V229" s="96">
        <f>IFERROR(__xludf.DUMMYFUNCTION("""COMPUTED_VALUE"""),4.0)</f>
        <v>4</v>
      </c>
      <c r="W229" s="98">
        <f>IFERROR(__xludf.DUMMYFUNCTION("""COMPUTED_VALUE"""),44054.0)</f>
        <v>44054</v>
      </c>
      <c r="X229" s="96" t="str">
        <f>IFERROR(__xludf.DUMMYFUNCTION("""COMPUTED_VALUE"""),"A. D. FREDERICK")</f>
        <v>A. D. FREDERICK</v>
      </c>
      <c r="Y229" s="96" t="str">
        <f>IFERROR(__xludf.DUMMYFUNCTION("""COMPUTED_VALUE"""),"A. D. FREDERICK4")</f>
        <v>A. D. FREDERICK4</v>
      </c>
      <c r="Z229" s="96">
        <f>IFERROR(__xludf.DUMMYFUNCTION("""COMPUTED_VALUE"""),321.0)</f>
        <v>321</v>
      </c>
      <c r="AA229" s="96">
        <f>IFERROR(__xludf.DUMMYFUNCTION("""COMPUTED_VALUE"""),40.0)</f>
        <v>40</v>
      </c>
      <c r="AB229" s="96"/>
      <c r="AC229" s="96">
        <f>IFERROR(__xludf.DUMMYFUNCTION("""COMPUTED_VALUE"""),5.0)</f>
        <v>5</v>
      </c>
      <c r="AD229" s="96"/>
      <c r="AE229" s="96">
        <f>IFERROR(__xludf.DUMMYFUNCTION("""COMPUTED_VALUE"""),800.0)</f>
        <v>800</v>
      </c>
      <c r="AF229" s="96"/>
      <c r="AG229" s="99">
        <f>IFERROR(__xludf.DUMMYFUNCTION("""COMPUTED_VALUE"""),-252800.0)</f>
        <v>-252800</v>
      </c>
      <c r="AH229" s="96">
        <f>IFERROR(__xludf.DUMMYFUNCTION("""COMPUTED_VALUE"""),8.0)</f>
        <v>8</v>
      </c>
      <c r="AI229" s="96">
        <f>IFERROR(__xludf.DUMMYFUNCTION("""COMPUTED_VALUE"""),0.0)</f>
        <v>0</v>
      </c>
      <c r="AJ229" s="96">
        <f>IFERROR(__xludf.DUMMYFUNCTION("""COMPUTED_VALUE"""),5.0)</f>
        <v>5</v>
      </c>
      <c r="AK229" s="96">
        <f>IFERROR(__xludf.DUMMYFUNCTION("""COMPUTED_VALUE"""),0.0)</f>
        <v>0</v>
      </c>
      <c r="AL229" s="129">
        <f>IFERROR(__xludf.DUMMYFUNCTION("""COMPUTED_VALUE"""),316.0)</f>
        <v>316</v>
      </c>
      <c r="AM229" s="99">
        <f>IFERROR(__xludf.DUMMYFUNCTION("""COMPUTED_VALUE"""),252800.0)</f>
        <v>252800</v>
      </c>
    </row>
    <row r="230">
      <c r="V230" s="96">
        <f>IFERROR(__xludf.DUMMYFUNCTION("""COMPUTED_VALUE"""),6.0)</f>
        <v>6</v>
      </c>
      <c r="W230" s="98">
        <f>IFERROR(__xludf.DUMMYFUNCTION("""COMPUTED_VALUE"""),44057.0)</f>
        <v>44057</v>
      </c>
      <c r="X230" s="96" t="str">
        <f>IFERROR(__xludf.DUMMYFUNCTION("""COMPUTED_VALUE"""),"ANDRDEW GREAT")</f>
        <v>ANDRDEW GREAT</v>
      </c>
      <c r="Y230" s="96" t="str">
        <f>IFERROR(__xludf.DUMMYFUNCTION("""COMPUTED_VALUE"""),"ANDRDEW GREAT6")</f>
        <v>ANDRDEW GREAT6</v>
      </c>
      <c r="Z230" s="96">
        <f>IFERROR(__xludf.DUMMYFUNCTION("""COMPUTED_VALUE"""),447.0)</f>
        <v>447</v>
      </c>
      <c r="AA230" s="96">
        <f>IFERROR(__xludf.DUMMYFUNCTION("""COMPUTED_VALUE"""),67.5)</f>
        <v>67.5</v>
      </c>
      <c r="AB230" s="96"/>
      <c r="AC230" s="96">
        <f>IFERROR(__xludf.DUMMYFUNCTION("""COMPUTED_VALUE"""),7.0)</f>
        <v>7</v>
      </c>
      <c r="AD230" s="96">
        <f>IFERROR(__xludf.DUMMYFUNCTION("""COMPUTED_VALUE"""),1.0)</f>
        <v>1</v>
      </c>
      <c r="AE230" s="96">
        <f>IFERROR(__xludf.DUMMYFUNCTION("""COMPUTED_VALUE"""),820.0)</f>
        <v>820</v>
      </c>
      <c r="AF230" s="96"/>
      <c r="AG230" s="99">
        <f>IFERROR(__xludf.DUMMYFUNCTION("""COMPUTED_VALUE"""),-355880.0)</f>
        <v>-355880</v>
      </c>
      <c r="AH230" s="96">
        <f>IFERROR(__xludf.DUMMYFUNCTION("""COMPUTED_VALUE"""),9.64)</f>
        <v>9.64</v>
      </c>
      <c r="AI230" s="96">
        <f>IFERROR(__xludf.DUMMYFUNCTION("""COMPUTED_VALUE"""),7.0)</f>
        <v>7</v>
      </c>
      <c r="AJ230" s="96">
        <f>IFERROR(__xludf.DUMMYFUNCTION("""COMPUTED_VALUE"""),6.0)</f>
        <v>6</v>
      </c>
      <c r="AK230" s="96">
        <f>IFERROR(__xludf.DUMMYFUNCTION("""COMPUTED_VALUE"""),56.0)</f>
        <v>56</v>
      </c>
      <c r="AL230" s="129">
        <f>IFERROR(__xludf.DUMMYFUNCTION("""COMPUTED_VALUE"""),434.0)</f>
        <v>434</v>
      </c>
      <c r="AM230" s="99">
        <f>IFERROR(__xludf.DUMMYFUNCTION("""COMPUTED_VALUE"""),355880.0)</f>
        <v>355880</v>
      </c>
    </row>
    <row r="231">
      <c r="V231" s="96">
        <f>IFERROR(__xludf.DUMMYFUNCTION("""COMPUTED_VALUE"""),15.0)</f>
        <v>15</v>
      </c>
      <c r="W231" s="98">
        <f>IFERROR(__xludf.DUMMYFUNCTION("""COMPUTED_VALUE"""),44056.0)</f>
        <v>44056</v>
      </c>
      <c r="X231" s="96" t="str">
        <f>IFERROR(__xludf.DUMMYFUNCTION("""COMPUTED_VALUE"""),"CONNECT")</f>
        <v>CONNECT</v>
      </c>
      <c r="Y231" s="96" t="str">
        <f>IFERROR(__xludf.DUMMYFUNCTION("""COMPUTED_VALUE"""),"CONNECT15")</f>
        <v>CONNECT15</v>
      </c>
      <c r="Z231" s="96">
        <f>IFERROR(__xludf.DUMMYFUNCTION("""COMPUTED_VALUE"""),2652.0)</f>
        <v>2652</v>
      </c>
      <c r="AA231" s="96">
        <f>IFERROR(__xludf.DUMMYFUNCTION("""COMPUTED_VALUE"""),328.0)</f>
        <v>328</v>
      </c>
      <c r="AB231" s="96"/>
      <c r="AC231" s="96">
        <f>IFERROR(__xludf.DUMMYFUNCTION("""COMPUTED_VALUE"""),41.0)</f>
        <v>41</v>
      </c>
      <c r="AD231" s="96">
        <f>IFERROR(__xludf.DUMMYFUNCTION("""COMPUTED_VALUE"""),4.0)</f>
        <v>4</v>
      </c>
      <c r="AE231" s="96">
        <f>IFERROR(__xludf.DUMMYFUNCTION("""COMPUTED_VALUE"""),820.0)</f>
        <v>820</v>
      </c>
      <c r="AF231" s="96"/>
      <c r="AG231" s="99">
        <f>IFERROR(__xludf.DUMMYFUNCTION("""COMPUTED_VALUE"""),-2144300.0)</f>
        <v>-2144300</v>
      </c>
      <c r="AH231" s="96">
        <f>IFERROR(__xludf.DUMMYFUNCTION("""COMPUTED_VALUE"""),8.0)</f>
        <v>8</v>
      </c>
      <c r="AI231" s="96">
        <f>IFERROR(__xludf.DUMMYFUNCTION("""COMPUTED_VALUE"""),0.0)</f>
        <v>0</v>
      </c>
      <c r="AJ231" s="96">
        <f>IFERROR(__xludf.DUMMYFUNCTION("""COMPUTED_VALUE"""),41.0)</f>
        <v>41</v>
      </c>
      <c r="AK231" s="96">
        <f>IFERROR(__xludf.DUMMYFUNCTION("""COMPUTED_VALUE"""),31.0)</f>
        <v>31</v>
      </c>
      <c r="AL231" s="129">
        <f>IFERROR(__xludf.DUMMYFUNCTION("""COMPUTED_VALUE"""),2615.0)</f>
        <v>2615</v>
      </c>
      <c r="AM231" s="99">
        <f>IFERROR(__xludf.DUMMYFUNCTION("""COMPUTED_VALUE"""),2144300.0)</f>
        <v>2144300</v>
      </c>
    </row>
    <row r="232">
      <c r="V232" s="96">
        <f>IFERROR(__xludf.DUMMYFUNCTION("""COMPUTED_VALUE"""),9.0)</f>
        <v>9</v>
      </c>
      <c r="W232" s="98">
        <f>IFERROR(__xludf.DUMMYFUNCTION("""COMPUTED_VALUE"""),44055.0)</f>
        <v>44055</v>
      </c>
      <c r="X232" s="96" t="str">
        <f>IFERROR(__xludf.DUMMYFUNCTION("""COMPUTED_VALUE"""),"ETUK EFFI")</f>
        <v>ETUK EFFI</v>
      </c>
      <c r="Y232" s="96" t="str">
        <f>IFERROR(__xludf.DUMMYFUNCTION("""COMPUTED_VALUE"""),"ETUK EFFI9")</f>
        <v>ETUK EFFI9</v>
      </c>
      <c r="Z232" s="96">
        <f>IFERROR(__xludf.DUMMYFUNCTION("""COMPUTED_VALUE"""),1686.0)</f>
        <v>1686</v>
      </c>
      <c r="AA232" s="96">
        <f>IFERROR(__xludf.DUMMYFUNCTION("""COMPUTED_VALUE"""),208.0)</f>
        <v>208</v>
      </c>
      <c r="AB232" s="96"/>
      <c r="AC232" s="96">
        <f>IFERROR(__xludf.DUMMYFUNCTION("""COMPUTED_VALUE"""),26.0)</f>
        <v>26</v>
      </c>
      <c r="AD232" s="96"/>
      <c r="AE232" s="96">
        <f>IFERROR(__xludf.DUMMYFUNCTION("""COMPUTED_VALUE"""),810.0)</f>
        <v>810</v>
      </c>
      <c r="AF232" s="96"/>
      <c r="AG232" s="99">
        <f>IFERROR(__xludf.DUMMYFUNCTION("""COMPUTED_VALUE"""),-1344600.0)</f>
        <v>-1344600</v>
      </c>
      <c r="AH232" s="96">
        <f>IFERROR(__xludf.DUMMYFUNCTION("""COMPUTED_VALUE"""),8.0)</f>
        <v>8</v>
      </c>
      <c r="AI232" s="96">
        <f>IFERROR(__xludf.DUMMYFUNCTION("""COMPUTED_VALUE"""),0.0)</f>
        <v>0</v>
      </c>
      <c r="AJ232" s="96">
        <f>IFERROR(__xludf.DUMMYFUNCTION("""COMPUTED_VALUE"""),26.0)</f>
        <v>26</v>
      </c>
      <c r="AK232" s="96">
        <f>IFERROR(__xludf.DUMMYFUNCTION("""COMPUTED_VALUE"""),21.0)</f>
        <v>21</v>
      </c>
      <c r="AL232" s="129">
        <f>IFERROR(__xludf.DUMMYFUNCTION("""COMPUTED_VALUE"""),1660.0)</f>
        <v>1660</v>
      </c>
      <c r="AM232" s="99">
        <f>IFERROR(__xludf.DUMMYFUNCTION("""COMPUTED_VALUE"""),1344600.0)</f>
        <v>1344600</v>
      </c>
    </row>
    <row r="233">
      <c r="V233" s="96">
        <f>IFERROR(__xludf.DUMMYFUNCTION("""COMPUTED_VALUE"""),7.0)</f>
        <v>7</v>
      </c>
      <c r="W233" s="98">
        <f>IFERROR(__xludf.DUMMYFUNCTION("""COMPUTED_VALUE"""),44058.0)</f>
        <v>44058</v>
      </c>
      <c r="X233" s="96" t="str">
        <f>IFERROR(__xludf.DUMMYFUNCTION("""COMPUTED_VALUE"""),"ANDRDEW GREAT")</f>
        <v>ANDRDEW GREAT</v>
      </c>
      <c r="Y233" s="96" t="str">
        <f>IFERROR(__xludf.DUMMYFUNCTION("""COMPUTED_VALUE"""),"ANDRDEW GREAT7")</f>
        <v>ANDRDEW GREAT7</v>
      </c>
      <c r="Z233" s="96"/>
      <c r="AA233" s="96"/>
      <c r="AB233" s="96"/>
      <c r="AC233" s="96"/>
      <c r="AD233" s="96"/>
      <c r="AE233" s="96"/>
      <c r="AF233" s="96">
        <f>IFERROR(__xludf.DUMMYFUNCTION("""COMPUTED_VALUE"""),355880.0)</f>
        <v>355880</v>
      </c>
      <c r="AG233" s="99">
        <f>IFERROR(__xludf.DUMMYFUNCTION("""COMPUTED_VALUE"""),355880.0)</f>
        <v>355880</v>
      </c>
      <c r="AH233" s="96"/>
      <c r="AI233" s="96">
        <f>IFERROR(__xludf.DUMMYFUNCTION("""COMPUTED_VALUE"""),0.0)</f>
        <v>0</v>
      </c>
      <c r="AJ233" s="96">
        <f>IFERROR(__xludf.DUMMYFUNCTION("""COMPUTED_VALUE"""),0.0)</f>
        <v>0</v>
      </c>
      <c r="AK233" s="96">
        <f>IFERROR(__xludf.DUMMYFUNCTION("""COMPUTED_VALUE"""),0.0)</f>
        <v>0</v>
      </c>
      <c r="AL233" s="129">
        <f>IFERROR(__xludf.DUMMYFUNCTION("""COMPUTED_VALUE"""),0.0)</f>
        <v>0</v>
      </c>
      <c r="AM233" s="99"/>
    </row>
    <row r="234">
      <c r="V234" s="96">
        <f>IFERROR(__xludf.DUMMYFUNCTION("""COMPUTED_VALUE"""),17.0)</f>
        <v>17</v>
      </c>
      <c r="W234" s="98">
        <f>IFERROR(__xludf.DUMMYFUNCTION("""COMPUTED_VALUE"""),44058.0)</f>
        <v>44058</v>
      </c>
      <c r="X234" s="96" t="str">
        <f>IFERROR(__xludf.DUMMYFUNCTION("""COMPUTED_VALUE"""),"RECTOR W.")</f>
        <v>RECTOR W.</v>
      </c>
      <c r="Y234" s="96" t="str">
        <f>IFERROR(__xludf.DUMMYFUNCTION("""COMPUTED_VALUE"""),"RECTOR W.17")</f>
        <v>RECTOR W.17</v>
      </c>
      <c r="Z234" s="96"/>
      <c r="AA234" s="96"/>
      <c r="AB234" s="96"/>
      <c r="AC234" s="96"/>
      <c r="AD234" s="96"/>
      <c r="AE234" s="96"/>
      <c r="AF234" s="96">
        <f>IFERROR(__xludf.DUMMYFUNCTION("""COMPUTED_VALUE"""),250000.0)</f>
        <v>250000</v>
      </c>
      <c r="AG234" s="99">
        <f>IFERROR(__xludf.DUMMYFUNCTION("""COMPUTED_VALUE"""),250000.0)</f>
        <v>250000</v>
      </c>
      <c r="AH234" s="96"/>
      <c r="AI234" s="96">
        <f>IFERROR(__xludf.DUMMYFUNCTION("""COMPUTED_VALUE"""),0.0)</f>
        <v>0</v>
      </c>
      <c r="AJ234" s="96">
        <f>IFERROR(__xludf.DUMMYFUNCTION("""COMPUTED_VALUE"""),0.0)</f>
        <v>0</v>
      </c>
      <c r="AK234" s="96">
        <f>IFERROR(__xludf.DUMMYFUNCTION("""COMPUTED_VALUE"""),0.0)</f>
        <v>0</v>
      </c>
      <c r="AL234" s="129">
        <f>IFERROR(__xludf.DUMMYFUNCTION("""COMPUTED_VALUE"""),0.0)</f>
        <v>0</v>
      </c>
      <c r="AM234" s="99"/>
    </row>
    <row r="235">
      <c r="V235" s="96">
        <f>IFERROR(__xludf.DUMMYFUNCTION("""COMPUTED_VALUE"""),7.0)</f>
        <v>7</v>
      </c>
      <c r="W235" s="98">
        <f>IFERROR(__xludf.DUMMYFUNCTION("""COMPUTED_VALUE"""),44058.0)</f>
        <v>44058</v>
      </c>
      <c r="X235" s="96" t="str">
        <f>IFERROR(__xludf.DUMMYFUNCTION("""COMPUTED_VALUE"""),"ZULU &amp; NDOMA")</f>
        <v>ZULU &amp; NDOMA</v>
      </c>
      <c r="Y235" s="96" t="str">
        <f>IFERROR(__xludf.DUMMYFUNCTION("""COMPUTED_VALUE"""),"ZULU &amp; NDOMA7")</f>
        <v>ZULU &amp; NDOMA7</v>
      </c>
      <c r="Z235" s="96"/>
      <c r="AA235" s="96"/>
      <c r="AB235" s="96"/>
      <c r="AC235" s="96"/>
      <c r="AD235" s="96"/>
      <c r="AE235" s="96"/>
      <c r="AF235" s="96">
        <f>IFERROR(__xludf.DUMMYFUNCTION("""COMPUTED_VALUE"""),200000.0)</f>
        <v>200000</v>
      </c>
      <c r="AG235" s="99">
        <f>IFERROR(__xludf.DUMMYFUNCTION("""COMPUTED_VALUE"""),200000.0)</f>
        <v>200000</v>
      </c>
      <c r="AH235" s="96"/>
      <c r="AI235" s="96">
        <f>IFERROR(__xludf.DUMMYFUNCTION("""COMPUTED_VALUE"""),0.0)</f>
        <v>0</v>
      </c>
      <c r="AJ235" s="96">
        <f>IFERROR(__xludf.DUMMYFUNCTION("""COMPUTED_VALUE"""),0.0)</f>
        <v>0</v>
      </c>
      <c r="AK235" s="96">
        <f>IFERROR(__xludf.DUMMYFUNCTION("""COMPUTED_VALUE"""),0.0)</f>
        <v>0</v>
      </c>
      <c r="AL235" s="129">
        <f>IFERROR(__xludf.DUMMYFUNCTION("""COMPUTED_VALUE"""),0.0)</f>
        <v>0</v>
      </c>
      <c r="AM235" s="99"/>
    </row>
    <row r="236">
      <c r="V236" s="96">
        <f>IFERROR(__xludf.DUMMYFUNCTION("""COMPUTED_VALUE"""),2.0)</f>
        <v>2</v>
      </c>
      <c r="W236" s="98">
        <f>IFERROR(__xludf.DUMMYFUNCTION("""COMPUTED_VALUE"""),44060.0)</f>
        <v>44060</v>
      </c>
      <c r="X236" s="96" t="str">
        <f>IFERROR(__xludf.DUMMYFUNCTION("""COMPUTED_VALUE"""),"MATIAT LOVE")</f>
        <v>MATIAT LOVE</v>
      </c>
      <c r="Y236" s="96" t="str">
        <f>IFERROR(__xludf.DUMMYFUNCTION("""COMPUTED_VALUE"""),"MATIAT LOVE2")</f>
        <v>MATIAT LOVE2</v>
      </c>
      <c r="Z236" s="96">
        <f>IFERROR(__xludf.DUMMYFUNCTION("""COMPUTED_VALUE"""),120.0)</f>
        <v>120</v>
      </c>
      <c r="AA236" s="96">
        <f>IFERROR(__xludf.DUMMYFUNCTION("""COMPUTED_VALUE"""),16.0)</f>
        <v>16</v>
      </c>
      <c r="AB236" s="96"/>
      <c r="AC236" s="96">
        <f>IFERROR(__xludf.DUMMYFUNCTION("""COMPUTED_VALUE"""),2.0)</f>
        <v>2</v>
      </c>
      <c r="AD236" s="96"/>
      <c r="AE236" s="96">
        <f>IFERROR(__xludf.DUMMYFUNCTION("""COMPUTED_VALUE"""),810.0)</f>
        <v>810</v>
      </c>
      <c r="AF236" s="96"/>
      <c r="AG236" s="99">
        <f>IFERROR(__xludf.DUMMYFUNCTION("""COMPUTED_VALUE"""),-95580.0)</f>
        <v>-95580</v>
      </c>
      <c r="AH236" s="96">
        <f>IFERROR(__xludf.DUMMYFUNCTION("""COMPUTED_VALUE"""),8.0)</f>
        <v>8</v>
      </c>
      <c r="AI236" s="96">
        <f>IFERROR(__xludf.DUMMYFUNCTION("""COMPUTED_VALUE"""),0.0)</f>
        <v>0</v>
      </c>
      <c r="AJ236" s="96">
        <f>IFERROR(__xludf.DUMMYFUNCTION("""COMPUTED_VALUE"""),1.0)</f>
        <v>1</v>
      </c>
      <c r="AK236" s="96">
        <f>IFERROR(__xludf.DUMMYFUNCTION("""COMPUTED_VALUE"""),55.0)</f>
        <v>55</v>
      </c>
      <c r="AL236" s="129">
        <f>IFERROR(__xludf.DUMMYFUNCTION("""COMPUTED_VALUE"""),118.0)</f>
        <v>118</v>
      </c>
      <c r="AM236" s="99">
        <f>IFERROR(__xludf.DUMMYFUNCTION("""COMPUTED_VALUE"""),95580.0)</f>
        <v>95580</v>
      </c>
    </row>
    <row r="237">
      <c r="V237" s="96">
        <f>IFERROR(__xludf.DUMMYFUNCTION("""COMPUTED_VALUE"""),4.0)</f>
        <v>4</v>
      </c>
      <c r="W237" s="98">
        <f>IFERROR(__xludf.DUMMYFUNCTION("""COMPUTED_VALUE"""),44060.0)</f>
        <v>44060</v>
      </c>
      <c r="X237" s="96" t="str">
        <f>IFERROR(__xludf.DUMMYFUNCTION("""COMPUTED_VALUE"""),"KARIEN EBAN")</f>
        <v>KARIEN EBAN</v>
      </c>
      <c r="Y237" s="96" t="str">
        <f>IFERROR(__xludf.DUMMYFUNCTION("""COMPUTED_VALUE"""),"KARIEN EBAN4")</f>
        <v>KARIEN EBAN4</v>
      </c>
      <c r="Z237" s="96">
        <f>IFERROR(__xludf.DUMMYFUNCTION("""COMPUTED_VALUE"""),1643.0)</f>
        <v>1643</v>
      </c>
      <c r="AA237" s="96">
        <f>IFERROR(__xludf.DUMMYFUNCTION("""COMPUTED_VALUE"""),246.5)</f>
        <v>246.5</v>
      </c>
      <c r="AB237" s="96"/>
      <c r="AC237" s="96">
        <f>IFERROR(__xludf.DUMMYFUNCTION("""COMPUTED_VALUE"""),26.0)</f>
        <v>26</v>
      </c>
      <c r="AD237" s="96"/>
      <c r="AE237" s="96">
        <f>IFERROR(__xludf.DUMMYFUNCTION("""COMPUTED_VALUE"""),830.0)</f>
        <v>830</v>
      </c>
      <c r="AF237" s="96"/>
      <c r="AG237" s="99">
        <f>IFERROR(__xludf.DUMMYFUNCTION("""COMPUTED_VALUE"""),-1322190.0)</f>
        <v>-1322190</v>
      </c>
      <c r="AH237" s="96">
        <f>IFERROR(__xludf.DUMMYFUNCTION("""COMPUTED_VALUE"""),9.48)</f>
        <v>9.48</v>
      </c>
      <c r="AI237" s="96">
        <f>IFERROR(__xludf.DUMMYFUNCTION("""COMPUTED_VALUE"""),24.0)</f>
        <v>24</v>
      </c>
      <c r="AJ237" s="96">
        <f>IFERROR(__xludf.DUMMYFUNCTION("""COMPUTED_VALUE"""),25.0)</f>
        <v>25</v>
      </c>
      <c r="AK237" s="96">
        <f>IFERROR(__xludf.DUMMYFUNCTION("""COMPUTED_VALUE"""),17.0)</f>
        <v>17</v>
      </c>
      <c r="AL237" s="129">
        <f>IFERROR(__xludf.DUMMYFUNCTION("""COMPUTED_VALUE"""),1593.0)</f>
        <v>1593</v>
      </c>
      <c r="AM237" s="99">
        <f>IFERROR(__xludf.DUMMYFUNCTION("""COMPUTED_VALUE"""),1322190.0)</f>
        <v>1322190</v>
      </c>
    </row>
    <row r="238">
      <c r="V238" s="96">
        <f>IFERROR(__xludf.DUMMYFUNCTION("""COMPUTED_VALUE"""),5.0)</f>
        <v>5</v>
      </c>
      <c r="W238" s="98">
        <f>IFERROR(__xludf.DUMMYFUNCTION("""COMPUTED_VALUE"""),44060.0)</f>
        <v>44060</v>
      </c>
      <c r="X238" s="96" t="str">
        <f>IFERROR(__xludf.DUMMYFUNCTION("""COMPUTED_VALUE"""),"A. D. FREDERICK")</f>
        <v>A. D. FREDERICK</v>
      </c>
      <c r="Y238" s="96" t="str">
        <f>IFERROR(__xludf.DUMMYFUNCTION("""COMPUTED_VALUE"""),"A. D. FREDERICK5")</f>
        <v>A. D. FREDERICK5</v>
      </c>
      <c r="Z238" s="96"/>
      <c r="AA238" s="96"/>
      <c r="AB238" s="96"/>
      <c r="AC238" s="96"/>
      <c r="AD238" s="96"/>
      <c r="AE238" s="96"/>
      <c r="AF238" s="96">
        <f>IFERROR(__xludf.DUMMYFUNCTION("""COMPUTED_VALUE"""),150000.0)</f>
        <v>150000</v>
      </c>
      <c r="AG238" s="99">
        <f>IFERROR(__xludf.DUMMYFUNCTION("""COMPUTED_VALUE"""),150000.0)</f>
        <v>150000</v>
      </c>
      <c r="AH238" s="96"/>
      <c r="AI238" s="96">
        <f>IFERROR(__xludf.DUMMYFUNCTION("""COMPUTED_VALUE"""),0.0)</f>
        <v>0</v>
      </c>
      <c r="AJ238" s="96">
        <f>IFERROR(__xludf.DUMMYFUNCTION("""COMPUTED_VALUE"""),0.0)</f>
        <v>0</v>
      </c>
      <c r="AK238" s="96">
        <f>IFERROR(__xludf.DUMMYFUNCTION("""COMPUTED_VALUE"""),0.0)</f>
        <v>0</v>
      </c>
      <c r="AL238" s="129">
        <f>IFERROR(__xludf.DUMMYFUNCTION("""COMPUTED_VALUE"""),0.0)</f>
        <v>0</v>
      </c>
      <c r="AM238" s="99"/>
    </row>
    <row r="239">
      <c r="V239" s="96">
        <f>IFERROR(__xludf.DUMMYFUNCTION("""COMPUTED_VALUE"""),14.0)</f>
        <v>14</v>
      </c>
      <c r="W239" s="98">
        <f>IFERROR(__xludf.DUMMYFUNCTION("""COMPUTED_VALUE"""),44060.0)</f>
        <v>44060</v>
      </c>
      <c r="X239" s="96" t="str">
        <f>IFERROR(__xludf.DUMMYFUNCTION("""COMPUTED_VALUE"""),"LIVINUS")</f>
        <v>LIVINUS</v>
      </c>
      <c r="Y239" s="96" t="str">
        <f>IFERROR(__xludf.DUMMYFUNCTION("""COMPUTED_VALUE"""),"LIVINUS14")</f>
        <v>LIVINUS14</v>
      </c>
      <c r="Z239" s="96"/>
      <c r="AA239" s="96"/>
      <c r="AB239" s="96"/>
      <c r="AC239" s="96"/>
      <c r="AD239" s="96"/>
      <c r="AE239" s="96"/>
      <c r="AF239" s="96">
        <f>IFERROR(__xludf.DUMMYFUNCTION("""COMPUTED_VALUE"""),1427500.0)</f>
        <v>1427500</v>
      </c>
      <c r="AG239" s="99">
        <f>IFERROR(__xludf.DUMMYFUNCTION("""COMPUTED_VALUE"""),1427500.0)</f>
        <v>1427500</v>
      </c>
      <c r="AH239" s="96"/>
      <c r="AI239" s="96">
        <f>IFERROR(__xludf.DUMMYFUNCTION("""COMPUTED_VALUE"""),0.0)</f>
        <v>0</v>
      </c>
      <c r="AJ239" s="96">
        <f>IFERROR(__xludf.DUMMYFUNCTION("""COMPUTED_VALUE"""),0.0)</f>
        <v>0</v>
      </c>
      <c r="AK239" s="96">
        <f>IFERROR(__xludf.DUMMYFUNCTION("""COMPUTED_VALUE"""),0.0)</f>
        <v>0</v>
      </c>
      <c r="AL239" s="129">
        <f>IFERROR(__xludf.DUMMYFUNCTION("""COMPUTED_VALUE"""),0.0)</f>
        <v>0</v>
      </c>
      <c r="AM239" s="99"/>
    </row>
    <row r="240">
      <c r="V240" s="96">
        <f>IFERROR(__xludf.DUMMYFUNCTION("""COMPUTED_VALUE"""),5.0)</f>
        <v>5</v>
      </c>
      <c r="W240" s="98">
        <f>IFERROR(__xludf.DUMMYFUNCTION("""COMPUTED_VALUE"""),44060.0)</f>
        <v>44060</v>
      </c>
      <c r="X240" s="96" t="str">
        <f>IFERROR(__xludf.DUMMYFUNCTION("""COMPUTED_VALUE"""),"KARIEN EBAN")</f>
        <v>KARIEN EBAN</v>
      </c>
      <c r="Y240" s="96" t="str">
        <f>IFERROR(__xludf.DUMMYFUNCTION("""COMPUTED_VALUE"""),"KARIEN EBAN5")</f>
        <v>KARIEN EBAN5</v>
      </c>
      <c r="Z240" s="96"/>
      <c r="AA240" s="96"/>
      <c r="AB240" s="96"/>
      <c r="AC240" s="96"/>
      <c r="AD240" s="96"/>
      <c r="AE240" s="96"/>
      <c r="AF240" s="96">
        <f>IFERROR(__xludf.DUMMYFUNCTION("""COMPUTED_VALUE"""),2000000.0)</f>
        <v>2000000</v>
      </c>
      <c r="AG240" s="99">
        <f>IFERROR(__xludf.DUMMYFUNCTION("""COMPUTED_VALUE"""),2000000.0)</f>
        <v>2000000</v>
      </c>
      <c r="AH240" s="96"/>
      <c r="AI240" s="96">
        <f>IFERROR(__xludf.DUMMYFUNCTION("""COMPUTED_VALUE"""),0.0)</f>
        <v>0</v>
      </c>
      <c r="AJ240" s="96">
        <f>IFERROR(__xludf.DUMMYFUNCTION("""COMPUTED_VALUE"""),0.0)</f>
        <v>0</v>
      </c>
      <c r="AK240" s="96">
        <f>IFERROR(__xludf.DUMMYFUNCTION("""COMPUTED_VALUE"""),0.0)</f>
        <v>0</v>
      </c>
      <c r="AL240" s="129">
        <f>IFERROR(__xludf.DUMMYFUNCTION("""COMPUTED_VALUE"""),0.0)</f>
        <v>0</v>
      </c>
      <c r="AM240" s="99"/>
    </row>
    <row r="241">
      <c r="V241" s="96">
        <f>IFERROR(__xludf.DUMMYFUNCTION("""COMPUTED_VALUE"""),3.0)</f>
        <v>3</v>
      </c>
      <c r="W241" s="98">
        <f>IFERROR(__xludf.DUMMYFUNCTION("""COMPUTED_VALUE"""),44060.0)</f>
        <v>44060</v>
      </c>
      <c r="X241" s="96" t="str">
        <f>IFERROR(__xludf.DUMMYFUNCTION("""COMPUTED_VALUE"""),"MATIAT LOVE")</f>
        <v>MATIAT LOVE</v>
      </c>
      <c r="Y241" s="96" t="str">
        <f>IFERROR(__xludf.DUMMYFUNCTION("""COMPUTED_VALUE"""),"MATIAT LOVE3")</f>
        <v>MATIAT LOVE3</v>
      </c>
      <c r="Z241" s="96"/>
      <c r="AA241" s="96"/>
      <c r="AB241" s="96"/>
      <c r="AC241" s="96"/>
      <c r="AD241" s="96"/>
      <c r="AE241" s="96"/>
      <c r="AF241" s="96">
        <f>IFERROR(__xludf.DUMMYFUNCTION("""COMPUTED_VALUE"""),5000.0)</f>
        <v>5000</v>
      </c>
      <c r="AG241" s="99">
        <f>IFERROR(__xludf.DUMMYFUNCTION("""COMPUTED_VALUE"""),5000.0)</f>
        <v>5000</v>
      </c>
      <c r="AH241" s="96"/>
      <c r="AI241" s="96">
        <f>IFERROR(__xludf.DUMMYFUNCTION("""COMPUTED_VALUE"""),0.0)</f>
        <v>0</v>
      </c>
      <c r="AJ241" s="96">
        <f>IFERROR(__xludf.DUMMYFUNCTION("""COMPUTED_VALUE"""),0.0)</f>
        <v>0</v>
      </c>
      <c r="AK241" s="96">
        <f>IFERROR(__xludf.DUMMYFUNCTION("""COMPUTED_VALUE"""),0.0)</f>
        <v>0</v>
      </c>
      <c r="AL241" s="129">
        <f>IFERROR(__xludf.DUMMYFUNCTION("""COMPUTED_VALUE"""),0.0)</f>
        <v>0</v>
      </c>
      <c r="AM241" s="99"/>
    </row>
    <row r="242">
      <c r="V242" s="96">
        <f>IFERROR(__xludf.DUMMYFUNCTION("""COMPUTED_VALUE"""),4.0)</f>
        <v>4</v>
      </c>
      <c r="W242" s="98">
        <f>IFERROR(__xludf.DUMMYFUNCTION("""COMPUTED_VALUE"""),44061.0)</f>
        <v>44061</v>
      </c>
      <c r="X242" s="96" t="str">
        <f>IFERROR(__xludf.DUMMYFUNCTION("""COMPUTED_VALUE"""),"MATIAT LOVE")</f>
        <v>MATIAT LOVE</v>
      </c>
      <c r="Y242" s="96" t="str">
        <f>IFERROR(__xludf.DUMMYFUNCTION("""COMPUTED_VALUE"""),"MATIAT LOVE4")</f>
        <v>MATIAT LOVE4</v>
      </c>
      <c r="Z242" s="96"/>
      <c r="AA242" s="96"/>
      <c r="AB242" s="96"/>
      <c r="AC242" s="96"/>
      <c r="AD242" s="96"/>
      <c r="AE242" s="96"/>
      <c r="AF242" s="96">
        <f>IFERROR(__xludf.DUMMYFUNCTION("""COMPUTED_VALUE"""),90500.0)</f>
        <v>90500</v>
      </c>
      <c r="AG242" s="99">
        <f>IFERROR(__xludf.DUMMYFUNCTION("""COMPUTED_VALUE"""),90500.0)</f>
        <v>90500</v>
      </c>
      <c r="AH242" s="96"/>
      <c r="AI242" s="96">
        <f>IFERROR(__xludf.DUMMYFUNCTION("""COMPUTED_VALUE"""),0.0)</f>
        <v>0</v>
      </c>
      <c r="AJ242" s="96">
        <f>IFERROR(__xludf.DUMMYFUNCTION("""COMPUTED_VALUE"""),0.0)</f>
        <v>0</v>
      </c>
      <c r="AK242" s="96">
        <f>IFERROR(__xludf.DUMMYFUNCTION("""COMPUTED_VALUE"""),0.0)</f>
        <v>0</v>
      </c>
      <c r="AL242" s="129">
        <f>IFERROR(__xludf.DUMMYFUNCTION("""COMPUTED_VALUE"""),0.0)</f>
        <v>0</v>
      </c>
      <c r="AM242" s="99"/>
    </row>
    <row r="243">
      <c r="V243" s="96">
        <f>IFERROR(__xludf.DUMMYFUNCTION("""COMPUTED_VALUE"""),3.0)</f>
        <v>3</v>
      </c>
      <c r="W243" s="98">
        <f>IFERROR(__xludf.DUMMYFUNCTION("""COMPUTED_VALUE"""),44060.0)</f>
        <v>44060</v>
      </c>
      <c r="X243" s="96" t="str">
        <f>IFERROR(__xludf.DUMMYFUNCTION("""COMPUTED_VALUE"""),"AUGUSTINE IGBA")</f>
        <v>AUGUSTINE IGBA</v>
      </c>
      <c r="Y243" s="96" t="str">
        <f>IFERROR(__xludf.DUMMYFUNCTION("""COMPUTED_VALUE"""),"AUGUSTINE IGBA3")</f>
        <v>AUGUSTINE IGBA3</v>
      </c>
      <c r="Z243" s="96">
        <f>IFERROR(__xludf.DUMMYFUNCTION("""COMPUTED_VALUE"""),1396.0)</f>
        <v>1396</v>
      </c>
      <c r="AA243" s="96">
        <f>IFERROR(__xludf.DUMMYFUNCTION("""COMPUTED_VALUE"""),194.5)</f>
        <v>194.5</v>
      </c>
      <c r="AB243" s="96"/>
      <c r="AC243" s="96">
        <f>IFERROR(__xludf.DUMMYFUNCTION("""COMPUTED_VALUE"""),20.0)</f>
        <v>20</v>
      </c>
      <c r="AD243" s="96">
        <f>IFERROR(__xludf.DUMMYFUNCTION("""COMPUTED_VALUE"""),4.0)</f>
        <v>4</v>
      </c>
      <c r="AE243" s="96">
        <f>IFERROR(__xludf.DUMMYFUNCTION("""COMPUTED_VALUE"""),830.0)</f>
        <v>830</v>
      </c>
      <c r="AF243" s="96"/>
      <c r="AG243" s="99">
        <f>IFERROR(__xludf.DUMMYFUNCTION("""COMPUTED_VALUE"""),-1125480.0)</f>
        <v>-1125480</v>
      </c>
      <c r="AH243" s="96">
        <f>IFERROR(__xludf.DUMMYFUNCTION("""COMPUTED_VALUE"""),9.73)</f>
        <v>9.73</v>
      </c>
      <c r="AI243" s="96">
        <f>IFERROR(__xludf.DUMMYFUNCTION("""COMPUTED_VALUE"""),24.0)</f>
        <v>24</v>
      </c>
      <c r="AJ243" s="96">
        <f>IFERROR(__xludf.DUMMYFUNCTION("""COMPUTED_VALUE"""),21.0)</f>
        <v>21</v>
      </c>
      <c r="AK243" s="96">
        <f>IFERROR(__xludf.DUMMYFUNCTION("""COMPUTED_VALUE"""),33.0)</f>
        <v>33</v>
      </c>
      <c r="AL243" s="129">
        <f>IFERROR(__xludf.DUMMYFUNCTION("""COMPUTED_VALUE"""),1356.0)</f>
        <v>1356</v>
      </c>
      <c r="AM243" s="99">
        <f>IFERROR(__xludf.DUMMYFUNCTION("""COMPUTED_VALUE"""),1125480.0)</f>
        <v>1125480</v>
      </c>
    </row>
    <row r="244">
      <c r="V244" s="96">
        <f>IFERROR(__xludf.DUMMYFUNCTION("""COMPUTED_VALUE"""),8.0)</f>
        <v>8</v>
      </c>
      <c r="W244" s="98">
        <f>IFERROR(__xludf.DUMMYFUNCTION("""COMPUTED_VALUE"""),44060.0)</f>
        <v>44060</v>
      </c>
      <c r="X244" s="96" t="str">
        <f>IFERROR(__xludf.DUMMYFUNCTION("""COMPUTED_VALUE"""),"EDWARD OKO")</f>
        <v>EDWARD OKO</v>
      </c>
      <c r="Y244" s="96" t="str">
        <f>IFERROR(__xludf.DUMMYFUNCTION("""COMPUTED_VALUE"""),"EDWARD OKO8")</f>
        <v>EDWARD OKO8</v>
      </c>
      <c r="Z244" s="96">
        <f>IFERROR(__xludf.DUMMYFUNCTION("""COMPUTED_VALUE"""),390.0)</f>
        <v>390</v>
      </c>
      <c r="AA244" s="96">
        <f>IFERROR(__xludf.DUMMYFUNCTION("""COMPUTED_VALUE"""),57.5)</f>
        <v>57.5</v>
      </c>
      <c r="AB244" s="96"/>
      <c r="AC244" s="96">
        <f>IFERROR(__xludf.DUMMYFUNCTION("""COMPUTED_VALUE"""),6.0)</f>
        <v>6</v>
      </c>
      <c r="AD244" s="96"/>
      <c r="AE244" s="96">
        <f>IFERROR(__xludf.DUMMYFUNCTION("""COMPUTED_VALUE"""),830.0)</f>
        <v>830</v>
      </c>
      <c r="AF244" s="96"/>
      <c r="AG244" s="99">
        <f>IFERROR(__xludf.DUMMYFUNCTION("""COMPUTED_VALUE"""),-313740.0)</f>
        <v>-313740</v>
      </c>
      <c r="AH244" s="96">
        <f>IFERROR(__xludf.DUMMYFUNCTION("""COMPUTED_VALUE"""),9.58)</f>
        <v>9.58</v>
      </c>
      <c r="AI244" s="96">
        <f>IFERROR(__xludf.DUMMYFUNCTION("""COMPUTED_VALUE"""),6.0)</f>
        <v>6</v>
      </c>
      <c r="AJ244" s="96">
        <f>IFERROR(__xludf.DUMMYFUNCTION("""COMPUTED_VALUE"""),6.0)</f>
        <v>6</v>
      </c>
      <c r="AK244" s="96">
        <f>IFERROR(__xludf.DUMMYFUNCTION("""COMPUTED_VALUE"""),0.0)</f>
        <v>0</v>
      </c>
      <c r="AL244" s="129">
        <f>IFERROR(__xludf.DUMMYFUNCTION("""COMPUTED_VALUE"""),378.0)</f>
        <v>378</v>
      </c>
      <c r="AM244" s="99">
        <f>IFERROR(__xludf.DUMMYFUNCTION("""COMPUTED_VALUE"""),313740.0)</f>
        <v>313740</v>
      </c>
    </row>
    <row r="245">
      <c r="V245" s="96">
        <f>IFERROR(__xludf.DUMMYFUNCTION("""COMPUTED_VALUE"""),6.0)</f>
        <v>6</v>
      </c>
      <c r="W245" s="98">
        <f>IFERROR(__xludf.DUMMYFUNCTION("""COMPUTED_VALUE"""),44063.0)</f>
        <v>44063</v>
      </c>
      <c r="X245" s="96" t="str">
        <f>IFERROR(__xludf.DUMMYFUNCTION("""COMPUTED_VALUE"""),"ALFRED ALABI")</f>
        <v>ALFRED ALABI</v>
      </c>
      <c r="Y245" s="96" t="str">
        <f>IFERROR(__xludf.DUMMYFUNCTION("""COMPUTED_VALUE"""),"ALFRED ALABI6")</f>
        <v>ALFRED ALABI6</v>
      </c>
      <c r="Z245" s="96">
        <f>IFERROR(__xludf.DUMMYFUNCTION("""COMPUTED_VALUE"""),1764.0)</f>
        <v>1764</v>
      </c>
      <c r="AA245" s="96">
        <f>IFERROR(__xludf.DUMMYFUNCTION("""COMPUTED_VALUE"""),256.0)</f>
        <v>256</v>
      </c>
      <c r="AB245" s="96"/>
      <c r="AC245" s="96">
        <f>IFERROR(__xludf.DUMMYFUNCTION("""COMPUTED_VALUE"""),26.0)</f>
        <v>26</v>
      </c>
      <c r="AD245" s="96"/>
      <c r="AE245" s="96">
        <f>IFERROR(__xludf.DUMMYFUNCTION("""COMPUTED_VALUE"""),537.65)</f>
        <v>537.65</v>
      </c>
      <c r="AF245" s="96"/>
      <c r="AG245" s="99">
        <f>IFERROR(__xludf.DUMMYFUNCTION("""COMPUTED_VALUE"""),-917230.0)</f>
        <v>-917230</v>
      </c>
      <c r="AH245" s="96">
        <f>IFERROR(__xludf.DUMMYFUNCTION("""COMPUTED_VALUE"""),9.85)</f>
        <v>9.85</v>
      </c>
      <c r="AI245" s="96">
        <f>IFERROR(__xludf.DUMMYFUNCTION("""COMPUTED_VALUE"""),32.0)</f>
        <v>32</v>
      </c>
      <c r="AJ245" s="96">
        <f>IFERROR(__xludf.DUMMYFUNCTION("""COMPUTED_VALUE"""),27.0)</f>
        <v>27</v>
      </c>
      <c r="AK245" s="96">
        <f>IFERROR(__xludf.DUMMYFUNCTION("""COMPUTED_VALUE"""),4.0)</f>
        <v>4</v>
      </c>
      <c r="AL245" s="129">
        <f>IFERROR(__xludf.DUMMYFUNCTION("""COMPUTED_VALUE"""),1706.0)</f>
        <v>1706</v>
      </c>
      <c r="AM245" s="99">
        <f>IFERROR(__xludf.DUMMYFUNCTION("""COMPUTED_VALUE"""),917230.0)</f>
        <v>917230</v>
      </c>
    </row>
    <row r="246">
      <c r="V246" s="96">
        <f>IFERROR(__xludf.DUMMYFUNCTION("""COMPUTED_VALUE"""),7.0)</f>
        <v>7</v>
      </c>
      <c r="W246" s="98">
        <f>IFERROR(__xludf.DUMMYFUNCTION("""COMPUTED_VALUE"""),44063.0)</f>
        <v>44063</v>
      </c>
      <c r="X246" s="96" t="str">
        <f>IFERROR(__xludf.DUMMYFUNCTION("""COMPUTED_VALUE"""),"ALFRED ALABI")</f>
        <v>ALFRED ALABI</v>
      </c>
      <c r="Y246" s="96" t="str">
        <f>IFERROR(__xludf.DUMMYFUNCTION("""COMPUTED_VALUE"""),"ALFRED ALABI7")</f>
        <v>ALFRED ALABI7</v>
      </c>
      <c r="Z246" s="96"/>
      <c r="AA246" s="96"/>
      <c r="AB246" s="96"/>
      <c r="AC246" s="96"/>
      <c r="AD246" s="96"/>
      <c r="AE246" s="96"/>
      <c r="AF246" s="96">
        <f>IFERROR(__xludf.DUMMYFUNCTION("""COMPUTED_VALUE"""),600000.0)</f>
        <v>600000</v>
      </c>
      <c r="AG246" s="99">
        <f>IFERROR(__xludf.DUMMYFUNCTION("""COMPUTED_VALUE"""),600000.0)</f>
        <v>600000</v>
      </c>
      <c r="AH246" s="96"/>
      <c r="AI246" s="96">
        <f>IFERROR(__xludf.DUMMYFUNCTION("""COMPUTED_VALUE"""),0.0)</f>
        <v>0</v>
      </c>
      <c r="AJ246" s="96">
        <f>IFERROR(__xludf.DUMMYFUNCTION("""COMPUTED_VALUE"""),0.0)</f>
        <v>0</v>
      </c>
      <c r="AK246" s="96">
        <f>IFERROR(__xludf.DUMMYFUNCTION("""COMPUTED_VALUE"""),0.0)</f>
        <v>0</v>
      </c>
      <c r="AL246" s="129">
        <f>IFERROR(__xludf.DUMMYFUNCTION("""COMPUTED_VALUE"""),0.0)</f>
        <v>0</v>
      </c>
      <c r="AM246" s="99"/>
    </row>
    <row r="247">
      <c r="V247" s="96">
        <f>IFERROR(__xludf.DUMMYFUNCTION("""COMPUTED_VALUE"""),4.0)</f>
        <v>4</v>
      </c>
      <c r="W247" s="98">
        <f>IFERROR(__xludf.DUMMYFUNCTION("""COMPUTED_VALUE"""),44063.0)</f>
        <v>44063</v>
      </c>
      <c r="X247" s="96" t="str">
        <f>IFERROR(__xludf.DUMMYFUNCTION("""COMPUTED_VALUE"""),"AUGUSTINE IGBA")</f>
        <v>AUGUSTINE IGBA</v>
      </c>
      <c r="Y247" s="96" t="str">
        <f>IFERROR(__xludf.DUMMYFUNCTION("""COMPUTED_VALUE"""),"AUGUSTINE IGBA4")</f>
        <v>AUGUSTINE IGBA4</v>
      </c>
      <c r="Z247" s="96"/>
      <c r="AA247" s="96"/>
      <c r="AB247" s="96"/>
      <c r="AC247" s="96"/>
      <c r="AD247" s="96"/>
      <c r="AE247" s="96"/>
      <c r="AF247" s="96">
        <f>IFERROR(__xludf.DUMMYFUNCTION("""COMPUTED_VALUE"""),2000000.0)</f>
        <v>2000000</v>
      </c>
      <c r="AG247" s="99">
        <f>IFERROR(__xludf.DUMMYFUNCTION("""COMPUTED_VALUE"""),2000000.0)</f>
        <v>2000000</v>
      </c>
      <c r="AH247" s="96"/>
      <c r="AI247" s="96">
        <f>IFERROR(__xludf.DUMMYFUNCTION("""COMPUTED_VALUE"""),0.0)</f>
        <v>0</v>
      </c>
      <c r="AJ247" s="96">
        <f>IFERROR(__xludf.DUMMYFUNCTION("""COMPUTED_VALUE"""),0.0)</f>
        <v>0</v>
      </c>
      <c r="AK247" s="96">
        <f>IFERROR(__xludf.DUMMYFUNCTION("""COMPUTED_VALUE"""),0.0)</f>
        <v>0</v>
      </c>
      <c r="AL247" s="129">
        <f>IFERROR(__xludf.DUMMYFUNCTION("""COMPUTED_VALUE"""),0.0)</f>
        <v>0</v>
      </c>
      <c r="AM247" s="99"/>
    </row>
    <row r="248">
      <c r="V248" s="96">
        <f>IFERROR(__xludf.DUMMYFUNCTION("""COMPUTED_VALUE"""),8.0)</f>
        <v>8</v>
      </c>
      <c r="W248" s="98">
        <f>IFERROR(__xludf.DUMMYFUNCTION("""COMPUTED_VALUE"""),44063.0)</f>
        <v>44063</v>
      </c>
      <c r="X248" s="96" t="str">
        <f>IFERROR(__xludf.DUMMYFUNCTION("""COMPUTED_VALUE"""),"ALFRED ALABI")</f>
        <v>ALFRED ALABI</v>
      </c>
      <c r="Y248" s="96" t="str">
        <f>IFERROR(__xludf.DUMMYFUNCTION("""COMPUTED_VALUE"""),"ALFRED ALABI8")</f>
        <v>ALFRED ALABI8</v>
      </c>
      <c r="Z248" s="96"/>
      <c r="AA248" s="96"/>
      <c r="AB248" s="96"/>
      <c r="AC248" s="96"/>
      <c r="AD248" s="96"/>
      <c r="AE248" s="96"/>
      <c r="AF248" s="96">
        <f>IFERROR(__xludf.DUMMYFUNCTION("""COMPUTED_VALUE"""),700000.0)</f>
        <v>700000</v>
      </c>
      <c r="AG248" s="99">
        <f>IFERROR(__xludf.DUMMYFUNCTION("""COMPUTED_VALUE"""),700000.0)</f>
        <v>700000</v>
      </c>
      <c r="AH248" s="96"/>
      <c r="AI248" s="96">
        <f>IFERROR(__xludf.DUMMYFUNCTION("""COMPUTED_VALUE"""),0.0)</f>
        <v>0</v>
      </c>
      <c r="AJ248" s="96">
        <f>IFERROR(__xludf.DUMMYFUNCTION("""COMPUTED_VALUE"""),0.0)</f>
        <v>0</v>
      </c>
      <c r="AK248" s="96">
        <f>IFERROR(__xludf.DUMMYFUNCTION("""COMPUTED_VALUE"""),0.0)</f>
        <v>0</v>
      </c>
      <c r="AL248" s="129">
        <f>IFERROR(__xludf.DUMMYFUNCTION("""COMPUTED_VALUE"""),0.0)</f>
        <v>0</v>
      </c>
      <c r="AM248" s="99"/>
    </row>
    <row r="249">
      <c r="V249" s="96">
        <f>IFERROR(__xludf.DUMMYFUNCTION("""COMPUTED_VALUE"""),9.0)</f>
        <v>9</v>
      </c>
      <c r="W249" s="98">
        <f>IFERROR(__xludf.DUMMYFUNCTION("""COMPUTED_VALUE"""),44063.0)</f>
        <v>44063</v>
      </c>
      <c r="X249" s="96" t="str">
        <f>IFERROR(__xludf.DUMMYFUNCTION("""COMPUTED_VALUE"""),"ALFRED ALABI")</f>
        <v>ALFRED ALABI</v>
      </c>
      <c r="Y249" s="96" t="str">
        <f>IFERROR(__xludf.DUMMYFUNCTION("""COMPUTED_VALUE"""),"ALFRED ALABI9")</f>
        <v>ALFRED ALABI9</v>
      </c>
      <c r="Z249" s="96"/>
      <c r="AA249" s="96"/>
      <c r="AB249" s="96"/>
      <c r="AC249" s="96"/>
      <c r="AD249" s="96"/>
      <c r="AE249" s="96"/>
      <c r="AF249" s="96">
        <f>IFERROR(__xludf.DUMMYFUNCTION("""COMPUTED_VALUE"""),400000.0)</f>
        <v>400000</v>
      </c>
      <c r="AG249" s="99">
        <f>IFERROR(__xludf.DUMMYFUNCTION("""COMPUTED_VALUE"""),400000.0)</f>
        <v>400000</v>
      </c>
      <c r="AH249" s="96"/>
      <c r="AI249" s="96">
        <f>IFERROR(__xludf.DUMMYFUNCTION("""COMPUTED_VALUE"""),0.0)</f>
        <v>0</v>
      </c>
      <c r="AJ249" s="96">
        <f>IFERROR(__xludf.DUMMYFUNCTION("""COMPUTED_VALUE"""),0.0)</f>
        <v>0</v>
      </c>
      <c r="AK249" s="96">
        <f>IFERROR(__xludf.DUMMYFUNCTION("""COMPUTED_VALUE"""),0.0)</f>
        <v>0</v>
      </c>
      <c r="AL249" s="129">
        <f>IFERROR(__xludf.DUMMYFUNCTION("""COMPUTED_VALUE"""),0.0)</f>
        <v>0</v>
      </c>
      <c r="AM249" s="99"/>
    </row>
    <row r="250">
      <c r="V250" s="96">
        <f>IFERROR(__xludf.DUMMYFUNCTION("""COMPUTED_VALUE"""),6.0)</f>
        <v>6</v>
      </c>
      <c r="W250" s="98">
        <f>IFERROR(__xludf.DUMMYFUNCTION("""COMPUTED_VALUE"""),44040.0)</f>
        <v>44040</v>
      </c>
      <c r="X250" s="96" t="str">
        <f>IFERROR(__xludf.DUMMYFUNCTION("""COMPUTED_VALUE"""),"KARIEN EBAN")</f>
        <v>KARIEN EBAN</v>
      </c>
      <c r="Y250" s="96" t="str">
        <f>IFERROR(__xludf.DUMMYFUNCTION("""COMPUTED_VALUE"""),"KARIEN EBAN6")</f>
        <v>KARIEN EBAN6</v>
      </c>
      <c r="Z250" s="96"/>
      <c r="AA250" s="96"/>
      <c r="AB250" s="96"/>
      <c r="AC250" s="96"/>
      <c r="AD250" s="96"/>
      <c r="AE250" s="96"/>
      <c r="AF250" s="96"/>
      <c r="AG250" s="99">
        <f>IFERROR(__xludf.DUMMYFUNCTION("""COMPUTED_VALUE"""),-500000.0)</f>
        <v>-500000</v>
      </c>
      <c r="AH250" s="96"/>
      <c r="AI250" s="96">
        <f>IFERROR(__xludf.DUMMYFUNCTION("""COMPUTED_VALUE"""),0.0)</f>
        <v>0</v>
      </c>
      <c r="AJ250" s="96">
        <f>IFERROR(__xludf.DUMMYFUNCTION("""COMPUTED_VALUE"""),0.0)</f>
        <v>0</v>
      </c>
      <c r="AK250" s="96">
        <f>IFERROR(__xludf.DUMMYFUNCTION("""COMPUTED_VALUE"""),0.0)</f>
        <v>0</v>
      </c>
      <c r="AL250" s="129">
        <f>IFERROR(__xludf.DUMMYFUNCTION("""COMPUTED_VALUE"""),0.0)</f>
        <v>0</v>
      </c>
      <c r="AM250" s="99">
        <f>IFERROR(__xludf.DUMMYFUNCTION("""COMPUTED_VALUE"""),500000.0)</f>
        <v>500000</v>
      </c>
    </row>
    <row r="251">
      <c r="V251" s="96">
        <f>IFERROR(__xludf.DUMMYFUNCTION("""COMPUTED_VALUE"""),7.0)</f>
        <v>7</v>
      </c>
      <c r="W251" s="98">
        <f>IFERROR(__xludf.DUMMYFUNCTION("""COMPUTED_VALUE"""),44064.0)</f>
        <v>44064</v>
      </c>
      <c r="X251" s="96" t="str">
        <f>IFERROR(__xludf.DUMMYFUNCTION("""COMPUTED_VALUE"""),"KARIEN EBAN")</f>
        <v>KARIEN EBAN</v>
      </c>
      <c r="Y251" s="96" t="str">
        <f>IFERROR(__xludf.DUMMYFUNCTION("""COMPUTED_VALUE"""),"KARIEN EBAN7")</f>
        <v>KARIEN EBAN7</v>
      </c>
      <c r="Z251" s="96"/>
      <c r="AA251" s="96"/>
      <c r="AB251" s="96"/>
      <c r="AC251" s="96"/>
      <c r="AD251" s="96"/>
      <c r="AE251" s="96"/>
      <c r="AF251" s="96">
        <f>IFERROR(__xludf.DUMMYFUNCTION("""COMPUTED_VALUE"""),722000.0)</f>
        <v>722000</v>
      </c>
      <c r="AG251" s="99">
        <f>IFERROR(__xludf.DUMMYFUNCTION("""COMPUTED_VALUE"""),722000.0)</f>
        <v>722000</v>
      </c>
      <c r="AH251" s="96"/>
      <c r="AI251" s="96">
        <f>IFERROR(__xludf.DUMMYFUNCTION("""COMPUTED_VALUE"""),0.0)</f>
        <v>0</v>
      </c>
      <c r="AJ251" s="96">
        <f>IFERROR(__xludf.DUMMYFUNCTION("""COMPUTED_VALUE"""),0.0)</f>
        <v>0</v>
      </c>
      <c r="AK251" s="96">
        <f>IFERROR(__xludf.DUMMYFUNCTION("""COMPUTED_VALUE"""),0.0)</f>
        <v>0</v>
      </c>
      <c r="AL251" s="129">
        <f>IFERROR(__xludf.DUMMYFUNCTION("""COMPUTED_VALUE"""),0.0)</f>
        <v>0</v>
      </c>
      <c r="AM251" s="99"/>
    </row>
    <row r="252">
      <c r="V252" s="96">
        <f>IFERROR(__xludf.DUMMYFUNCTION("""COMPUTED_VALUE"""),18.0)</f>
        <v>18</v>
      </c>
      <c r="W252" s="98">
        <f>IFERROR(__xludf.DUMMYFUNCTION("""COMPUTED_VALUE"""),44065.0)</f>
        <v>44065</v>
      </c>
      <c r="X252" s="96" t="str">
        <f>IFERROR(__xludf.DUMMYFUNCTION("""COMPUTED_VALUE"""),"RECTOR W.")</f>
        <v>RECTOR W.</v>
      </c>
      <c r="Y252" s="96" t="str">
        <f>IFERROR(__xludf.DUMMYFUNCTION("""COMPUTED_VALUE"""),"RECTOR W.18")</f>
        <v>RECTOR W.18</v>
      </c>
      <c r="Z252" s="96"/>
      <c r="AA252" s="96"/>
      <c r="AB252" s="96"/>
      <c r="AC252" s="96"/>
      <c r="AD252" s="96"/>
      <c r="AE252" s="96"/>
      <c r="AF252" s="96">
        <f>IFERROR(__xludf.DUMMYFUNCTION("""COMPUTED_VALUE"""),140000.0)</f>
        <v>140000</v>
      </c>
      <c r="AG252" s="99">
        <f>IFERROR(__xludf.DUMMYFUNCTION("""COMPUTED_VALUE"""),140000.0)</f>
        <v>140000</v>
      </c>
      <c r="AH252" s="96"/>
      <c r="AI252" s="96">
        <f>IFERROR(__xludf.DUMMYFUNCTION("""COMPUTED_VALUE"""),0.0)</f>
        <v>0</v>
      </c>
      <c r="AJ252" s="96">
        <f>IFERROR(__xludf.DUMMYFUNCTION("""COMPUTED_VALUE"""),0.0)</f>
        <v>0</v>
      </c>
      <c r="AK252" s="96">
        <f>IFERROR(__xludf.DUMMYFUNCTION("""COMPUTED_VALUE"""),0.0)</f>
        <v>0</v>
      </c>
      <c r="AL252" s="129">
        <f>IFERROR(__xludf.DUMMYFUNCTION("""COMPUTED_VALUE"""),0.0)</f>
        <v>0</v>
      </c>
      <c r="AM252" s="99"/>
    </row>
    <row r="253">
      <c r="V253" s="96">
        <f>IFERROR(__xludf.DUMMYFUNCTION("""COMPUTED_VALUE"""),15.0)</f>
        <v>15</v>
      </c>
      <c r="W253" s="98">
        <f>IFERROR(__xludf.DUMMYFUNCTION("""COMPUTED_VALUE"""),44067.0)</f>
        <v>44067</v>
      </c>
      <c r="X253" s="96" t="str">
        <f>IFERROR(__xludf.DUMMYFUNCTION("""COMPUTED_VALUE"""),"LYDIA HNSON ")</f>
        <v>LYDIA HNSON </v>
      </c>
      <c r="Y253" s="96" t="str">
        <f>IFERROR(__xludf.DUMMYFUNCTION("""COMPUTED_VALUE"""),"LYDIA HNSON 15")</f>
        <v>LYDIA HNSON 15</v>
      </c>
      <c r="Z253" s="96"/>
      <c r="AA253" s="96"/>
      <c r="AB253" s="96"/>
      <c r="AC253" s="96"/>
      <c r="AD253" s="96"/>
      <c r="AE253" s="96"/>
      <c r="AF253" s="96">
        <f>IFERROR(__xludf.DUMMYFUNCTION("""COMPUTED_VALUE"""),100000.0)</f>
        <v>100000</v>
      </c>
      <c r="AG253" s="99">
        <f>IFERROR(__xludf.DUMMYFUNCTION("""COMPUTED_VALUE"""),100000.0)</f>
        <v>100000</v>
      </c>
      <c r="AH253" s="96"/>
      <c r="AI253" s="96">
        <f>IFERROR(__xludf.DUMMYFUNCTION("""COMPUTED_VALUE"""),0.0)</f>
        <v>0</v>
      </c>
      <c r="AJ253" s="96">
        <f>IFERROR(__xludf.DUMMYFUNCTION("""COMPUTED_VALUE"""),0.0)</f>
        <v>0</v>
      </c>
      <c r="AK253" s="96">
        <f>IFERROR(__xludf.DUMMYFUNCTION("""COMPUTED_VALUE"""),0.0)</f>
        <v>0</v>
      </c>
      <c r="AL253" s="129">
        <f>IFERROR(__xludf.DUMMYFUNCTION("""COMPUTED_VALUE"""),0.0)</f>
        <v>0</v>
      </c>
      <c r="AM253" s="99"/>
    </row>
    <row r="254">
      <c r="V254" s="96">
        <f>IFERROR(__xludf.DUMMYFUNCTION("""COMPUTED_VALUE"""),7.0)</f>
        <v>7</v>
      </c>
      <c r="W254" s="98">
        <f>IFERROR(__xludf.DUMMYFUNCTION("""COMPUTED_VALUE"""),44067.0)</f>
        <v>44067</v>
      </c>
      <c r="X254" s="96" t="str">
        <f>IFERROR(__xludf.DUMMYFUNCTION("""COMPUTED_VALUE"""),"BOSURU  BOSURU")</f>
        <v>BOSURU  BOSURU</v>
      </c>
      <c r="Y254" s="96" t="str">
        <f>IFERROR(__xludf.DUMMYFUNCTION("""COMPUTED_VALUE"""),"BOSURU  BOSURU7")</f>
        <v>BOSURU  BOSURU7</v>
      </c>
      <c r="Z254" s="96"/>
      <c r="AA254" s="96"/>
      <c r="AB254" s="96"/>
      <c r="AC254" s="96"/>
      <c r="AD254" s="96"/>
      <c r="AE254" s="96"/>
      <c r="AF254" s="96">
        <f>IFERROR(__xludf.DUMMYFUNCTION("""COMPUTED_VALUE"""),100000.0)</f>
        <v>100000</v>
      </c>
      <c r="AG254" s="99">
        <f>IFERROR(__xludf.DUMMYFUNCTION("""COMPUTED_VALUE"""),100000.0)</f>
        <v>100000</v>
      </c>
      <c r="AH254" s="96"/>
      <c r="AI254" s="96">
        <f>IFERROR(__xludf.DUMMYFUNCTION("""COMPUTED_VALUE"""),0.0)</f>
        <v>0</v>
      </c>
      <c r="AJ254" s="96">
        <f>IFERROR(__xludf.DUMMYFUNCTION("""COMPUTED_VALUE"""),0.0)</f>
        <v>0</v>
      </c>
      <c r="AK254" s="96">
        <f>IFERROR(__xludf.DUMMYFUNCTION("""COMPUTED_VALUE"""),0.0)</f>
        <v>0</v>
      </c>
      <c r="AL254" s="129">
        <f>IFERROR(__xludf.DUMMYFUNCTION("""COMPUTED_VALUE"""),0.0)</f>
        <v>0</v>
      </c>
      <c r="AM254" s="99"/>
    </row>
    <row r="255">
      <c r="V255" s="96">
        <f>IFERROR(__xludf.DUMMYFUNCTION("""COMPUTED_VALUE"""),2.0)</f>
        <v>2</v>
      </c>
      <c r="W255" s="98">
        <f>IFERROR(__xludf.DUMMYFUNCTION("""COMPUTED_VALUE"""),44067.0)</f>
        <v>44067</v>
      </c>
      <c r="X255" s="96" t="str">
        <f>IFERROR(__xludf.DUMMYFUNCTION("""COMPUTED_VALUE"""),"R.  MAXWELL AGRO")</f>
        <v>R.  MAXWELL AGRO</v>
      </c>
      <c r="Y255" s="96" t="str">
        <f>IFERROR(__xludf.DUMMYFUNCTION("""COMPUTED_VALUE"""),"R.  MAXWELL AGRO2")</f>
        <v>R.  MAXWELL AGRO2</v>
      </c>
      <c r="Z255" s="96"/>
      <c r="AA255" s="96"/>
      <c r="AB255" s="96"/>
      <c r="AC255" s="96"/>
      <c r="AD255" s="96"/>
      <c r="AE255" s="96"/>
      <c r="AF255" s="96">
        <f>IFERROR(__xludf.DUMMYFUNCTION("""COMPUTED_VALUE"""),50000.0)</f>
        <v>50000</v>
      </c>
      <c r="AG255" s="99">
        <f>IFERROR(__xludf.DUMMYFUNCTION("""COMPUTED_VALUE"""),50000.0)</f>
        <v>50000</v>
      </c>
      <c r="AH255" s="96"/>
      <c r="AI255" s="96">
        <f>IFERROR(__xludf.DUMMYFUNCTION("""COMPUTED_VALUE"""),0.0)</f>
        <v>0</v>
      </c>
      <c r="AJ255" s="96">
        <f>IFERROR(__xludf.DUMMYFUNCTION("""COMPUTED_VALUE"""),0.0)</f>
        <v>0</v>
      </c>
      <c r="AK255" s="96">
        <f>IFERROR(__xludf.DUMMYFUNCTION("""COMPUTED_VALUE"""),0.0)</f>
        <v>0</v>
      </c>
      <c r="AL255" s="129">
        <f>IFERROR(__xludf.DUMMYFUNCTION("""COMPUTED_VALUE"""),0.0)</f>
        <v>0</v>
      </c>
      <c r="AM255" s="99"/>
    </row>
    <row r="256">
      <c r="V256" s="96">
        <f>IFERROR(__xludf.DUMMYFUNCTION("""COMPUTED_VALUE"""),9.0)</f>
        <v>9</v>
      </c>
      <c r="W256" s="98">
        <f>IFERROR(__xludf.DUMMYFUNCTION("""COMPUTED_VALUE"""),44067.0)</f>
        <v>44067</v>
      </c>
      <c r="X256" s="96" t="str">
        <f>IFERROR(__xludf.DUMMYFUNCTION("""COMPUTED_VALUE"""),"EDWARD OKO")</f>
        <v>EDWARD OKO</v>
      </c>
      <c r="Y256" s="96" t="str">
        <f>IFERROR(__xludf.DUMMYFUNCTION("""COMPUTED_VALUE"""),"EDWARD OKO9")</f>
        <v>EDWARD OKO9</v>
      </c>
      <c r="Z256" s="96"/>
      <c r="AA256" s="96"/>
      <c r="AB256" s="96"/>
      <c r="AC256" s="96"/>
      <c r="AD256" s="96"/>
      <c r="AE256" s="96"/>
      <c r="AF256" s="96">
        <f>IFERROR(__xludf.DUMMYFUNCTION("""COMPUTED_VALUE"""),85000.0)</f>
        <v>85000</v>
      </c>
      <c r="AG256" s="99">
        <f>IFERROR(__xludf.DUMMYFUNCTION("""COMPUTED_VALUE"""),85000.0)</f>
        <v>85000</v>
      </c>
      <c r="AH256" s="96"/>
      <c r="AI256" s="96">
        <f>IFERROR(__xludf.DUMMYFUNCTION("""COMPUTED_VALUE"""),0.0)</f>
        <v>0</v>
      </c>
      <c r="AJ256" s="96">
        <f>IFERROR(__xludf.DUMMYFUNCTION("""COMPUTED_VALUE"""),0.0)</f>
        <v>0</v>
      </c>
      <c r="AK256" s="96">
        <f>IFERROR(__xludf.DUMMYFUNCTION("""COMPUTED_VALUE"""),0.0)</f>
        <v>0</v>
      </c>
      <c r="AL256" s="129">
        <f>IFERROR(__xludf.DUMMYFUNCTION("""COMPUTED_VALUE"""),0.0)</f>
        <v>0</v>
      </c>
      <c r="AM256" s="99"/>
    </row>
    <row r="257">
      <c r="V257" s="96">
        <f>IFERROR(__xludf.DUMMYFUNCTION("""COMPUTED_VALUE"""),2.0)</f>
        <v>2</v>
      </c>
      <c r="W257" s="98">
        <f>IFERROR(__xludf.DUMMYFUNCTION("""COMPUTED_VALUE"""),44067.0)</f>
        <v>44067</v>
      </c>
      <c r="X257" s="96" t="str">
        <f>IFERROR(__xludf.DUMMYFUNCTION("""COMPUTED_VALUE"""),"PAPA AJASCO BETTE")</f>
        <v>PAPA AJASCO BETTE</v>
      </c>
      <c r="Y257" s="96" t="str">
        <f>IFERROR(__xludf.DUMMYFUNCTION("""COMPUTED_VALUE"""),"PAPA AJASCO BETTE2")</f>
        <v>PAPA AJASCO BETTE2</v>
      </c>
      <c r="Z257" s="96"/>
      <c r="AA257" s="96"/>
      <c r="AB257" s="96"/>
      <c r="AC257" s="96"/>
      <c r="AD257" s="96"/>
      <c r="AE257" s="96"/>
      <c r="AF257" s="96">
        <f>IFERROR(__xludf.DUMMYFUNCTION("""COMPUTED_VALUE"""),20000.0)</f>
        <v>20000</v>
      </c>
      <c r="AG257" s="99">
        <f>IFERROR(__xludf.DUMMYFUNCTION("""COMPUTED_VALUE"""),20000.0)</f>
        <v>20000</v>
      </c>
      <c r="AH257" s="96"/>
      <c r="AI257" s="96">
        <f>IFERROR(__xludf.DUMMYFUNCTION("""COMPUTED_VALUE"""),0.0)</f>
        <v>0</v>
      </c>
      <c r="AJ257" s="96">
        <f>IFERROR(__xludf.DUMMYFUNCTION("""COMPUTED_VALUE"""),0.0)</f>
        <v>0</v>
      </c>
      <c r="AK257" s="96">
        <f>IFERROR(__xludf.DUMMYFUNCTION("""COMPUTED_VALUE"""),0.0)</f>
        <v>0</v>
      </c>
      <c r="AL257" s="129">
        <f>IFERROR(__xludf.DUMMYFUNCTION("""COMPUTED_VALUE"""),0.0)</f>
        <v>0</v>
      </c>
      <c r="AM257" s="99"/>
    </row>
    <row r="258">
      <c r="V258" s="96">
        <f>IFERROR(__xludf.DUMMYFUNCTION("""COMPUTED_VALUE"""),9.0)</f>
        <v>9</v>
      </c>
      <c r="W258" s="98">
        <f>IFERROR(__xludf.DUMMYFUNCTION("""COMPUTED_VALUE"""),44068.0)</f>
        <v>44068</v>
      </c>
      <c r="X258" s="96" t="str">
        <f>IFERROR(__xludf.DUMMYFUNCTION("""COMPUTED_VALUE""")," MAXWELL AGRO")</f>
        <v> MAXWELL AGRO</v>
      </c>
      <c r="Y258" s="96" t="str">
        <f>IFERROR(__xludf.DUMMYFUNCTION("""COMPUTED_VALUE""")," MAXWELL AGRO9")</f>
        <v> MAXWELL AGRO9</v>
      </c>
      <c r="Z258" s="96">
        <f>IFERROR(__xludf.DUMMYFUNCTION("""COMPUTED_VALUE"""),657.0)</f>
        <v>657</v>
      </c>
      <c r="AA258" s="96">
        <f>IFERROR(__xludf.DUMMYFUNCTION("""COMPUTED_VALUE"""),93.0)</f>
        <v>93</v>
      </c>
      <c r="AB258" s="96"/>
      <c r="AC258" s="96">
        <f>IFERROR(__xludf.DUMMYFUNCTION("""COMPUTED_VALUE"""),10.0)</f>
        <v>10</v>
      </c>
      <c r="AD258" s="96">
        <f>IFERROR(__xludf.DUMMYFUNCTION("""COMPUTED_VALUE"""),0.0)</f>
        <v>0</v>
      </c>
      <c r="AE258" s="96">
        <f>IFERROR(__xludf.DUMMYFUNCTION("""COMPUTED_VALUE"""),825.35)</f>
        <v>825.35</v>
      </c>
      <c r="AF258" s="96"/>
      <c r="AG258" s="99">
        <f>IFERROR(__xludf.DUMMYFUNCTION("""COMPUTED_VALUE"""),-527400.0)</f>
        <v>-527400</v>
      </c>
      <c r="AH258" s="96">
        <f>IFERROR(__xludf.DUMMYFUNCTION("""COMPUTED_VALUE"""),9.3)</f>
        <v>9.3</v>
      </c>
      <c r="AI258" s="96">
        <f>IFERROR(__xludf.DUMMYFUNCTION("""COMPUTED_VALUE"""),8.0)</f>
        <v>8</v>
      </c>
      <c r="AJ258" s="96">
        <f>IFERROR(__xludf.DUMMYFUNCTION("""COMPUTED_VALUE"""),10.0)</f>
        <v>10</v>
      </c>
      <c r="AK258" s="96">
        <f>IFERROR(__xludf.DUMMYFUNCTION("""COMPUTED_VALUE"""),8.0)</f>
        <v>8</v>
      </c>
      <c r="AL258" s="129">
        <f>IFERROR(__xludf.DUMMYFUNCTION("""COMPUTED_VALUE"""),639.0)</f>
        <v>639</v>
      </c>
      <c r="AM258" s="99">
        <f>IFERROR(__xludf.DUMMYFUNCTION("""COMPUTED_VALUE"""),527400.0)</f>
        <v>527400</v>
      </c>
    </row>
    <row r="259">
      <c r="V259" s="96">
        <f>IFERROR(__xludf.DUMMYFUNCTION("""COMPUTED_VALUE"""),10.0)</f>
        <v>10</v>
      </c>
      <c r="W259" s="98">
        <f>IFERROR(__xludf.DUMMYFUNCTION("""COMPUTED_VALUE"""),44068.0)</f>
        <v>44068</v>
      </c>
      <c r="X259" s="96" t="str">
        <f>IFERROR(__xludf.DUMMYFUNCTION("""COMPUTED_VALUE""")," MAXWELL AGRO")</f>
        <v> MAXWELL AGRO</v>
      </c>
      <c r="Y259" s="96" t="str">
        <f>IFERROR(__xludf.DUMMYFUNCTION("""COMPUTED_VALUE""")," MAXWELL AGRO10")</f>
        <v> MAXWELL AGRO10</v>
      </c>
      <c r="Z259" s="96"/>
      <c r="AA259" s="96"/>
      <c r="AB259" s="96"/>
      <c r="AC259" s="96"/>
      <c r="AD259" s="96"/>
      <c r="AE259" s="96"/>
      <c r="AF259" s="96">
        <f>IFERROR(__xludf.DUMMYFUNCTION("""COMPUTED_VALUE"""),300000.0)</f>
        <v>300000</v>
      </c>
      <c r="AG259" s="99">
        <f>IFERROR(__xludf.DUMMYFUNCTION("""COMPUTED_VALUE"""),300000.0)</f>
        <v>300000</v>
      </c>
      <c r="AH259" s="96"/>
      <c r="AI259" s="96">
        <f>IFERROR(__xludf.DUMMYFUNCTION("""COMPUTED_VALUE"""),0.0)</f>
        <v>0</v>
      </c>
      <c r="AJ259" s="96">
        <f>IFERROR(__xludf.DUMMYFUNCTION("""COMPUTED_VALUE"""),0.0)</f>
        <v>0</v>
      </c>
      <c r="AK259" s="96">
        <f>IFERROR(__xludf.DUMMYFUNCTION("""COMPUTED_VALUE"""),0.0)</f>
        <v>0</v>
      </c>
      <c r="AL259" s="129">
        <f>IFERROR(__xludf.DUMMYFUNCTION("""COMPUTED_VALUE"""),0.0)</f>
        <v>0</v>
      </c>
      <c r="AM259" s="99"/>
    </row>
    <row r="260">
      <c r="V260" s="96">
        <f>IFERROR(__xludf.DUMMYFUNCTION("""COMPUTED_VALUE"""),11.0)</f>
        <v>11</v>
      </c>
      <c r="W260" s="98">
        <f>IFERROR(__xludf.DUMMYFUNCTION("""COMPUTED_VALUE"""),44068.0)</f>
        <v>44068</v>
      </c>
      <c r="X260" s="96" t="str">
        <f>IFERROR(__xludf.DUMMYFUNCTION("""COMPUTED_VALUE""")," MAXWELL AGRO")</f>
        <v> MAXWELL AGRO</v>
      </c>
      <c r="Y260" s="96" t="str">
        <f>IFERROR(__xludf.DUMMYFUNCTION("""COMPUTED_VALUE""")," MAXWELL AGRO11")</f>
        <v> MAXWELL AGRO11</v>
      </c>
      <c r="Z260" s="96"/>
      <c r="AA260" s="96"/>
      <c r="AB260" s="96"/>
      <c r="AC260" s="96"/>
      <c r="AD260" s="96"/>
      <c r="AE260" s="96"/>
      <c r="AF260" s="96">
        <f>IFERROR(__xludf.DUMMYFUNCTION("""COMPUTED_VALUE"""),4500.0)</f>
        <v>4500</v>
      </c>
      <c r="AG260" s="99">
        <f>IFERROR(__xludf.DUMMYFUNCTION("""COMPUTED_VALUE"""),4500.0)</f>
        <v>4500</v>
      </c>
      <c r="AH260" s="96"/>
      <c r="AI260" s="96">
        <f>IFERROR(__xludf.DUMMYFUNCTION("""COMPUTED_VALUE"""),0.0)</f>
        <v>0</v>
      </c>
      <c r="AJ260" s="96">
        <f>IFERROR(__xludf.DUMMYFUNCTION("""COMPUTED_VALUE"""),0.0)</f>
        <v>0</v>
      </c>
      <c r="AK260" s="96">
        <f>IFERROR(__xludf.DUMMYFUNCTION("""COMPUTED_VALUE"""),0.0)</f>
        <v>0</v>
      </c>
      <c r="AL260" s="129">
        <f>IFERROR(__xludf.DUMMYFUNCTION("""COMPUTED_VALUE"""),0.0)</f>
        <v>0</v>
      </c>
      <c r="AM260" s="99"/>
    </row>
    <row r="261">
      <c r="V261" s="96">
        <f>IFERROR(__xludf.DUMMYFUNCTION("""COMPUTED_VALUE"""),2.0)</f>
        <v>2</v>
      </c>
      <c r="W261" s="98">
        <f>IFERROR(__xludf.DUMMYFUNCTION("""COMPUTED_VALUE"""),44068.0)</f>
        <v>44068</v>
      </c>
      <c r="X261" s="96" t="str">
        <f>IFERROR(__xludf.DUMMYFUNCTION("""COMPUTED_VALUE"""),"REIMON ALABA")</f>
        <v>REIMON ALABA</v>
      </c>
      <c r="Y261" s="96" t="str">
        <f>IFERROR(__xludf.DUMMYFUNCTION("""COMPUTED_VALUE"""),"REIMON ALABA2")</f>
        <v>REIMON ALABA2</v>
      </c>
      <c r="Z261" s="96"/>
      <c r="AA261" s="96"/>
      <c r="AB261" s="96"/>
      <c r="AC261" s="96"/>
      <c r="AD261" s="96"/>
      <c r="AE261" s="96"/>
      <c r="AF261" s="96">
        <f>IFERROR(__xludf.DUMMYFUNCTION("""COMPUTED_VALUE"""),200000.0)</f>
        <v>200000</v>
      </c>
      <c r="AG261" s="99">
        <f>IFERROR(__xludf.DUMMYFUNCTION("""COMPUTED_VALUE"""),200000.0)</f>
        <v>200000</v>
      </c>
      <c r="AH261" s="96"/>
      <c r="AI261" s="96">
        <f>IFERROR(__xludf.DUMMYFUNCTION("""COMPUTED_VALUE"""),0.0)</f>
        <v>0</v>
      </c>
      <c r="AJ261" s="96">
        <f>IFERROR(__xludf.DUMMYFUNCTION("""COMPUTED_VALUE"""),0.0)</f>
        <v>0</v>
      </c>
      <c r="AK261" s="96">
        <f>IFERROR(__xludf.DUMMYFUNCTION("""COMPUTED_VALUE"""),0.0)</f>
        <v>0</v>
      </c>
      <c r="AL261" s="129">
        <f>IFERROR(__xludf.DUMMYFUNCTION("""COMPUTED_VALUE"""),0.0)</f>
        <v>0</v>
      </c>
      <c r="AM261" s="99"/>
    </row>
    <row r="262">
      <c r="V262" s="96">
        <f>IFERROR(__xludf.DUMMYFUNCTION("""COMPUTED_VALUE"""),16.0)</f>
        <v>16</v>
      </c>
      <c r="W262" s="98">
        <f>IFERROR(__xludf.DUMMYFUNCTION("""COMPUTED_VALUE"""),44068.0)</f>
        <v>44068</v>
      </c>
      <c r="X262" s="96" t="str">
        <f>IFERROR(__xludf.DUMMYFUNCTION("""COMPUTED_VALUE"""),"LYDIA HNSON ")</f>
        <v>LYDIA HNSON </v>
      </c>
      <c r="Y262" s="96" t="str">
        <f>IFERROR(__xludf.DUMMYFUNCTION("""COMPUTED_VALUE"""),"LYDIA HNSON 16")</f>
        <v>LYDIA HNSON 16</v>
      </c>
      <c r="Z262" s="96"/>
      <c r="AA262" s="96"/>
      <c r="AB262" s="96"/>
      <c r="AC262" s="96"/>
      <c r="AD262" s="96"/>
      <c r="AE262" s="96"/>
      <c r="AF262" s="96">
        <f>IFERROR(__xludf.DUMMYFUNCTION("""COMPUTED_VALUE"""),10000.0)</f>
        <v>10000</v>
      </c>
      <c r="AG262" s="99">
        <f>IFERROR(__xludf.DUMMYFUNCTION("""COMPUTED_VALUE"""),10000.0)</f>
        <v>10000</v>
      </c>
      <c r="AH262" s="96"/>
      <c r="AI262" s="96">
        <f>IFERROR(__xludf.DUMMYFUNCTION("""COMPUTED_VALUE"""),0.0)</f>
        <v>0</v>
      </c>
      <c r="AJ262" s="96">
        <f>IFERROR(__xludf.DUMMYFUNCTION("""COMPUTED_VALUE"""),0.0)</f>
        <v>0</v>
      </c>
      <c r="AK262" s="96">
        <f>IFERROR(__xludf.DUMMYFUNCTION("""COMPUTED_VALUE"""),0.0)</f>
        <v>0</v>
      </c>
      <c r="AL262" s="129">
        <f>IFERROR(__xludf.DUMMYFUNCTION("""COMPUTED_VALUE"""),0.0)</f>
        <v>0</v>
      </c>
      <c r="AM262" s="99"/>
    </row>
    <row r="263">
      <c r="V263" s="96">
        <f>IFERROR(__xludf.DUMMYFUNCTION("""COMPUTED_VALUE"""),1.0)</f>
        <v>1</v>
      </c>
      <c r="W263" s="98">
        <f>IFERROR(__xludf.DUMMYFUNCTION("""COMPUTED_VALUE"""),44068.0)</f>
        <v>44068</v>
      </c>
      <c r="X263" s="96" t="str">
        <f>IFERROR(__xludf.DUMMYFUNCTION("""COMPUTED_VALUE"""),"NEIGHBOR")</f>
        <v>NEIGHBOR</v>
      </c>
      <c r="Y263" s="96" t="str">
        <f>IFERROR(__xludf.DUMMYFUNCTION("""COMPUTED_VALUE"""),"NEIGHBOR1")</f>
        <v>NEIGHBOR1</v>
      </c>
      <c r="Z263" s="96"/>
      <c r="AA263" s="96"/>
      <c r="AB263" s="96"/>
      <c r="AC263" s="96"/>
      <c r="AD263" s="96"/>
      <c r="AE263" s="96"/>
      <c r="AF263" s="96">
        <f>IFERROR(__xludf.DUMMYFUNCTION("""COMPUTED_VALUE"""),500000.0)</f>
        <v>500000</v>
      </c>
      <c r="AG263" s="99">
        <f>IFERROR(__xludf.DUMMYFUNCTION("""COMPUTED_VALUE"""),500000.0)</f>
        <v>500000</v>
      </c>
      <c r="AH263" s="96"/>
      <c r="AI263" s="96">
        <f>IFERROR(__xludf.DUMMYFUNCTION("""COMPUTED_VALUE"""),0.0)</f>
        <v>0</v>
      </c>
      <c r="AJ263" s="96">
        <f>IFERROR(__xludf.DUMMYFUNCTION("""COMPUTED_VALUE"""),0.0)</f>
        <v>0</v>
      </c>
      <c r="AK263" s="96">
        <f>IFERROR(__xludf.DUMMYFUNCTION("""COMPUTED_VALUE"""),0.0)</f>
        <v>0</v>
      </c>
      <c r="AL263" s="129">
        <f>IFERROR(__xludf.DUMMYFUNCTION("""COMPUTED_VALUE"""),0.0)</f>
        <v>0</v>
      </c>
      <c r="AM263" s="99"/>
    </row>
    <row r="264">
      <c r="V264" s="96">
        <f>IFERROR(__xludf.DUMMYFUNCTION("""COMPUTED_VALUE"""),2.0)</f>
        <v>2</v>
      </c>
      <c r="W264" s="98">
        <f>IFERROR(__xludf.DUMMYFUNCTION("""COMPUTED_VALUE"""),44069.0)</f>
        <v>44069</v>
      </c>
      <c r="X264" s="96" t="str">
        <f>IFERROR(__xludf.DUMMYFUNCTION("""COMPUTED_VALUE"""),"NEIGHBOR")</f>
        <v>NEIGHBOR</v>
      </c>
      <c r="Y264" s="96" t="str">
        <f>IFERROR(__xludf.DUMMYFUNCTION("""COMPUTED_VALUE"""),"NEIGHBOR2")</f>
        <v>NEIGHBOR2</v>
      </c>
      <c r="Z264" s="96">
        <f>IFERROR(__xludf.DUMMYFUNCTION("""COMPUTED_VALUE"""),638.0)</f>
        <v>638</v>
      </c>
      <c r="AA264" s="96">
        <f>IFERROR(__xludf.DUMMYFUNCTION("""COMPUTED_VALUE"""),102.0)</f>
        <v>102</v>
      </c>
      <c r="AB264" s="96"/>
      <c r="AC264" s="96">
        <f>IFERROR(__xludf.DUMMYFUNCTION("""COMPUTED_VALUE"""),10.0)</f>
        <v>10</v>
      </c>
      <c r="AD264" s="96">
        <f>IFERROR(__xludf.DUMMYFUNCTION("""COMPUTED_VALUE"""),0.0)</f>
        <v>0</v>
      </c>
      <c r="AE264" s="96">
        <f>IFERROR(__xludf.DUMMYFUNCTION("""COMPUTED_VALUE"""),850.0)</f>
        <v>850</v>
      </c>
      <c r="AF264" s="96"/>
      <c r="AG264" s="99">
        <f>IFERROR(__xludf.DUMMYFUNCTION("""COMPUTED_VALUE"""),-521900.0)</f>
        <v>-521900</v>
      </c>
      <c r="AH264" s="96">
        <f>IFERROR(__xludf.DUMMYFUNCTION("""COMPUTED_VALUE"""),10.2)</f>
        <v>10.2</v>
      </c>
      <c r="AI264" s="96">
        <f>IFERROR(__xludf.DUMMYFUNCTION("""COMPUTED_VALUE"""),14.0)</f>
        <v>14</v>
      </c>
      <c r="AJ264" s="96">
        <f>IFERROR(__xludf.DUMMYFUNCTION("""COMPUTED_VALUE"""),9.0)</f>
        <v>9</v>
      </c>
      <c r="AK264" s="96">
        <f>IFERROR(__xludf.DUMMYFUNCTION("""COMPUTED_VALUE"""),46.0)</f>
        <v>46</v>
      </c>
      <c r="AL264" s="129">
        <f>IFERROR(__xludf.DUMMYFUNCTION("""COMPUTED_VALUE"""),614.0)</f>
        <v>614</v>
      </c>
      <c r="AM264" s="99">
        <f>IFERROR(__xludf.DUMMYFUNCTION("""COMPUTED_VALUE"""),521900.0)</f>
        <v>521900</v>
      </c>
    </row>
    <row r="265">
      <c r="V265" s="96">
        <f>IFERROR(__xludf.DUMMYFUNCTION("""COMPUTED_VALUE"""),13.0)</f>
        <v>13</v>
      </c>
      <c r="W265" s="98">
        <f>IFERROR(__xludf.DUMMYFUNCTION("""COMPUTED_VALUE"""),44069.0)</f>
        <v>44069</v>
      </c>
      <c r="X265" s="96" t="str">
        <f>IFERROR(__xludf.DUMMYFUNCTION("""COMPUTED_VALUE"""),"NDOMA BODE I.D")</f>
        <v>NDOMA BODE I.D</v>
      </c>
      <c r="Y265" s="96" t="str">
        <f>IFERROR(__xludf.DUMMYFUNCTION("""COMPUTED_VALUE"""),"NDOMA BODE I.D13")</f>
        <v>NDOMA BODE I.D13</v>
      </c>
      <c r="Z265" s="96">
        <f>IFERROR(__xludf.DUMMYFUNCTION("""COMPUTED_VALUE"""),1304.0)</f>
        <v>1304</v>
      </c>
      <c r="AA265" s="96">
        <f>IFERROR(__xludf.DUMMYFUNCTION("""COMPUTED_VALUE"""),168.0)</f>
        <v>168</v>
      </c>
      <c r="AB265" s="96"/>
      <c r="AC265" s="96">
        <f>IFERROR(__xludf.DUMMYFUNCTION("""COMPUTED_VALUE"""),21.0)</f>
        <v>21</v>
      </c>
      <c r="AD265" s="96">
        <f>IFERROR(__xludf.DUMMYFUNCTION("""COMPUTED_VALUE"""),0.0)</f>
        <v>0</v>
      </c>
      <c r="AE265" s="96">
        <f>IFERROR(__xludf.DUMMYFUNCTION("""COMPUTED_VALUE"""),820.0)</f>
        <v>820</v>
      </c>
      <c r="AF265" s="96"/>
      <c r="AG265" s="99">
        <f>IFERROR(__xludf.DUMMYFUNCTION("""COMPUTED_VALUE"""),-1052060.0)</f>
        <v>-1052060</v>
      </c>
      <c r="AH265" s="96">
        <f>IFERROR(__xludf.DUMMYFUNCTION("""COMPUTED_VALUE"""),8.0)</f>
        <v>8</v>
      </c>
      <c r="AI265" s="96">
        <f>IFERROR(__xludf.DUMMYFUNCTION("""COMPUTED_VALUE"""),0.0)</f>
        <v>0</v>
      </c>
      <c r="AJ265" s="96">
        <f>IFERROR(__xludf.DUMMYFUNCTION("""COMPUTED_VALUE"""),20.0)</f>
        <v>20</v>
      </c>
      <c r="AK265" s="96">
        <f>IFERROR(__xludf.DUMMYFUNCTION("""COMPUTED_VALUE"""),22.0)</f>
        <v>22</v>
      </c>
      <c r="AL265" s="129">
        <f>IFERROR(__xludf.DUMMYFUNCTION("""COMPUTED_VALUE"""),1283.0)</f>
        <v>1283</v>
      </c>
      <c r="AM265" s="99">
        <f>IFERROR(__xludf.DUMMYFUNCTION("""COMPUTED_VALUE"""),1052060.0)</f>
        <v>1052060</v>
      </c>
    </row>
    <row r="266">
      <c r="V266" s="96">
        <f>IFERROR(__xludf.DUMMYFUNCTION("""COMPUTED_VALUE"""),8.0)</f>
        <v>8</v>
      </c>
      <c r="W266" s="98">
        <f>IFERROR(__xludf.DUMMYFUNCTION("""COMPUTED_VALUE"""),44069.0)</f>
        <v>44069</v>
      </c>
      <c r="X266" s="96" t="str">
        <f>IFERROR(__xludf.DUMMYFUNCTION("""COMPUTED_VALUE"""),"ANDRDEW GREAT")</f>
        <v>ANDRDEW GREAT</v>
      </c>
      <c r="Y266" s="96" t="str">
        <f>IFERROR(__xludf.DUMMYFUNCTION("""COMPUTED_VALUE"""),"ANDRDEW GREAT8")</f>
        <v>ANDRDEW GREAT8</v>
      </c>
      <c r="Z266" s="96"/>
      <c r="AA266" s="96"/>
      <c r="AB266" s="96"/>
      <c r="AC266" s="96"/>
      <c r="AD266" s="96"/>
      <c r="AE266" s="96"/>
      <c r="AF266" s="96">
        <f>IFERROR(__xludf.DUMMYFUNCTION("""COMPUTED_VALUE"""),200000.0)</f>
        <v>200000</v>
      </c>
      <c r="AG266" s="99">
        <f>IFERROR(__xludf.DUMMYFUNCTION("""COMPUTED_VALUE"""),200000.0)</f>
        <v>200000</v>
      </c>
      <c r="AH266" s="96"/>
      <c r="AI266" s="96">
        <f>IFERROR(__xludf.DUMMYFUNCTION("""COMPUTED_VALUE"""),0.0)</f>
        <v>0</v>
      </c>
      <c r="AJ266" s="96">
        <f>IFERROR(__xludf.DUMMYFUNCTION("""COMPUTED_VALUE"""),0.0)</f>
        <v>0</v>
      </c>
      <c r="AK266" s="96">
        <f>IFERROR(__xludf.DUMMYFUNCTION("""COMPUTED_VALUE"""),0.0)</f>
        <v>0</v>
      </c>
      <c r="AL266" s="129">
        <f>IFERROR(__xludf.DUMMYFUNCTION("""COMPUTED_VALUE"""),0.0)</f>
        <v>0</v>
      </c>
      <c r="AM266" s="99"/>
    </row>
    <row r="267">
      <c r="V267" s="96">
        <f>IFERROR(__xludf.DUMMYFUNCTION("""COMPUTED_VALUE"""),10.0)</f>
        <v>10</v>
      </c>
      <c r="W267" s="98">
        <f>IFERROR(__xludf.DUMMYFUNCTION("""COMPUTED_VALUE"""),44069.0)</f>
        <v>44069</v>
      </c>
      <c r="X267" s="96" t="str">
        <f>IFERROR(__xludf.DUMMYFUNCTION("""COMPUTED_VALUE"""),"EDWARD OKO")</f>
        <v>EDWARD OKO</v>
      </c>
      <c r="Y267" s="96" t="str">
        <f>IFERROR(__xludf.DUMMYFUNCTION("""COMPUTED_VALUE"""),"EDWARD OKO10")</f>
        <v>EDWARD OKO10</v>
      </c>
      <c r="Z267" s="96"/>
      <c r="AA267" s="96"/>
      <c r="AB267" s="96"/>
      <c r="AC267" s="96"/>
      <c r="AD267" s="96"/>
      <c r="AE267" s="96"/>
      <c r="AF267" s="96">
        <f>IFERROR(__xludf.DUMMYFUNCTION("""COMPUTED_VALUE"""),100000.0)</f>
        <v>100000</v>
      </c>
      <c r="AG267" s="99">
        <f>IFERROR(__xludf.DUMMYFUNCTION("""COMPUTED_VALUE"""),100000.0)</f>
        <v>100000</v>
      </c>
      <c r="AH267" s="96"/>
      <c r="AI267" s="96">
        <f>IFERROR(__xludf.DUMMYFUNCTION("""COMPUTED_VALUE"""),0.0)</f>
        <v>0</v>
      </c>
      <c r="AJ267" s="96">
        <f>IFERROR(__xludf.DUMMYFUNCTION("""COMPUTED_VALUE"""),0.0)</f>
        <v>0</v>
      </c>
      <c r="AK267" s="96">
        <f>IFERROR(__xludf.DUMMYFUNCTION("""COMPUTED_VALUE"""),0.0)</f>
        <v>0</v>
      </c>
      <c r="AL267" s="129">
        <f>IFERROR(__xludf.DUMMYFUNCTION("""COMPUTED_VALUE"""),0.0)</f>
        <v>0</v>
      </c>
      <c r="AM267" s="99"/>
    </row>
    <row r="268">
      <c r="V268" s="96">
        <f>IFERROR(__xludf.DUMMYFUNCTION("""COMPUTED_VALUE"""),17.0)</f>
        <v>17</v>
      </c>
      <c r="W268" s="98">
        <f>IFERROR(__xludf.DUMMYFUNCTION("""COMPUTED_VALUE"""),44069.0)</f>
        <v>44069</v>
      </c>
      <c r="X268" s="96" t="str">
        <f>IFERROR(__xludf.DUMMYFUNCTION("""COMPUTED_VALUE"""),"LYDIA HNSON ")</f>
        <v>LYDIA HNSON </v>
      </c>
      <c r="Y268" s="96" t="str">
        <f>IFERROR(__xludf.DUMMYFUNCTION("""COMPUTED_VALUE"""),"LYDIA HNSON 17")</f>
        <v>LYDIA HNSON 17</v>
      </c>
      <c r="Z268" s="96"/>
      <c r="AA268" s="96"/>
      <c r="AB268" s="96"/>
      <c r="AC268" s="96"/>
      <c r="AD268" s="96"/>
      <c r="AE268" s="96"/>
      <c r="AF268" s="96">
        <f>IFERROR(__xludf.DUMMYFUNCTION("""COMPUTED_VALUE"""),1990000.0)</f>
        <v>1990000</v>
      </c>
      <c r="AG268" s="99">
        <f>IFERROR(__xludf.DUMMYFUNCTION("""COMPUTED_VALUE"""),1990000.0)</f>
        <v>1990000</v>
      </c>
      <c r="AH268" s="96"/>
      <c r="AI268" s="96">
        <f>IFERROR(__xludf.DUMMYFUNCTION("""COMPUTED_VALUE"""),0.0)</f>
        <v>0</v>
      </c>
      <c r="AJ268" s="96">
        <f>IFERROR(__xludf.DUMMYFUNCTION("""COMPUTED_VALUE"""),0.0)</f>
        <v>0</v>
      </c>
      <c r="AK268" s="96">
        <f>IFERROR(__xludf.DUMMYFUNCTION("""COMPUTED_VALUE"""),0.0)</f>
        <v>0</v>
      </c>
      <c r="AL268" s="129">
        <f>IFERROR(__xludf.DUMMYFUNCTION("""COMPUTED_VALUE"""),0.0)</f>
        <v>0</v>
      </c>
      <c r="AM268" s="99"/>
    </row>
    <row r="269">
      <c r="V269" s="96">
        <f>IFERROR(__xludf.DUMMYFUNCTION("""COMPUTED_VALUE"""),15.0)</f>
        <v>15</v>
      </c>
      <c r="W269" s="98">
        <f>IFERROR(__xludf.DUMMYFUNCTION("""COMPUTED_VALUE"""),44069.0)</f>
        <v>44069</v>
      </c>
      <c r="X269" s="96" t="str">
        <f>IFERROR(__xludf.DUMMYFUNCTION("""COMPUTED_VALUE"""),"LIVINUS")</f>
        <v>LIVINUS</v>
      </c>
      <c r="Y269" s="96" t="str">
        <f>IFERROR(__xludf.DUMMYFUNCTION("""COMPUTED_VALUE"""),"LIVINUS15")</f>
        <v>LIVINUS15</v>
      </c>
      <c r="Z269" s="96"/>
      <c r="AA269" s="96"/>
      <c r="AB269" s="96"/>
      <c r="AC269" s="96"/>
      <c r="AD269" s="96"/>
      <c r="AE269" s="96"/>
      <c r="AF269" s="96">
        <f>IFERROR(__xludf.DUMMYFUNCTION("""COMPUTED_VALUE"""),2250000.0)</f>
        <v>2250000</v>
      </c>
      <c r="AG269" s="99">
        <f>IFERROR(__xludf.DUMMYFUNCTION("""COMPUTED_VALUE"""),2250000.0)</f>
        <v>2250000</v>
      </c>
      <c r="AH269" s="96"/>
      <c r="AI269" s="96">
        <f>IFERROR(__xludf.DUMMYFUNCTION("""COMPUTED_VALUE"""),0.0)</f>
        <v>0</v>
      </c>
      <c r="AJ269" s="96">
        <f>IFERROR(__xludf.DUMMYFUNCTION("""COMPUTED_VALUE"""),0.0)</f>
        <v>0</v>
      </c>
      <c r="AK269" s="96">
        <f>IFERROR(__xludf.DUMMYFUNCTION("""COMPUTED_VALUE"""),0.0)</f>
        <v>0</v>
      </c>
      <c r="AL269" s="129">
        <f>IFERROR(__xludf.DUMMYFUNCTION("""COMPUTED_VALUE"""),0.0)</f>
        <v>0</v>
      </c>
      <c r="AM269" s="99"/>
    </row>
    <row r="270">
      <c r="V270" s="96">
        <f>IFERROR(__xludf.DUMMYFUNCTION("""COMPUTED_VALUE"""),4.0)</f>
        <v>4</v>
      </c>
      <c r="W270" s="98">
        <f>IFERROR(__xludf.DUMMYFUNCTION("""COMPUTED_VALUE"""),44069.0)</f>
        <v>44069</v>
      </c>
      <c r="X270" s="96" t="str">
        <f>IFERROR(__xludf.DUMMYFUNCTION("""COMPUTED_VALUE"""),"MAXWELL AGRO OBI")</f>
        <v>MAXWELL AGRO OBI</v>
      </c>
      <c r="Y270" s="96" t="str">
        <f>IFERROR(__xludf.DUMMYFUNCTION("""COMPUTED_VALUE"""),"MAXWELL AGRO OBI4")</f>
        <v>MAXWELL AGRO OBI4</v>
      </c>
      <c r="Z270" s="96"/>
      <c r="AA270" s="96"/>
      <c r="AB270" s="96"/>
      <c r="AC270" s="96"/>
      <c r="AD270" s="96"/>
      <c r="AE270" s="96"/>
      <c r="AF270" s="96">
        <f>IFERROR(__xludf.DUMMYFUNCTION("""COMPUTED_VALUE"""),500000.0)</f>
        <v>500000</v>
      </c>
      <c r="AG270" s="99">
        <f>IFERROR(__xludf.DUMMYFUNCTION("""COMPUTED_VALUE"""),500000.0)</f>
        <v>500000</v>
      </c>
      <c r="AH270" s="96"/>
      <c r="AI270" s="96">
        <f>IFERROR(__xludf.DUMMYFUNCTION("""COMPUTED_VALUE"""),0.0)</f>
        <v>0</v>
      </c>
      <c r="AJ270" s="96">
        <f>IFERROR(__xludf.DUMMYFUNCTION("""COMPUTED_VALUE"""),0.0)</f>
        <v>0</v>
      </c>
      <c r="AK270" s="96">
        <f>IFERROR(__xludf.DUMMYFUNCTION("""COMPUTED_VALUE"""),0.0)</f>
        <v>0</v>
      </c>
      <c r="AL270" s="129">
        <f>IFERROR(__xludf.DUMMYFUNCTION("""COMPUTED_VALUE"""),0.0)</f>
        <v>0</v>
      </c>
      <c r="AM270" s="99"/>
    </row>
    <row r="271">
      <c r="V271" s="96">
        <f>IFERROR(__xludf.DUMMYFUNCTION("""COMPUTED_VALUE"""),14.0)</f>
        <v>14</v>
      </c>
      <c r="W271" s="98">
        <f>IFERROR(__xludf.DUMMYFUNCTION("""COMPUTED_VALUE"""),44069.0)</f>
        <v>44069</v>
      </c>
      <c r="X271" s="96" t="str">
        <f>IFERROR(__xludf.DUMMYFUNCTION("""COMPUTED_VALUE"""),"NDOMA BODE I.D")</f>
        <v>NDOMA BODE I.D</v>
      </c>
      <c r="Y271" s="96" t="str">
        <f>IFERROR(__xludf.DUMMYFUNCTION("""COMPUTED_VALUE"""),"NDOMA BODE I.D14")</f>
        <v>NDOMA BODE I.D14</v>
      </c>
      <c r="Z271" s="96"/>
      <c r="AA271" s="96"/>
      <c r="AB271" s="96"/>
      <c r="AC271" s="96"/>
      <c r="AD271" s="96"/>
      <c r="AE271" s="96"/>
      <c r="AF271" s="96">
        <f>IFERROR(__xludf.DUMMYFUNCTION("""COMPUTED_VALUE"""),1052000.0)</f>
        <v>1052000</v>
      </c>
      <c r="AG271" s="99">
        <f>IFERROR(__xludf.DUMMYFUNCTION("""COMPUTED_VALUE"""),1052000.0)</f>
        <v>1052000</v>
      </c>
      <c r="AH271" s="96"/>
      <c r="AI271" s="96">
        <f>IFERROR(__xludf.DUMMYFUNCTION("""COMPUTED_VALUE"""),0.0)</f>
        <v>0</v>
      </c>
      <c r="AJ271" s="96">
        <f>IFERROR(__xludf.DUMMYFUNCTION("""COMPUTED_VALUE"""),0.0)</f>
        <v>0</v>
      </c>
      <c r="AK271" s="96">
        <f>IFERROR(__xludf.DUMMYFUNCTION("""COMPUTED_VALUE"""),0.0)</f>
        <v>0</v>
      </c>
      <c r="AL271" s="129">
        <f>IFERROR(__xludf.DUMMYFUNCTION("""COMPUTED_VALUE"""),0.0)</f>
        <v>0</v>
      </c>
      <c r="AM271" s="99"/>
    </row>
    <row r="272">
      <c r="V272" s="96">
        <f>IFERROR(__xludf.DUMMYFUNCTION("""COMPUTED_VALUE"""),5.0)</f>
        <v>5</v>
      </c>
      <c r="W272" s="98">
        <f>IFERROR(__xludf.DUMMYFUNCTION("""COMPUTED_VALUE"""),44069.0)</f>
        <v>44069</v>
      </c>
      <c r="X272" s="96" t="str">
        <f>IFERROR(__xludf.DUMMYFUNCTION("""COMPUTED_VALUE"""),"EUGENE")</f>
        <v>EUGENE</v>
      </c>
      <c r="Y272" s="96" t="str">
        <f>IFERROR(__xludf.DUMMYFUNCTION("""COMPUTED_VALUE"""),"EUGENE5")</f>
        <v>EUGENE5</v>
      </c>
      <c r="Z272" s="96"/>
      <c r="AA272" s="96"/>
      <c r="AB272" s="96"/>
      <c r="AC272" s="96"/>
      <c r="AD272" s="96"/>
      <c r="AE272" s="96"/>
      <c r="AF272" s="96">
        <f>IFERROR(__xludf.DUMMYFUNCTION("""COMPUTED_VALUE"""),800000.0)</f>
        <v>800000</v>
      </c>
      <c r="AG272" s="99">
        <f>IFERROR(__xludf.DUMMYFUNCTION("""COMPUTED_VALUE"""),800000.0)</f>
        <v>800000</v>
      </c>
      <c r="AH272" s="96"/>
      <c r="AI272" s="96">
        <f>IFERROR(__xludf.DUMMYFUNCTION("""COMPUTED_VALUE"""),0.0)</f>
        <v>0</v>
      </c>
      <c r="AJ272" s="96">
        <f>IFERROR(__xludf.DUMMYFUNCTION("""COMPUTED_VALUE"""),0.0)</f>
        <v>0</v>
      </c>
      <c r="AK272" s="96">
        <f>IFERROR(__xludf.DUMMYFUNCTION("""COMPUTED_VALUE"""),0.0)</f>
        <v>0</v>
      </c>
      <c r="AL272" s="129">
        <f>IFERROR(__xludf.DUMMYFUNCTION("""COMPUTED_VALUE"""),0.0)</f>
        <v>0</v>
      </c>
      <c r="AM272" s="99"/>
    </row>
    <row r="273">
      <c r="V273" s="96">
        <f>IFERROR(__xludf.DUMMYFUNCTION("""COMPUTED_VALUE"""),3.0)</f>
        <v>3</v>
      </c>
      <c r="W273" s="98">
        <f>IFERROR(__xludf.DUMMYFUNCTION("""COMPUTED_VALUE"""),44069.0)</f>
        <v>44069</v>
      </c>
      <c r="X273" s="96" t="str">
        <f>IFERROR(__xludf.DUMMYFUNCTION("""COMPUTED_VALUE"""),"NEIGHBOR")</f>
        <v>NEIGHBOR</v>
      </c>
      <c r="Y273" s="96" t="str">
        <f>IFERROR(__xludf.DUMMYFUNCTION("""COMPUTED_VALUE"""),"NEIGHBOR3")</f>
        <v>NEIGHBOR3</v>
      </c>
      <c r="Z273" s="96"/>
      <c r="AA273" s="96"/>
      <c r="AB273" s="96"/>
      <c r="AC273" s="96"/>
      <c r="AD273" s="96"/>
      <c r="AE273" s="96"/>
      <c r="AF273" s="96">
        <f>IFERROR(__xludf.DUMMYFUNCTION("""COMPUTED_VALUE"""),20400.0)</f>
        <v>20400</v>
      </c>
      <c r="AG273" s="99">
        <f>IFERROR(__xludf.DUMMYFUNCTION("""COMPUTED_VALUE"""),20400.0)</f>
        <v>20400</v>
      </c>
      <c r="AH273" s="96"/>
      <c r="AI273" s="96">
        <f>IFERROR(__xludf.DUMMYFUNCTION("""COMPUTED_VALUE"""),0.0)</f>
        <v>0</v>
      </c>
      <c r="AJ273" s="96">
        <f>IFERROR(__xludf.DUMMYFUNCTION("""COMPUTED_VALUE"""),0.0)</f>
        <v>0</v>
      </c>
      <c r="AK273" s="96">
        <f>IFERROR(__xludf.DUMMYFUNCTION("""COMPUTED_VALUE"""),0.0)</f>
        <v>0</v>
      </c>
      <c r="AL273" s="129">
        <f>IFERROR(__xludf.DUMMYFUNCTION("""COMPUTED_VALUE"""),0.0)</f>
        <v>0</v>
      </c>
      <c r="AM273" s="99"/>
    </row>
    <row r="274">
      <c r="V274" s="96">
        <f>IFERROR(__xludf.DUMMYFUNCTION("""COMPUTED_VALUE"""),18.0)</f>
        <v>18</v>
      </c>
      <c r="W274" s="98">
        <f>IFERROR(__xludf.DUMMYFUNCTION("""COMPUTED_VALUE"""),44070.0)</f>
        <v>44070</v>
      </c>
      <c r="X274" s="96" t="str">
        <f>IFERROR(__xludf.DUMMYFUNCTION("""COMPUTED_VALUE"""),"LYDIA HNSON ")</f>
        <v>LYDIA HNSON </v>
      </c>
      <c r="Y274" s="96" t="str">
        <f>IFERROR(__xludf.DUMMYFUNCTION("""COMPUTED_VALUE"""),"LYDIA HNSON 18")</f>
        <v>LYDIA HNSON 18</v>
      </c>
      <c r="Z274" s="96">
        <f>IFERROR(__xludf.DUMMYFUNCTION("""COMPUTED_VALUE"""),2512.0)</f>
        <v>2512</v>
      </c>
      <c r="AA274" s="96">
        <f>IFERROR(__xludf.DUMMYFUNCTION("""COMPUTED_VALUE"""),320.0)</f>
        <v>320</v>
      </c>
      <c r="AB274" s="96"/>
      <c r="AC274" s="96">
        <f>IFERROR(__xludf.DUMMYFUNCTION("""COMPUTED_VALUE"""),40.0)</f>
        <v>40</v>
      </c>
      <c r="AD274" s="96">
        <f>IFERROR(__xludf.DUMMYFUNCTION("""COMPUTED_VALUE"""),0.0)</f>
        <v>0</v>
      </c>
      <c r="AE274" s="96">
        <f>IFERROR(__xludf.DUMMYFUNCTION("""COMPUTED_VALUE"""),840.0)</f>
        <v>840</v>
      </c>
      <c r="AF274" s="96"/>
      <c r="AG274" s="99">
        <f>IFERROR(__xludf.DUMMYFUNCTION("""COMPUTED_VALUE"""),-2076480.0)</f>
        <v>-2076480</v>
      </c>
      <c r="AH274" s="96">
        <f>IFERROR(__xludf.DUMMYFUNCTION("""COMPUTED_VALUE"""),8.0)</f>
        <v>8</v>
      </c>
      <c r="AI274" s="96">
        <f>IFERROR(__xludf.DUMMYFUNCTION("""COMPUTED_VALUE"""),0.0)</f>
        <v>0</v>
      </c>
      <c r="AJ274" s="96">
        <f>IFERROR(__xludf.DUMMYFUNCTION("""COMPUTED_VALUE"""),39.0)</f>
        <v>39</v>
      </c>
      <c r="AK274" s="96">
        <f>IFERROR(__xludf.DUMMYFUNCTION("""COMPUTED_VALUE"""),15.0)</f>
        <v>15</v>
      </c>
      <c r="AL274" s="129">
        <f>IFERROR(__xludf.DUMMYFUNCTION("""COMPUTED_VALUE"""),2472.0)</f>
        <v>2472</v>
      </c>
      <c r="AM274" s="99">
        <f>IFERROR(__xludf.DUMMYFUNCTION("""COMPUTED_VALUE"""),2076480.0)</f>
        <v>2076480</v>
      </c>
    </row>
    <row r="275">
      <c r="V275" s="96">
        <f>IFERROR(__xludf.DUMMYFUNCTION("""COMPUTED_VALUE"""),6.0)</f>
        <v>6</v>
      </c>
      <c r="W275" s="98">
        <f>IFERROR(__xludf.DUMMYFUNCTION("""COMPUTED_VALUE"""),44067.0)</f>
        <v>44067</v>
      </c>
      <c r="X275" s="96" t="str">
        <f>IFERROR(__xludf.DUMMYFUNCTION("""COMPUTED_VALUE"""),"A. D. FREDERICK")</f>
        <v>A. D. FREDERICK</v>
      </c>
      <c r="Y275" s="96" t="str">
        <f>IFERROR(__xludf.DUMMYFUNCTION("""COMPUTED_VALUE"""),"A. D. FREDERICK6")</f>
        <v>A. D. FREDERICK6</v>
      </c>
      <c r="Z275" s="96">
        <f>IFERROR(__xludf.DUMMYFUNCTION("""COMPUTED_VALUE"""),623.0)</f>
        <v>623</v>
      </c>
      <c r="AA275" s="96">
        <f>IFERROR(__xludf.DUMMYFUNCTION("""COMPUTED_VALUE"""),80.0)</f>
        <v>80</v>
      </c>
      <c r="AB275" s="96"/>
      <c r="AC275" s="96">
        <f>IFERROR(__xludf.DUMMYFUNCTION("""COMPUTED_VALUE"""),10.0)</f>
        <v>10</v>
      </c>
      <c r="AD275" s="96">
        <f>IFERROR(__xludf.DUMMYFUNCTION("""COMPUTED_VALUE"""),0.0)</f>
        <v>0</v>
      </c>
      <c r="AE275" s="96">
        <f>IFERROR(__xludf.DUMMYFUNCTION("""COMPUTED_VALUE"""),830.0)</f>
        <v>830</v>
      </c>
      <c r="AF275" s="96"/>
      <c r="AG275" s="99">
        <f>IFERROR(__xludf.DUMMYFUNCTION("""COMPUTED_VALUE"""),-508790.0)</f>
        <v>-508790</v>
      </c>
      <c r="AH275" s="96">
        <f>IFERROR(__xludf.DUMMYFUNCTION("""COMPUTED_VALUE"""),8.0)</f>
        <v>8</v>
      </c>
      <c r="AI275" s="96">
        <f>IFERROR(__xludf.DUMMYFUNCTION("""COMPUTED_VALUE"""),0.0)</f>
        <v>0</v>
      </c>
      <c r="AJ275" s="96">
        <f>IFERROR(__xludf.DUMMYFUNCTION("""COMPUTED_VALUE"""),9.0)</f>
        <v>9</v>
      </c>
      <c r="AK275" s="96">
        <f>IFERROR(__xludf.DUMMYFUNCTION("""COMPUTED_VALUE"""),46.0)</f>
        <v>46</v>
      </c>
      <c r="AL275" s="129">
        <f>IFERROR(__xludf.DUMMYFUNCTION("""COMPUTED_VALUE"""),613.0)</f>
        <v>613</v>
      </c>
      <c r="AM275" s="99">
        <f>IFERROR(__xludf.DUMMYFUNCTION("""COMPUTED_VALUE"""),508790.0)</f>
        <v>508790</v>
      </c>
    </row>
    <row r="276">
      <c r="V276" s="96">
        <f>IFERROR(__xludf.DUMMYFUNCTION("""COMPUTED_VALUE"""),16.0)</f>
        <v>16</v>
      </c>
      <c r="W276" s="98">
        <f>IFERROR(__xludf.DUMMYFUNCTION("""COMPUTED_VALUE"""),44070.0)</f>
        <v>44070</v>
      </c>
      <c r="X276" s="96" t="str">
        <f>IFERROR(__xludf.DUMMYFUNCTION("""COMPUTED_VALUE"""),"CONNECT")</f>
        <v>CONNECT</v>
      </c>
      <c r="Y276" s="96" t="str">
        <f>IFERROR(__xludf.DUMMYFUNCTION("""COMPUTED_VALUE"""),"CONNECT16")</f>
        <v>CONNECT16</v>
      </c>
      <c r="Z276" s="96"/>
      <c r="AA276" s="96"/>
      <c r="AB276" s="96"/>
      <c r="AC276" s="96"/>
      <c r="AD276" s="96"/>
      <c r="AE276" s="96"/>
      <c r="AF276" s="96">
        <f>IFERROR(__xludf.DUMMYFUNCTION("""COMPUTED_VALUE"""),2000000.0)</f>
        <v>2000000</v>
      </c>
      <c r="AG276" s="99">
        <f>IFERROR(__xludf.DUMMYFUNCTION("""COMPUTED_VALUE"""),2000000.0)</f>
        <v>2000000</v>
      </c>
      <c r="AH276" s="96"/>
      <c r="AI276" s="96">
        <f>IFERROR(__xludf.DUMMYFUNCTION("""COMPUTED_VALUE"""),0.0)</f>
        <v>0</v>
      </c>
      <c r="AJ276" s="96">
        <f>IFERROR(__xludf.DUMMYFUNCTION("""COMPUTED_VALUE"""),0.0)</f>
        <v>0</v>
      </c>
      <c r="AK276" s="96">
        <f>IFERROR(__xludf.DUMMYFUNCTION("""COMPUTED_VALUE"""),0.0)</f>
        <v>0</v>
      </c>
      <c r="AL276" s="129">
        <f>IFERROR(__xludf.DUMMYFUNCTION("""COMPUTED_VALUE"""),0.0)</f>
        <v>0</v>
      </c>
      <c r="AM276" s="99"/>
    </row>
    <row r="277">
      <c r="V277" s="96">
        <f>IFERROR(__xludf.DUMMYFUNCTION("""COMPUTED_VALUE"""),5.0)</f>
        <v>5</v>
      </c>
      <c r="W277" s="98">
        <f>IFERROR(__xludf.DUMMYFUNCTION("""COMPUTED_VALUE"""),44070.0)</f>
        <v>44070</v>
      </c>
      <c r="X277" s="96" t="str">
        <f>IFERROR(__xludf.DUMMYFUNCTION("""COMPUTED_VALUE"""),"AUGUSTINE IGBA")</f>
        <v>AUGUSTINE IGBA</v>
      </c>
      <c r="Y277" s="96" t="str">
        <f>IFERROR(__xludf.DUMMYFUNCTION("""COMPUTED_VALUE"""),"AUGUSTINE IGBA5")</f>
        <v>AUGUSTINE IGBA5</v>
      </c>
      <c r="Z277" s="96"/>
      <c r="AA277" s="96"/>
      <c r="AB277" s="96"/>
      <c r="AC277" s="96"/>
      <c r="AD277" s="96"/>
      <c r="AE277" s="96"/>
      <c r="AF277" s="96">
        <f>IFERROR(__xludf.DUMMYFUNCTION("""COMPUTED_VALUE"""),2000000.0)</f>
        <v>2000000</v>
      </c>
      <c r="AG277" s="99">
        <f>IFERROR(__xludf.DUMMYFUNCTION("""COMPUTED_VALUE"""),2000000.0)</f>
        <v>2000000</v>
      </c>
      <c r="AH277" s="96"/>
      <c r="AI277" s="96">
        <f>IFERROR(__xludf.DUMMYFUNCTION("""COMPUTED_VALUE"""),0.0)</f>
        <v>0</v>
      </c>
      <c r="AJ277" s="96">
        <f>IFERROR(__xludf.DUMMYFUNCTION("""COMPUTED_VALUE"""),0.0)</f>
        <v>0</v>
      </c>
      <c r="AK277" s="96">
        <f>IFERROR(__xludf.DUMMYFUNCTION("""COMPUTED_VALUE"""),0.0)</f>
        <v>0</v>
      </c>
      <c r="AL277" s="129">
        <f>IFERROR(__xludf.DUMMYFUNCTION("""COMPUTED_VALUE"""),0.0)</f>
        <v>0</v>
      </c>
      <c r="AM277" s="99"/>
    </row>
    <row r="278">
      <c r="V278" s="96">
        <f>IFERROR(__xludf.DUMMYFUNCTION("""COMPUTED_VALUE"""),4.0)</f>
        <v>4</v>
      </c>
      <c r="W278" s="98">
        <f>IFERROR(__xludf.DUMMYFUNCTION("""COMPUTED_VALUE"""),44070.0)</f>
        <v>44070</v>
      </c>
      <c r="X278" s="96" t="str">
        <f>IFERROR(__xludf.DUMMYFUNCTION("""COMPUTED_VALUE"""),"OTU KOKO KEIBO")</f>
        <v>OTU KOKO KEIBO</v>
      </c>
      <c r="Y278" s="96" t="str">
        <f>IFERROR(__xludf.DUMMYFUNCTION("""COMPUTED_VALUE"""),"OTU KOKO KEIBO4")</f>
        <v>OTU KOKO KEIBO4</v>
      </c>
      <c r="Z278" s="96"/>
      <c r="AA278" s="96"/>
      <c r="AB278" s="96"/>
      <c r="AC278" s="96"/>
      <c r="AD278" s="96"/>
      <c r="AE278" s="96"/>
      <c r="AF278" s="96">
        <f>IFERROR(__xludf.DUMMYFUNCTION("""COMPUTED_VALUE"""),35000.0)</f>
        <v>35000</v>
      </c>
      <c r="AG278" s="99">
        <f>IFERROR(__xludf.DUMMYFUNCTION("""COMPUTED_VALUE"""),35000.0)</f>
        <v>35000</v>
      </c>
      <c r="AH278" s="96"/>
      <c r="AI278" s="96">
        <f>IFERROR(__xludf.DUMMYFUNCTION("""COMPUTED_VALUE"""),0.0)</f>
        <v>0</v>
      </c>
      <c r="AJ278" s="96">
        <f>IFERROR(__xludf.DUMMYFUNCTION("""COMPUTED_VALUE"""),0.0)</f>
        <v>0</v>
      </c>
      <c r="AK278" s="96">
        <f>IFERROR(__xludf.DUMMYFUNCTION("""COMPUTED_VALUE"""),0.0)</f>
        <v>0</v>
      </c>
      <c r="AL278" s="129">
        <f>IFERROR(__xludf.DUMMYFUNCTION("""COMPUTED_VALUE"""),0.0)</f>
        <v>0</v>
      </c>
      <c r="AM278" s="99"/>
    </row>
    <row r="279">
      <c r="V279" s="96">
        <f>IFERROR(__xludf.DUMMYFUNCTION("""COMPUTED_VALUE"""),1.0)</f>
        <v>1</v>
      </c>
      <c r="W279" s="98">
        <f>IFERROR(__xludf.DUMMYFUNCTION("""COMPUTED_VALUE"""),44069.0)</f>
        <v>44069</v>
      </c>
      <c r="X279" s="96" t="str">
        <f>IFERROR(__xludf.DUMMYFUNCTION("""COMPUTED_VALUE"""),"NDOMA PRIN")</f>
        <v>NDOMA PRIN</v>
      </c>
      <c r="Y279" s="96" t="str">
        <f>IFERROR(__xludf.DUMMYFUNCTION("""COMPUTED_VALUE"""),"NDOMA PRIN1")</f>
        <v>NDOMA PRIN1</v>
      </c>
      <c r="Z279" s="96">
        <f>IFERROR(__xludf.DUMMYFUNCTION("""COMPUTED_VALUE"""),135.0)</f>
        <v>135</v>
      </c>
      <c r="AA279" s="96">
        <f>IFERROR(__xludf.DUMMYFUNCTION("""COMPUTED_VALUE"""),26.5)</f>
        <v>26.5</v>
      </c>
      <c r="AB279" s="96"/>
      <c r="AC279" s="96">
        <f>IFERROR(__xludf.DUMMYFUNCTION("""COMPUTED_VALUE"""),2.0)</f>
        <v>2</v>
      </c>
      <c r="AD279" s="96"/>
      <c r="AE279" s="96">
        <f>IFERROR(__xludf.DUMMYFUNCTION("""COMPUTED_VALUE"""),800.0)</f>
        <v>800</v>
      </c>
      <c r="AF279" s="96"/>
      <c r="AG279" s="99">
        <f>IFERROR(__xludf.DUMMYFUNCTION("""COMPUTED_VALUE"""),-100800.0)</f>
        <v>-100800</v>
      </c>
      <c r="AH279" s="96">
        <f>IFERROR(__xludf.DUMMYFUNCTION("""COMPUTED_VALUE"""),13.25)</f>
        <v>13.25</v>
      </c>
      <c r="AI279" s="96">
        <f>IFERROR(__xludf.DUMMYFUNCTION("""COMPUTED_VALUE"""),7.0)</f>
        <v>7</v>
      </c>
      <c r="AJ279" s="96">
        <f>IFERROR(__xludf.DUMMYFUNCTION("""COMPUTED_VALUE"""),2.0)</f>
        <v>2</v>
      </c>
      <c r="AK279" s="96">
        <f>IFERROR(__xludf.DUMMYFUNCTION("""COMPUTED_VALUE"""),0.0)</f>
        <v>0</v>
      </c>
      <c r="AL279" s="129">
        <f>IFERROR(__xludf.DUMMYFUNCTION("""COMPUTED_VALUE"""),126.0)</f>
        <v>126</v>
      </c>
      <c r="AM279" s="99">
        <f>IFERROR(__xludf.DUMMYFUNCTION("""COMPUTED_VALUE"""),100800.0)</f>
        <v>100800</v>
      </c>
    </row>
    <row r="280">
      <c r="V280" s="96">
        <f>IFERROR(__xludf.DUMMYFUNCTION("""COMPUTED_VALUE"""),10.0)</f>
        <v>10</v>
      </c>
      <c r="W280" s="98">
        <f>IFERROR(__xludf.DUMMYFUNCTION("""COMPUTED_VALUE"""),44071.0)</f>
        <v>44071</v>
      </c>
      <c r="X280" s="96" t="str">
        <f>IFERROR(__xludf.DUMMYFUNCTION("""COMPUTED_VALUE"""),"ETUK EFFI")</f>
        <v>ETUK EFFI</v>
      </c>
      <c r="Y280" s="96" t="str">
        <f>IFERROR(__xludf.DUMMYFUNCTION("""COMPUTED_VALUE"""),"ETUK EFFI10")</f>
        <v>ETUK EFFI10</v>
      </c>
      <c r="Z280" s="96"/>
      <c r="AA280" s="96"/>
      <c r="AB280" s="96"/>
      <c r="AC280" s="96"/>
      <c r="AD280" s="96"/>
      <c r="AE280" s="96"/>
      <c r="AF280" s="96"/>
      <c r="AG280" s="99">
        <f>IFERROR(__xludf.DUMMYFUNCTION("""COMPUTED_VALUE"""),-592260.0)</f>
        <v>-592260</v>
      </c>
      <c r="AH280" s="96"/>
      <c r="AI280" s="96">
        <f>IFERROR(__xludf.DUMMYFUNCTION("""COMPUTED_VALUE"""),0.0)</f>
        <v>0</v>
      </c>
      <c r="AJ280" s="96">
        <f>IFERROR(__xludf.DUMMYFUNCTION("""COMPUTED_VALUE"""),0.0)</f>
        <v>0</v>
      </c>
      <c r="AK280" s="96">
        <f>IFERROR(__xludf.DUMMYFUNCTION("""COMPUTED_VALUE"""),0.0)</f>
        <v>0</v>
      </c>
      <c r="AL280" s="129">
        <f>IFERROR(__xludf.DUMMYFUNCTION("""COMPUTED_VALUE"""),0.0)</f>
        <v>0</v>
      </c>
      <c r="AM280" s="99">
        <f>IFERROR(__xludf.DUMMYFUNCTION("""COMPUTED_VALUE"""),592260.0)</f>
        <v>592260</v>
      </c>
    </row>
    <row r="281">
      <c r="V281" s="96">
        <f>IFERROR(__xludf.DUMMYFUNCTION("""COMPUTED_VALUE"""),5.0)</f>
        <v>5</v>
      </c>
      <c r="W281" s="98">
        <f>IFERROR(__xludf.DUMMYFUNCTION("""COMPUTED_VALUE"""),44071.0)</f>
        <v>44071</v>
      </c>
      <c r="X281" s="96" t="str">
        <f>IFERROR(__xludf.DUMMYFUNCTION("""COMPUTED_VALUE"""),"OTU KOKO KEIBO")</f>
        <v>OTU KOKO KEIBO</v>
      </c>
      <c r="Y281" s="96" t="str">
        <f>IFERROR(__xludf.DUMMYFUNCTION("""COMPUTED_VALUE"""),"OTU KOKO KEIBO5")</f>
        <v>OTU KOKO KEIBO5</v>
      </c>
      <c r="Z281" s="96"/>
      <c r="AA281" s="96"/>
      <c r="AB281" s="96"/>
      <c r="AC281" s="96"/>
      <c r="AD281" s="96"/>
      <c r="AE281" s="96"/>
      <c r="AF281" s="96">
        <f>IFERROR(__xludf.DUMMYFUNCTION("""COMPUTED_VALUE"""),50000.0)</f>
        <v>50000</v>
      </c>
      <c r="AG281" s="99">
        <f>IFERROR(__xludf.DUMMYFUNCTION("""COMPUTED_VALUE"""),50000.0)</f>
        <v>50000</v>
      </c>
      <c r="AH281" s="96"/>
      <c r="AI281" s="96">
        <f>IFERROR(__xludf.DUMMYFUNCTION("""COMPUTED_VALUE"""),0.0)</f>
        <v>0</v>
      </c>
      <c r="AJ281" s="96">
        <f>IFERROR(__xludf.DUMMYFUNCTION("""COMPUTED_VALUE"""),0.0)</f>
        <v>0</v>
      </c>
      <c r="AK281" s="96">
        <f>IFERROR(__xludf.DUMMYFUNCTION("""COMPUTED_VALUE"""),0.0)</f>
        <v>0</v>
      </c>
      <c r="AL281" s="129">
        <f>IFERROR(__xludf.DUMMYFUNCTION("""COMPUTED_VALUE"""),0.0)</f>
        <v>0</v>
      </c>
      <c r="AM281" s="99"/>
    </row>
    <row r="282">
      <c r="V282" s="96">
        <f>IFERROR(__xludf.DUMMYFUNCTION("""COMPUTED_VALUE"""),3.0)</f>
        <v>3</v>
      </c>
      <c r="W282" s="98">
        <f>IFERROR(__xludf.DUMMYFUNCTION("""COMPUTED_VALUE"""),44071.0)</f>
        <v>44071</v>
      </c>
      <c r="X282" s="96" t="str">
        <f>IFERROR(__xludf.DUMMYFUNCTION("""COMPUTED_VALUE"""),"NAOMI")</f>
        <v>NAOMI</v>
      </c>
      <c r="Y282" s="96" t="str">
        <f>IFERROR(__xludf.DUMMYFUNCTION("""COMPUTED_VALUE"""),"NAOMI3")</f>
        <v>NAOMI3</v>
      </c>
      <c r="Z282" s="96"/>
      <c r="AA282" s="96"/>
      <c r="AB282" s="96"/>
      <c r="AC282" s="96"/>
      <c r="AD282" s="96"/>
      <c r="AE282" s="96"/>
      <c r="AF282" s="96">
        <f>IFERROR(__xludf.DUMMYFUNCTION("""COMPUTED_VALUE"""),50000.0)</f>
        <v>50000</v>
      </c>
      <c r="AG282" s="99">
        <f>IFERROR(__xludf.DUMMYFUNCTION("""COMPUTED_VALUE"""),50000.0)</f>
        <v>50000</v>
      </c>
      <c r="AH282" s="96"/>
      <c r="AI282" s="96">
        <f>IFERROR(__xludf.DUMMYFUNCTION("""COMPUTED_VALUE"""),0.0)</f>
        <v>0</v>
      </c>
      <c r="AJ282" s="96">
        <f>IFERROR(__xludf.DUMMYFUNCTION("""COMPUTED_VALUE"""),0.0)</f>
        <v>0</v>
      </c>
      <c r="AK282" s="96">
        <f>IFERROR(__xludf.DUMMYFUNCTION("""COMPUTED_VALUE"""),0.0)</f>
        <v>0</v>
      </c>
      <c r="AL282" s="129">
        <f>IFERROR(__xludf.DUMMYFUNCTION("""COMPUTED_VALUE"""),0.0)</f>
        <v>0</v>
      </c>
      <c r="AM282" s="99"/>
    </row>
    <row r="283">
      <c r="V283" s="96">
        <f>IFERROR(__xludf.DUMMYFUNCTION("""COMPUTED_VALUE"""),19.0)</f>
        <v>19</v>
      </c>
      <c r="W283" s="98">
        <f>IFERROR(__xludf.DUMMYFUNCTION("""COMPUTED_VALUE"""),44071.0)</f>
        <v>44071</v>
      </c>
      <c r="X283" s="96" t="str">
        <f>IFERROR(__xludf.DUMMYFUNCTION("""COMPUTED_VALUE"""),"RECTOR W.")</f>
        <v>RECTOR W.</v>
      </c>
      <c r="Y283" s="96" t="str">
        <f>IFERROR(__xludf.DUMMYFUNCTION("""COMPUTED_VALUE"""),"RECTOR W.19")</f>
        <v>RECTOR W.19</v>
      </c>
      <c r="Z283" s="96"/>
      <c r="AA283" s="96"/>
      <c r="AB283" s="96"/>
      <c r="AC283" s="96"/>
      <c r="AD283" s="96"/>
      <c r="AE283" s="96"/>
      <c r="AF283" s="96">
        <f>IFERROR(__xludf.DUMMYFUNCTION("""COMPUTED_VALUE"""),100000.0)</f>
        <v>100000</v>
      </c>
      <c r="AG283" s="99">
        <f>IFERROR(__xludf.DUMMYFUNCTION("""COMPUTED_VALUE"""),100000.0)</f>
        <v>100000</v>
      </c>
      <c r="AH283" s="96"/>
      <c r="AI283" s="96">
        <f>IFERROR(__xludf.DUMMYFUNCTION("""COMPUTED_VALUE"""),0.0)</f>
        <v>0</v>
      </c>
      <c r="AJ283" s="96">
        <f>IFERROR(__xludf.DUMMYFUNCTION("""COMPUTED_VALUE"""),0.0)</f>
        <v>0</v>
      </c>
      <c r="AK283" s="96">
        <f>IFERROR(__xludf.DUMMYFUNCTION("""COMPUTED_VALUE"""),0.0)</f>
        <v>0</v>
      </c>
      <c r="AL283" s="129">
        <f>IFERROR(__xludf.DUMMYFUNCTION("""COMPUTED_VALUE"""),0.0)</f>
        <v>0</v>
      </c>
      <c r="AM283" s="99"/>
    </row>
    <row r="284">
      <c r="V284" s="96">
        <f>IFERROR(__xludf.DUMMYFUNCTION("""COMPUTED_VALUE"""),2.0)</f>
        <v>2</v>
      </c>
      <c r="W284" s="98">
        <f>IFERROR(__xludf.DUMMYFUNCTION("""COMPUTED_VALUE"""),44071.0)</f>
        <v>44071</v>
      </c>
      <c r="X284" s="96" t="str">
        <f>IFERROR(__xludf.DUMMYFUNCTION("""COMPUTED_VALUE"""),"NDOMA PRIN")</f>
        <v>NDOMA PRIN</v>
      </c>
      <c r="Y284" s="96" t="str">
        <f>IFERROR(__xludf.DUMMYFUNCTION("""COMPUTED_VALUE"""),"NDOMA PRIN2")</f>
        <v>NDOMA PRIN2</v>
      </c>
      <c r="Z284" s="96"/>
      <c r="AA284" s="96"/>
      <c r="AB284" s="96"/>
      <c r="AC284" s="96"/>
      <c r="AD284" s="96"/>
      <c r="AE284" s="96"/>
      <c r="AF284" s="96">
        <f>IFERROR(__xludf.DUMMYFUNCTION("""COMPUTED_VALUE"""),159000.0)</f>
        <v>159000</v>
      </c>
      <c r="AG284" s="99">
        <f>IFERROR(__xludf.DUMMYFUNCTION("""COMPUTED_VALUE"""),159000.0)</f>
        <v>159000</v>
      </c>
      <c r="AH284" s="96"/>
      <c r="AI284" s="96">
        <f>IFERROR(__xludf.DUMMYFUNCTION("""COMPUTED_VALUE"""),0.0)</f>
        <v>0</v>
      </c>
      <c r="AJ284" s="96">
        <f>IFERROR(__xludf.DUMMYFUNCTION("""COMPUTED_VALUE"""),0.0)</f>
        <v>0</v>
      </c>
      <c r="AK284" s="96">
        <f>IFERROR(__xludf.DUMMYFUNCTION("""COMPUTED_VALUE"""),0.0)</f>
        <v>0</v>
      </c>
      <c r="AL284" s="129">
        <f>IFERROR(__xludf.DUMMYFUNCTION("""COMPUTED_VALUE"""),0.0)</f>
        <v>0</v>
      </c>
      <c r="AM284" s="99"/>
    </row>
    <row r="285">
      <c r="V285" s="96">
        <f>IFERROR(__xludf.DUMMYFUNCTION("""COMPUTED_VALUE"""),6.0)</f>
        <v>6</v>
      </c>
      <c r="W285" s="98">
        <f>IFERROR(__xludf.DUMMYFUNCTION("""COMPUTED_VALUE"""),44072.0)</f>
        <v>44072</v>
      </c>
      <c r="X285" s="96" t="str">
        <f>IFERROR(__xludf.DUMMYFUNCTION("""COMPUTED_VALUE"""),"OTU KOKO KEIBO")</f>
        <v>OTU KOKO KEIBO</v>
      </c>
      <c r="Y285" s="96" t="str">
        <f>IFERROR(__xludf.DUMMYFUNCTION("""COMPUTED_VALUE"""),"OTU KOKO KEIBO6")</f>
        <v>OTU KOKO KEIBO6</v>
      </c>
      <c r="Z285" s="96"/>
      <c r="AA285" s="96"/>
      <c r="AB285" s="96"/>
      <c r="AC285" s="96"/>
      <c r="AD285" s="96"/>
      <c r="AE285" s="96"/>
      <c r="AF285" s="96">
        <f>IFERROR(__xludf.DUMMYFUNCTION("""COMPUTED_VALUE"""),5000.0)</f>
        <v>5000</v>
      </c>
      <c r="AG285" s="99">
        <f>IFERROR(__xludf.DUMMYFUNCTION("""COMPUTED_VALUE"""),5000.0)</f>
        <v>5000</v>
      </c>
      <c r="AH285" s="96"/>
      <c r="AI285" s="96">
        <f>IFERROR(__xludf.DUMMYFUNCTION("""COMPUTED_VALUE"""),0.0)</f>
        <v>0</v>
      </c>
      <c r="AJ285" s="96">
        <f>IFERROR(__xludf.DUMMYFUNCTION("""COMPUTED_VALUE"""),0.0)</f>
        <v>0</v>
      </c>
      <c r="AK285" s="96">
        <f>IFERROR(__xludf.DUMMYFUNCTION("""COMPUTED_VALUE"""),0.0)</f>
        <v>0</v>
      </c>
      <c r="AL285" s="129">
        <f>IFERROR(__xludf.DUMMYFUNCTION("""COMPUTED_VALUE"""),0.0)</f>
        <v>0</v>
      </c>
      <c r="AM285" s="99"/>
    </row>
    <row r="286">
      <c r="V286" s="96">
        <f>IFERROR(__xludf.DUMMYFUNCTION("""COMPUTED_VALUE"""),6.0)</f>
        <v>6</v>
      </c>
      <c r="W286" s="98">
        <f>IFERROR(__xludf.DUMMYFUNCTION("""COMPUTED_VALUE"""),44074.0)</f>
        <v>44074</v>
      </c>
      <c r="X286" s="96" t="str">
        <f>IFERROR(__xludf.DUMMYFUNCTION("""COMPUTED_VALUE"""),"REMMY BODES")</f>
        <v>REMMY BODES</v>
      </c>
      <c r="Y286" s="96" t="str">
        <f>IFERROR(__xludf.DUMMYFUNCTION("""COMPUTED_VALUE"""),"REMMY BODES6")</f>
        <v>REMMY BODES6</v>
      </c>
      <c r="Z286" s="96"/>
      <c r="AA286" s="96"/>
      <c r="AB286" s="96"/>
      <c r="AC286" s="96"/>
      <c r="AD286" s="96"/>
      <c r="AE286" s="96"/>
      <c r="AF286" s="96">
        <f>IFERROR(__xludf.DUMMYFUNCTION("""COMPUTED_VALUE"""),220000.0)</f>
        <v>220000</v>
      </c>
      <c r="AG286" s="99">
        <f>IFERROR(__xludf.DUMMYFUNCTION("""COMPUTED_VALUE"""),220000.0)</f>
        <v>220000</v>
      </c>
      <c r="AH286" s="96"/>
      <c r="AI286" s="96">
        <f>IFERROR(__xludf.DUMMYFUNCTION("""COMPUTED_VALUE"""),0.0)</f>
        <v>0</v>
      </c>
      <c r="AJ286" s="96">
        <f>IFERROR(__xludf.DUMMYFUNCTION("""COMPUTED_VALUE"""),0.0)</f>
        <v>0</v>
      </c>
      <c r="AK286" s="96">
        <f>IFERROR(__xludf.DUMMYFUNCTION("""COMPUTED_VALUE"""),0.0)</f>
        <v>0</v>
      </c>
      <c r="AL286" s="129">
        <f>IFERROR(__xludf.DUMMYFUNCTION("""COMPUTED_VALUE"""),0.0)</f>
        <v>0</v>
      </c>
      <c r="AM286" s="99"/>
    </row>
    <row r="287">
      <c r="V287" s="96">
        <f>IFERROR(__xludf.DUMMYFUNCTION("""COMPUTED_VALUE"""),19.0)</f>
        <v>19</v>
      </c>
      <c r="W287" s="98">
        <f>IFERROR(__xludf.DUMMYFUNCTION("""COMPUTED_VALUE"""),44074.0)</f>
        <v>44074</v>
      </c>
      <c r="X287" s="96" t="str">
        <f>IFERROR(__xludf.DUMMYFUNCTION("""COMPUTED_VALUE"""),"LYDIA HNSON ")</f>
        <v>LYDIA HNSON </v>
      </c>
      <c r="Y287" s="96" t="str">
        <f>IFERROR(__xludf.DUMMYFUNCTION("""COMPUTED_VALUE"""),"LYDIA HNSON 19")</f>
        <v>LYDIA HNSON 19</v>
      </c>
      <c r="Z287" s="96"/>
      <c r="AA287" s="96"/>
      <c r="AB287" s="96"/>
      <c r="AC287" s="96"/>
      <c r="AD287" s="96"/>
      <c r="AE287" s="96"/>
      <c r="AF287" s="96">
        <f>IFERROR(__xludf.DUMMYFUNCTION("""COMPUTED_VALUE"""),35000.0)</f>
        <v>35000</v>
      </c>
      <c r="AG287" s="99">
        <f>IFERROR(__xludf.DUMMYFUNCTION("""COMPUTED_VALUE"""),35000.0)</f>
        <v>35000</v>
      </c>
      <c r="AH287" s="96"/>
      <c r="AI287" s="96">
        <f>IFERROR(__xludf.DUMMYFUNCTION("""COMPUTED_VALUE"""),0.0)</f>
        <v>0</v>
      </c>
      <c r="AJ287" s="96">
        <f>IFERROR(__xludf.DUMMYFUNCTION("""COMPUTED_VALUE"""),0.0)</f>
        <v>0</v>
      </c>
      <c r="AK287" s="96">
        <f>IFERROR(__xludf.DUMMYFUNCTION("""COMPUTED_VALUE"""),0.0)</f>
        <v>0</v>
      </c>
      <c r="AL287" s="129">
        <f>IFERROR(__xludf.DUMMYFUNCTION("""COMPUTED_VALUE"""),0.0)</f>
        <v>0</v>
      </c>
      <c r="AM287" s="99"/>
    </row>
    <row r="288">
      <c r="V288" s="96">
        <f>IFERROR(__xludf.DUMMYFUNCTION("""COMPUTED_VALUE"""),1.0)</f>
        <v>1</v>
      </c>
      <c r="W288" s="98">
        <f>IFERROR(__xludf.DUMMYFUNCTION("""COMPUTED_VALUE"""),44074.0)</f>
        <v>44074</v>
      </c>
      <c r="X288" s="96" t="str">
        <f>IFERROR(__xludf.DUMMYFUNCTION("""COMPUTED_VALUE"""),"SEPH LOVE")</f>
        <v>SEPH LOVE</v>
      </c>
      <c r="Y288" s="96" t="str">
        <f>IFERROR(__xludf.DUMMYFUNCTION("""COMPUTED_VALUE"""),"SEPH LOVE1")</f>
        <v>SEPH LOVE1</v>
      </c>
      <c r="Z288" s="96"/>
      <c r="AA288" s="96"/>
      <c r="AB288" s="96"/>
      <c r="AC288" s="96"/>
      <c r="AD288" s="96"/>
      <c r="AE288" s="96"/>
      <c r="AF288" s="96">
        <f>IFERROR(__xludf.DUMMYFUNCTION("""COMPUTED_VALUE"""),2500000.0)</f>
        <v>2500000</v>
      </c>
      <c r="AG288" s="99">
        <f>IFERROR(__xludf.DUMMYFUNCTION("""COMPUTED_VALUE"""),2500000.0)</f>
        <v>2500000</v>
      </c>
      <c r="AH288" s="96"/>
      <c r="AI288" s="96">
        <f>IFERROR(__xludf.DUMMYFUNCTION("""COMPUTED_VALUE"""),0.0)</f>
        <v>0</v>
      </c>
      <c r="AJ288" s="96">
        <f>IFERROR(__xludf.DUMMYFUNCTION("""COMPUTED_VALUE"""),0.0)</f>
        <v>0</v>
      </c>
      <c r="AK288" s="96">
        <f>IFERROR(__xludf.DUMMYFUNCTION("""COMPUTED_VALUE"""),0.0)</f>
        <v>0</v>
      </c>
      <c r="AL288" s="129">
        <f>IFERROR(__xludf.DUMMYFUNCTION("""COMPUTED_VALUE"""),0.0)</f>
        <v>0</v>
      </c>
      <c r="AM288" s="99"/>
    </row>
    <row r="289">
      <c r="V289" s="96">
        <f>IFERROR(__xludf.DUMMYFUNCTION("""COMPUTED_VALUE"""),7.0)</f>
        <v>7</v>
      </c>
      <c r="W289" s="98">
        <f>IFERROR(__xludf.DUMMYFUNCTION("""COMPUTED_VALUE"""),44075.0)</f>
        <v>44075</v>
      </c>
      <c r="X289" s="96" t="str">
        <f>IFERROR(__xludf.DUMMYFUNCTION("""COMPUTED_VALUE"""),"A. D. FREDERICK")</f>
        <v>A. D. FREDERICK</v>
      </c>
      <c r="Y289" s="96" t="str">
        <f>IFERROR(__xludf.DUMMYFUNCTION("""COMPUTED_VALUE"""),"A. D. FREDERICK7")</f>
        <v>A. D. FREDERICK7</v>
      </c>
      <c r="Z289" s="96"/>
      <c r="AA289" s="96"/>
      <c r="AB289" s="96"/>
      <c r="AC289" s="96"/>
      <c r="AD289" s="96"/>
      <c r="AE289" s="96"/>
      <c r="AF289" s="96">
        <f>IFERROR(__xludf.DUMMYFUNCTION("""COMPUTED_VALUE"""),1105000.0)</f>
        <v>1105000</v>
      </c>
      <c r="AG289" s="99">
        <f>IFERROR(__xludf.DUMMYFUNCTION("""COMPUTED_VALUE"""),1105000.0)</f>
        <v>1105000</v>
      </c>
      <c r="AH289" s="96"/>
      <c r="AI289" s="96">
        <f>IFERROR(__xludf.DUMMYFUNCTION("""COMPUTED_VALUE"""),0.0)</f>
        <v>0</v>
      </c>
      <c r="AJ289" s="96">
        <f>IFERROR(__xludf.DUMMYFUNCTION("""COMPUTED_VALUE"""),0.0)</f>
        <v>0</v>
      </c>
      <c r="AK289" s="96">
        <f>IFERROR(__xludf.DUMMYFUNCTION("""COMPUTED_VALUE"""),0.0)</f>
        <v>0</v>
      </c>
      <c r="AL289" s="129">
        <f>IFERROR(__xludf.DUMMYFUNCTION("""COMPUTED_VALUE"""),0.0)</f>
        <v>0</v>
      </c>
      <c r="AM289" s="99"/>
    </row>
    <row r="290">
      <c r="V290" s="96">
        <f>IFERROR(__xludf.DUMMYFUNCTION("""COMPUTED_VALUE"""),7.0)</f>
        <v>7</v>
      </c>
      <c r="W290" s="98">
        <f>IFERROR(__xludf.DUMMYFUNCTION("""COMPUTED_VALUE"""),44075.0)</f>
        <v>44075</v>
      </c>
      <c r="X290" s="96" t="str">
        <f>IFERROR(__xludf.DUMMYFUNCTION("""COMPUTED_VALUE"""),"OTU KOKO KEIBO")</f>
        <v>OTU KOKO KEIBO</v>
      </c>
      <c r="Y290" s="96" t="str">
        <f>IFERROR(__xludf.DUMMYFUNCTION("""COMPUTED_VALUE"""),"OTU KOKO KEIBO7")</f>
        <v>OTU KOKO KEIBO7</v>
      </c>
      <c r="Z290" s="96"/>
      <c r="AA290" s="96"/>
      <c r="AB290" s="96"/>
      <c r="AC290" s="96"/>
      <c r="AD290" s="96"/>
      <c r="AE290" s="96"/>
      <c r="AF290" s="96">
        <f>IFERROR(__xludf.DUMMYFUNCTION("""COMPUTED_VALUE"""),20000.0)</f>
        <v>20000</v>
      </c>
      <c r="AG290" s="99">
        <f>IFERROR(__xludf.DUMMYFUNCTION("""COMPUTED_VALUE"""),20000.0)</f>
        <v>20000</v>
      </c>
      <c r="AH290" s="96"/>
      <c r="AI290" s="96">
        <f>IFERROR(__xludf.DUMMYFUNCTION("""COMPUTED_VALUE"""),0.0)</f>
        <v>0</v>
      </c>
      <c r="AJ290" s="96">
        <f>IFERROR(__xludf.DUMMYFUNCTION("""COMPUTED_VALUE"""),0.0)</f>
        <v>0</v>
      </c>
      <c r="AK290" s="96">
        <f>IFERROR(__xludf.DUMMYFUNCTION("""COMPUTED_VALUE"""),0.0)</f>
        <v>0</v>
      </c>
      <c r="AL290" s="129">
        <f>IFERROR(__xludf.DUMMYFUNCTION("""COMPUTED_VALUE"""),0.0)</f>
        <v>0</v>
      </c>
      <c r="AM290" s="99"/>
    </row>
    <row r="291">
      <c r="V291" s="96">
        <f>IFERROR(__xludf.DUMMYFUNCTION("""COMPUTED_VALUE"""),6.0)</f>
        <v>6</v>
      </c>
      <c r="W291" s="98">
        <f>IFERROR(__xludf.DUMMYFUNCTION("""COMPUTED_VALUE"""),44075.0)</f>
        <v>44075</v>
      </c>
      <c r="X291" s="96" t="str">
        <f>IFERROR(__xludf.DUMMYFUNCTION("""COMPUTED_VALUE"""),"EMMANUEL OKO ")</f>
        <v>EMMANUEL OKO </v>
      </c>
      <c r="Y291" s="96" t="str">
        <f>IFERROR(__xludf.DUMMYFUNCTION("""COMPUTED_VALUE"""),"EMMANUEL OKO 6")</f>
        <v>EMMANUEL OKO 6</v>
      </c>
      <c r="Z291" s="96"/>
      <c r="AA291" s="96"/>
      <c r="AB291" s="96"/>
      <c r="AC291" s="96"/>
      <c r="AD291" s="96"/>
      <c r="AE291" s="96"/>
      <c r="AF291" s="96">
        <f>IFERROR(__xludf.DUMMYFUNCTION("""COMPUTED_VALUE"""),936000.0)</f>
        <v>936000</v>
      </c>
      <c r="AG291" s="99">
        <f>IFERROR(__xludf.DUMMYFUNCTION("""COMPUTED_VALUE"""),936000.0)</f>
        <v>936000</v>
      </c>
      <c r="AH291" s="96"/>
      <c r="AI291" s="96">
        <f>IFERROR(__xludf.DUMMYFUNCTION("""COMPUTED_VALUE"""),0.0)</f>
        <v>0</v>
      </c>
      <c r="AJ291" s="96">
        <f>IFERROR(__xludf.DUMMYFUNCTION("""COMPUTED_VALUE"""),0.0)</f>
        <v>0</v>
      </c>
      <c r="AK291" s="96">
        <f>IFERROR(__xludf.DUMMYFUNCTION("""COMPUTED_VALUE"""),0.0)</f>
        <v>0</v>
      </c>
      <c r="AL291" s="129">
        <f>IFERROR(__xludf.DUMMYFUNCTION("""COMPUTED_VALUE"""),0.0)</f>
        <v>0</v>
      </c>
      <c r="AM291" s="99"/>
    </row>
    <row r="292">
      <c r="V292" s="96">
        <f>IFERROR(__xludf.DUMMYFUNCTION("""COMPUTED_VALUE"""),8.0)</f>
        <v>8</v>
      </c>
      <c r="W292" s="98">
        <f>IFERROR(__xludf.DUMMYFUNCTION("""COMPUTED_VALUE"""),44077.0)</f>
        <v>44077</v>
      </c>
      <c r="X292" s="96" t="str">
        <f>IFERROR(__xludf.DUMMYFUNCTION("""COMPUTED_VALUE"""),"BOSURU  BOSURU")</f>
        <v>BOSURU  BOSURU</v>
      </c>
      <c r="Y292" s="96" t="str">
        <f>IFERROR(__xludf.DUMMYFUNCTION("""COMPUTED_VALUE"""),"BOSURU  BOSURU8")</f>
        <v>BOSURU  BOSURU8</v>
      </c>
      <c r="Z292" s="96"/>
      <c r="AA292" s="96"/>
      <c r="AB292" s="96"/>
      <c r="AC292" s="96"/>
      <c r="AD292" s="96"/>
      <c r="AE292" s="96"/>
      <c r="AF292" s="96">
        <f>IFERROR(__xludf.DUMMYFUNCTION("""COMPUTED_VALUE"""),500000.0)</f>
        <v>500000</v>
      </c>
      <c r="AG292" s="99">
        <f>IFERROR(__xludf.DUMMYFUNCTION("""COMPUTED_VALUE"""),500000.0)</f>
        <v>500000</v>
      </c>
      <c r="AH292" s="96"/>
      <c r="AI292" s="96">
        <f>IFERROR(__xludf.DUMMYFUNCTION("""COMPUTED_VALUE"""),0.0)</f>
        <v>0</v>
      </c>
      <c r="AJ292" s="96">
        <f>IFERROR(__xludf.DUMMYFUNCTION("""COMPUTED_VALUE"""),0.0)</f>
        <v>0</v>
      </c>
      <c r="AK292" s="96">
        <f>IFERROR(__xludf.DUMMYFUNCTION("""COMPUTED_VALUE"""),0.0)</f>
        <v>0</v>
      </c>
      <c r="AL292" s="129">
        <f>IFERROR(__xludf.DUMMYFUNCTION("""COMPUTED_VALUE"""),0.0)</f>
        <v>0</v>
      </c>
      <c r="AM292" s="99"/>
    </row>
    <row r="293">
      <c r="V293" s="96">
        <f>IFERROR(__xludf.DUMMYFUNCTION("""COMPUTED_VALUE"""),6.0)</f>
        <v>6</v>
      </c>
      <c r="W293" s="98">
        <f>IFERROR(__xludf.DUMMYFUNCTION("""COMPUTED_VALUE"""),44077.0)</f>
        <v>44077</v>
      </c>
      <c r="X293" s="96" t="str">
        <f>IFERROR(__xludf.DUMMYFUNCTION("""COMPUTED_VALUE"""),"NDOMA PETER")</f>
        <v>NDOMA PETER</v>
      </c>
      <c r="Y293" s="96" t="str">
        <f>IFERROR(__xludf.DUMMYFUNCTION("""COMPUTED_VALUE"""),"NDOMA PETER6")</f>
        <v>NDOMA PETER6</v>
      </c>
      <c r="Z293" s="96">
        <f>IFERROR(__xludf.DUMMYFUNCTION("""COMPUTED_VALUE"""),768.0)</f>
        <v>768</v>
      </c>
      <c r="AA293" s="96">
        <f>IFERROR(__xludf.DUMMYFUNCTION("""COMPUTED_VALUE"""),96.0)</f>
        <v>96</v>
      </c>
      <c r="AB293" s="96"/>
      <c r="AC293" s="96">
        <f>IFERROR(__xludf.DUMMYFUNCTION("""COMPUTED_VALUE"""),12.0)</f>
        <v>12</v>
      </c>
      <c r="AD293" s="96"/>
      <c r="AE293" s="96">
        <f>IFERROR(__xludf.DUMMYFUNCTION("""COMPUTED_VALUE"""),839.95)</f>
        <v>839.95</v>
      </c>
      <c r="AF293" s="96"/>
      <c r="AG293" s="99">
        <f>IFERROR(__xludf.DUMMYFUNCTION("""COMPUTED_VALUE"""),-635000.0)</f>
        <v>-635000</v>
      </c>
      <c r="AH293" s="96">
        <f>IFERROR(__xludf.DUMMYFUNCTION("""COMPUTED_VALUE"""),8.0)</f>
        <v>8</v>
      </c>
      <c r="AI293" s="96">
        <f>IFERROR(__xludf.DUMMYFUNCTION("""COMPUTED_VALUE"""),0.0)</f>
        <v>0</v>
      </c>
      <c r="AJ293" s="96">
        <f>IFERROR(__xludf.DUMMYFUNCTION("""COMPUTED_VALUE"""),12.0)</f>
        <v>12</v>
      </c>
      <c r="AK293" s="96">
        <f>IFERROR(__xludf.DUMMYFUNCTION("""COMPUTED_VALUE"""),0.0)</f>
        <v>0</v>
      </c>
      <c r="AL293" s="129">
        <f>IFERROR(__xludf.DUMMYFUNCTION("""COMPUTED_VALUE"""),756.0)</f>
        <v>756</v>
      </c>
      <c r="AM293" s="99">
        <f>IFERROR(__xludf.DUMMYFUNCTION("""COMPUTED_VALUE"""),635000.0)</f>
        <v>635000</v>
      </c>
    </row>
    <row r="294">
      <c r="V294" s="96">
        <f>IFERROR(__xludf.DUMMYFUNCTION("""COMPUTED_VALUE"""),7.0)</f>
        <v>7</v>
      </c>
      <c r="W294" s="98">
        <f>IFERROR(__xludf.DUMMYFUNCTION("""COMPUTED_VALUE"""),44077.0)</f>
        <v>44077</v>
      </c>
      <c r="X294" s="96" t="str">
        <f>IFERROR(__xludf.DUMMYFUNCTION("""COMPUTED_VALUE"""),"NDOMA PETER")</f>
        <v>NDOMA PETER</v>
      </c>
      <c r="Y294" s="96" t="str">
        <f>IFERROR(__xludf.DUMMYFUNCTION("""COMPUTED_VALUE"""),"NDOMA PETER7")</f>
        <v>NDOMA PETER7</v>
      </c>
      <c r="Z294" s="96"/>
      <c r="AA294" s="96"/>
      <c r="AB294" s="96"/>
      <c r="AC294" s="96"/>
      <c r="AD294" s="96"/>
      <c r="AE294" s="96"/>
      <c r="AF294" s="96">
        <f>IFERROR(__xludf.DUMMYFUNCTION("""COMPUTED_VALUE"""),635000.0)</f>
        <v>635000</v>
      </c>
      <c r="AG294" s="99">
        <f>IFERROR(__xludf.DUMMYFUNCTION("""COMPUTED_VALUE"""),635000.0)</f>
        <v>635000</v>
      </c>
      <c r="AH294" s="96"/>
      <c r="AI294" s="96">
        <f>IFERROR(__xludf.DUMMYFUNCTION("""COMPUTED_VALUE"""),0.0)</f>
        <v>0</v>
      </c>
      <c r="AJ294" s="96">
        <f>IFERROR(__xludf.DUMMYFUNCTION("""COMPUTED_VALUE"""),0.0)</f>
        <v>0</v>
      </c>
      <c r="AK294" s="96">
        <f>IFERROR(__xludf.DUMMYFUNCTION("""COMPUTED_VALUE"""),0.0)</f>
        <v>0</v>
      </c>
      <c r="AL294" s="129">
        <f>IFERROR(__xludf.DUMMYFUNCTION("""COMPUTED_VALUE"""),0.0)</f>
        <v>0</v>
      </c>
      <c r="AM294" s="99"/>
    </row>
    <row r="295">
      <c r="V295" s="96">
        <f>IFERROR(__xludf.DUMMYFUNCTION("""COMPUTED_VALUE"""),16.0)</f>
        <v>16</v>
      </c>
      <c r="W295" s="98">
        <f>IFERROR(__xludf.DUMMYFUNCTION("""COMPUTED_VALUE"""),44078.0)</f>
        <v>44078</v>
      </c>
      <c r="X295" s="96" t="str">
        <f>IFERROR(__xludf.DUMMYFUNCTION("""COMPUTED_VALUE"""),"LIVINUS")</f>
        <v>LIVINUS</v>
      </c>
      <c r="Y295" s="96" t="str">
        <f>IFERROR(__xludf.DUMMYFUNCTION("""COMPUTED_VALUE"""),"LIVINUS16")</f>
        <v>LIVINUS16</v>
      </c>
      <c r="Z295" s="96"/>
      <c r="AA295" s="96"/>
      <c r="AB295" s="96"/>
      <c r="AC295" s="96"/>
      <c r="AD295" s="96"/>
      <c r="AE295" s="96"/>
      <c r="AF295" s="96">
        <f>IFERROR(__xludf.DUMMYFUNCTION("""COMPUTED_VALUE"""),1000000.0)</f>
        <v>1000000</v>
      </c>
      <c r="AG295" s="99">
        <f>IFERROR(__xludf.DUMMYFUNCTION("""COMPUTED_VALUE"""),1000000.0)</f>
        <v>1000000</v>
      </c>
      <c r="AH295" s="96"/>
      <c r="AI295" s="96">
        <f>IFERROR(__xludf.DUMMYFUNCTION("""COMPUTED_VALUE"""),0.0)</f>
        <v>0</v>
      </c>
      <c r="AJ295" s="96">
        <f>IFERROR(__xludf.DUMMYFUNCTION("""COMPUTED_VALUE"""),0.0)</f>
        <v>0</v>
      </c>
      <c r="AK295" s="96">
        <f>IFERROR(__xludf.DUMMYFUNCTION("""COMPUTED_VALUE"""),0.0)</f>
        <v>0</v>
      </c>
      <c r="AL295" s="129">
        <f>IFERROR(__xludf.DUMMYFUNCTION("""COMPUTED_VALUE"""),0.0)</f>
        <v>0</v>
      </c>
      <c r="AM295" s="99"/>
    </row>
    <row r="296">
      <c r="V296" s="96">
        <f>IFERROR(__xludf.DUMMYFUNCTION("""COMPUTED_VALUE"""),9.0)</f>
        <v>9</v>
      </c>
      <c r="W296" s="98">
        <f>IFERROR(__xludf.DUMMYFUNCTION("""COMPUTED_VALUE"""),44081.0)</f>
        <v>44081</v>
      </c>
      <c r="X296" s="96" t="str">
        <f>IFERROR(__xludf.DUMMYFUNCTION("""COMPUTED_VALUE"""),"BOSURU  BOSURU")</f>
        <v>BOSURU  BOSURU</v>
      </c>
      <c r="Y296" s="96" t="str">
        <f>IFERROR(__xludf.DUMMYFUNCTION("""COMPUTED_VALUE"""),"BOSURU  BOSURU9")</f>
        <v>BOSURU  BOSURU9</v>
      </c>
      <c r="Z296" s="96"/>
      <c r="AA296" s="96"/>
      <c r="AB296" s="96"/>
      <c r="AC296" s="96"/>
      <c r="AD296" s="96"/>
      <c r="AE296" s="96"/>
      <c r="AF296" s="96">
        <f>IFERROR(__xludf.DUMMYFUNCTION("""COMPUTED_VALUE"""),20000.0)</f>
        <v>20000</v>
      </c>
      <c r="AG296" s="99">
        <f>IFERROR(__xludf.DUMMYFUNCTION("""COMPUTED_VALUE"""),20000.0)</f>
        <v>20000</v>
      </c>
      <c r="AH296" s="96"/>
      <c r="AI296" s="96">
        <f>IFERROR(__xludf.DUMMYFUNCTION("""COMPUTED_VALUE"""),0.0)</f>
        <v>0</v>
      </c>
      <c r="AJ296" s="96">
        <f>IFERROR(__xludf.DUMMYFUNCTION("""COMPUTED_VALUE"""),0.0)</f>
        <v>0</v>
      </c>
      <c r="AK296" s="96">
        <f>IFERROR(__xludf.DUMMYFUNCTION("""COMPUTED_VALUE"""),0.0)</f>
        <v>0</v>
      </c>
      <c r="AL296" s="129">
        <f>IFERROR(__xludf.DUMMYFUNCTION("""COMPUTED_VALUE"""),0.0)</f>
        <v>0</v>
      </c>
      <c r="AM296" s="99"/>
    </row>
    <row r="297">
      <c r="V297" s="96">
        <f>IFERROR(__xludf.DUMMYFUNCTION("""COMPUTED_VALUE"""),2.0)</f>
        <v>2</v>
      </c>
      <c r="W297" s="98">
        <f>IFERROR(__xludf.DUMMYFUNCTION("""COMPUTED_VALUE"""),44081.0)</f>
        <v>44081</v>
      </c>
      <c r="X297" s="96" t="str">
        <f>IFERROR(__xludf.DUMMYFUNCTION("""COMPUTED_VALUE"""),"FRANCIS KEIBO")</f>
        <v>FRANCIS KEIBO</v>
      </c>
      <c r="Y297" s="96" t="str">
        <f>IFERROR(__xludf.DUMMYFUNCTION("""COMPUTED_VALUE"""),"FRANCIS KEIBO2")</f>
        <v>FRANCIS KEIBO2</v>
      </c>
      <c r="Z297" s="96"/>
      <c r="AA297" s="96"/>
      <c r="AB297" s="96"/>
      <c r="AC297" s="96"/>
      <c r="AD297" s="96"/>
      <c r="AE297" s="96"/>
      <c r="AF297" s="96">
        <f>IFERROR(__xludf.DUMMYFUNCTION("""COMPUTED_VALUE"""),250000.0)</f>
        <v>250000</v>
      </c>
      <c r="AG297" s="99">
        <f>IFERROR(__xludf.DUMMYFUNCTION("""COMPUTED_VALUE"""),250000.0)</f>
        <v>250000</v>
      </c>
      <c r="AH297" s="96"/>
      <c r="AI297" s="96">
        <f>IFERROR(__xludf.DUMMYFUNCTION("""COMPUTED_VALUE"""),0.0)</f>
        <v>0</v>
      </c>
      <c r="AJ297" s="96">
        <f>IFERROR(__xludf.DUMMYFUNCTION("""COMPUTED_VALUE"""),0.0)</f>
        <v>0</v>
      </c>
      <c r="AK297" s="96">
        <f>IFERROR(__xludf.DUMMYFUNCTION("""COMPUTED_VALUE"""),0.0)</f>
        <v>0</v>
      </c>
      <c r="AL297" s="129">
        <f>IFERROR(__xludf.DUMMYFUNCTION("""COMPUTED_VALUE"""),0.0)</f>
        <v>0</v>
      </c>
      <c r="AM297" s="99"/>
    </row>
    <row r="298">
      <c r="V298" s="96">
        <f>IFERROR(__xludf.DUMMYFUNCTION("""COMPUTED_VALUE"""),10.0)</f>
        <v>10</v>
      </c>
      <c r="W298" s="98">
        <f>IFERROR(__xludf.DUMMYFUNCTION("""COMPUTED_VALUE"""),44021.0)</f>
        <v>44021</v>
      </c>
      <c r="X298" s="96" t="str">
        <f>IFERROR(__xludf.DUMMYFUNCTION("""COMPUTED_VALUE"""),"BOSURU  BOSURU")</f>
        <v>BOSURU  BOSURU</v>
      </c>
      <c r="Y298" s="96" t="str">
        <f>IFERROR(__xludf.DUMMYFUNCTION("""COMPUTED_VALUE"""),"BOSURU  BOSURU10")</f>
        <v>BOSURU  BOSURU10</v>
      </c>
      <c r="Z298" s="96">
        <f>IFERROR(__xludf.DUMMYFUNCTION("""COMPUTED_VALUE"""),96.0)</f>
        <v>96</v>
      </c>
      <c r="AA298" s="96">
        <f>IFERROR(__xludf.DUMMYFUNCTION("""COMPUTED_VALUE"""),16.0)</f>
        <v>16</v>
      </c>
      <c r="AB298" s="96"/>
      <c r="AC298" s="96">
        <f>IFERROR(__xludf.DUMMYFUNCTION("""COMPUTED_VALUE"""),2.0)</f>
        <v>2</v>
      </c>
      <c r="AD298" s="96"/>
      <c r="AE298" s="96">
        <f>IFERROR(__xludf.DUMMYFUNCTION("""COMPUTED_VALUE"""),836.6)</f>
        <v>836.6</v>
      </c>
      <c r="AF298" s="96"/>
      <c r="AG298" s="99">
        <f>IFERROR(__xludf.DUMMYFUNCTION("""COMPUTED_VALUE"""),-78640.0)</f>
        <v>-78640</v>
      </c>
      <c r="AH298" s="96">
        <f>IFERROR(__xludf.DUMMYFUNCTION("""COMPUTED_VALUE"""),8.0)</f>
        <v>8</v>
      </c>
      <c r="AI298" s="96">
        <f>IFERROR(__xludf.DUMMYFUNCTION("""COMPUTED_VALUE"""),0.0)</f>
        <v>0</v>
      </c>
      <c r="AJ298" s="96">
        <f>IFERROR(__xludf.DUMMYFUNCTION("""COMPUTED_VALUE"""),1.0)</f>
        <v>1</v>
      </c>
      <c r="AK298" s="96">
        <f>IFERROR(__xludf.DUMMYFUNCTION("""COMPUTED_VALUE"""),31.0)</f>
        <v>31</v>
      </c>
      <c r="AL298" s="129">
        <f>IFERROR(__xludf.DUMMYFUNCTION("""COMPUTED_VALUE"""),94.0)</f>
        <v>94</v>
      </c>
      <c r="AM298" s="99">
        <f>IFERROR(__xludf.DUMMYFUNCTION("""COMPUTED_VALUE"""),78640.0)</f>
        <v>78640</v>
      </c>
    </row>
    <row r="299">
      <c r="V299" s="96">
        <f>IFERROR(__xludf.DUMMYFUNCTION("""COMPUTED_VALUE"""),11.0)</f>
        <v>11</v>
      </c>
      <c r="W299" s="98">
        <f>IFERROR(__xludf.DUMMYFUNCTION("""COMPUTED_VALUE"""),44032.0)</f>
        <v>44032</v>
      </c>
      <c r="X299" s="96" t="str">
        <f>IFERROR(__xludf.DUMMYFUNCTION("""COMPUTED_VALUE"""),"BOSURU  BOSURU")</f>
        <v>BOSURU  BOSURU</v>
      </c>
      <c r="Y299" s="96" t="str">
        <f>IFERROR(__xludf.DUMMYFUNCTION("""COMPUTED_VALUE"""),"BOSURU  BOSURU11")</f>
        <v>BOSURU  BOSURU11</v>
      </c>
      <c r="Z299" s="96">
        <f>IFERROR(__xludf.DUMMYFUNCTION("""COMPUTED_VALUE"""),137.0)</f>
        <v>137</v>
      </c>
      <c r="AA299" s="96">
        <f>IFERROR(__xludf.DUMMYFUNCTION("""COMPUTED_VALUE"""),24.0)</f>
        <v>24</v>
      </c>
      <c r="AB299" s="96"/>
      <c r="AC299" s="96">
        <f>IFERROR(__xludf.DUMMYFUNCTION("""COMPUTED_VALUE"""),3.0)</f>
        <v>3</v>
      </c>
      <c r="AD299" s="96"/>
      <c r="AE299" s="96">
        <f>IFERROR(__xludf.DUMMYFUNCTION("""COMPUTED_VALUE"""),790.0)</f>
        <v>790</v>
      </c>
      <c r="AF299" s="96"/>
      <c r="AG299" s="99">
        <f>IFERROR(__xludf.DUMMYFUNCTION("""COMPUTED_VALUE"""),-105860.0)</f>
        <v>-105860</v>
      </c>
      <c r="AH299" s="96">
        <f>IFERROR(__xludf.DUMMYFUNCTION("""COMPUTED_VALUE"""),8.0)</f>
        <v>8</v>
      </c>
      <c r="AI299" s="96">
        <f>IFERROR(__xludf.DUMMYFUNCTION("""COMPUTED_VALUE"""),0.0)</f>
        <v>0</v>
      </c>
      <c r="AJ299" s="96">
        <f>IFERROR(__xludf.DUMMYFUNCTION("""COMPUTED_VALUE"""),2.0)</f>
        <v>2</v>
      </c>
      <c r="AK299" s="96">
        <f>IFERROR(__xludf.DUMMYFUNCTION("""COMPUTED_VALUE"""),8.0)</f>
        <v>8</v>
      </c>
      <c r="AL299" s="129">
        <f>IFERROR(__xludf.DUMMYFUNCTION("""COMPUTED_VALUE"""),134.0)</f>
        <v>134</v>
      </c>
      <c r="AM299" s="99">
        <f>IFERROR(__xludf.DUMMYFUNCTION("""COMPUTED_VALUE"""),105860.0)</f>
        <v>105860</v>
      </c>
    </row>
    <row r="300">
      <c r="V300" s="96">
        <f>IFERROR(__xludf.DUMMYFUNCTION("""COMPUTED_VALUE"""),12.0)</f>
        <v>12</v>
      </c>
      <c r="W300" s="98">
        <f>IFERROR(__xludf.DUMMYFUNCTION("""COMPUTED_VALUE"""),44060.0)</f>
        <v>44060</v>
      </c>
      <c r="X300" s="96" t="str">
        <f>IFERROR(__xludf.DUMMYFUNCTION("""COMPUTED_VALUE"""),"BOSURU  BOSURU")</f>
        <v>BOSURU  BOSURU</v>
      </c>
      <c r="Y300" s="96" t="str">
        <f>IFERROR(__xludf.DUMMYFUNCTION("""COMPUTED_VALUE"""),"BOSURU  BOSURU12")</f>
        <v>BOSURU  BOSURU12</v>
      </c>
      <c r="Z300" s="96">
        <f>IFERROR(__xludf.DUMMYFUNCTION("""COMPUTED_VALUE"""),420.0)</f>
        <v>420</v>
      </c>
      <c r="AA300" s="96">
        <f>IFERROR(__xludf.DUMMYFUNCTION("""COMPUTED_VALUE"""),56.0)</f>
        <v>56</v>
      </c>
      <c r="AB300" s="96"/>
      <c r="AC300" s="96">
        <f>IFERROR(__xludf.DUMMYFUNCTION("""COMPUTED_VALUE"""),7.0)</f>
        <v>7</v>
      </c>
      <c r="AD300" s="96"/>
      <c r="AE300" s="96">
        <f>IFERROR(__xludf.DUMMYFUNCTION("""COMPUTED_VALUE"""),820.0)</f>
        <v>820</v>
      </c>
      <c r="AF300" s="96"/>
      <c r="AG300" s="99">
        <f>IFERROR(__xludf.DUMMYFUNCTION("""COMPUTED_VALUE"""),-338660.0)</f>
        <v>-338660</v>
      </c>
      <c r="AH300" s="96">
        <f>IFERROR(__xludf.DUMMYFUNCTION("""COMPUTED_VALUE"""),8.0)</f>
        <v>8</v>
      </c>
      <c r="AI300" s="96">
        <f>IFERROR(__xludf.DUMMYFUNCTION("""COMPUTED_VALUE"""),0.0)</f>
        <v>0</v>
      </c>
      <c r="AJ300" s="96">
        <f>IFERROR(__xludf.DUMMYFUNCTION("""COMPUTED_VALUE"""),6.0)</f>
        <v>6</v>
      </c>
      <c r="AK300" s="96">
        <f>IFERROR(__xludf.DUMMYFUNCTION("""COMPUTED_VALUE"""),35.0)</f>
        <v>35</v>
      </c>
      <c r="AL300" s="129">
        <f>IFERROR(__xludf.DUMMYFUNCTION("""COMPUTED_VALUE"""),413.0)</f>
        <v>413</v>
      </c>
      <c r="AM300" s="99">
        <f>IFERROR(__xludf.DUMMYFUNCTION("""COMPUTED_VALUE"""),338660.0)</f>
        <v>338660</v>
      </c>
    </row>
    <row r="301">
      <c r="V301" s="96">
        <f>IFERROR(__xludf.DUMMYFUNCTION("""COMPUTED_VALUE"""),13.0)</f>
        <v>13</v>
      </c>
      <c r="W301" s="98">
        <f>IFERROR(__xludf.DUMMYFUNCTION("""COMPUTED_VALUE"""),44070.0)</f>
        <v>44070</v>
      </c>
      <c r="X301" s="96" t="str">
        <f>IFERROR(__xludf.DUMMYFUNCTION("""COMPUTED_VALUE"""),"BOSURU  BOSURU")</f>
        <v>BOSURU  BOSURU</v>
      </c>
      <c r="Y301" s="96" t="str">
        <f>IFERROR(__xludf.DUMMYFUNCTION("""COMPUTED_VALUE"""),"BOSURU  BOSURU13")</f>
        <v>BOSURU  BOSURU13</v>
      </c>
      <c r="Z301" s="96">
        <f>IFERROR(__xludf.DUMMYFUNCTION("""COMPUTED_VALUE"""),403.0)</f>
        <v>403</v>
      </c>
      <c r="AA301" s="96">
        <f>IFERROR(__xludf.DUMMYFUNCTION("""COMPUTED_VALUE"""),56.0)</f>
        <v>56</v>
      </c>
      <c r="AB301" s="96"/>
      <c r="AC301" s="96">
        <f>IFERROR(__xludf.DUMMYFUNCTION("""COMPUTED_VALUE"""),7.0)</f>
        <v>7</v>
      </c>
      <c r="AD301" s="96"/>
      <c r="AE301" s="96">
        <f>IFERROR(__xludf.DUMMYFUNCTION("""COMPUTED_VALUE"""),840.0)</f>
        <v>840</v>
      </c>
      <c r="AF301" s="96"/>
      <c r="AG301" s="99">
        <f>IFERROR(__xludf.DUMMYFUNCTION("""COMPUTED_VALUE"""),-332640.0)</f>
        <v>-332640</v>
      </c>
      <c r="AH301" s="96">
        <f>IFERROR(__xludf.DUMMYFUNCTION("""COMPUTED_VALUE"""),8.0)</f>
        <v>8</v>
      </c>
      <c r="AI301" s="96">
        <f>IFERROR(__xludf.DUMMYFUNCTION("""COMPUTED_VALUE"""),0.0)</f>
        <v>0</v>
      </c>
      <c r="AJ301" s="96">
        <f>IFERROR(__xludf.DUMMYFUNCTION("""COMPUTED_VALUE"""),6.0)</f>
        <v>6</v>
      </c>
      <c r="AK301" s="96">
        <f>IFERROR(__xludf.DUMMYFUNCTION("""COMPUTED_VALUE"""),18.0)</f>
        <v>18</v>
      </c>
      <c r="AL301" s="129">
        <f>IFERROR(__xludf.DUMMYFUNCTION("""COMPUTED_VALUE"""),396.0)</f>
        <v>396</v>
      </c>
      <c r="AM301" s="99">
        <f>IFERROR(__xludf.DUMMYFUNCTION("""COMPUTED_VALUE"""),332640.0)</f>
        <v>332640</v>
      </c>
    </row>
    <row r="302">
      <c r="V302" s="96">
        <f>IFERROR(__xludf.DUMMYFUNCTION("""COMPUTED_VALUE"""),14.0)</f>
        <v>14</v>
      </c>
      <c r="W302" s="98">
        <f>IFERROR(__xludf.DUMMYFUNCTION("""COMPUTED_VALUE"""),44077.0)</f>
        <v>44077</v>
      </c>
      <c r="X302" s="96" t="str">
        <f>IFERROR(__xludf.DUMMYFUNCTION("""COMPUTED_VALUE"""),"BOSURU  BOSURU")</f>
        <v>BOSURU  BOSURU</v>
      </c>
      <c r="Y302" s="96" t="str">
        <f>IFERROR(__xludf.DUMMYFUNCTION("""COMPUTED_VALUE"""),"BOSURU  BOSURU14")</f>
        <v>BOSURU  BOSURU14</v>
      </c>
      <c r="Z302" s="96">
        <f>IFERROR(__xludf.DUMMYFUNCTION("""COMPUTED_VALUE"""),338.0)</f>
        <v>338</v>
      </c>
      <c r="AA302" s="96">
        <f>IFERROR(__xludf.DUMMYFUNCTION("""COMPUTED_VALUE"""),48.0)</f>
        <v>48</v>
      </c>
      <c r="AB302" s="96"/>
      <c r="AC302" s="96">
        <f>IFERROR(__xludf.DUMMYFUNCTION("""COMPUTED_VALUE"""),6.0)</f>
        <v>6</v>
      </c>
      <c r="AD302" s="96"/>
      <c r="AE302" s="96">
        <f>IFERROR(__xludf.DUMMYFUNCTION("""COMPUTED_VALUE"""),840.0)</f>
        <v>840</v>
      </c>
      <c r="AF302" s="96"/>
      <c r="AG302" s="99">
        <f>IFERROR(__xludf.DUMMYFUNCTION("""COMPUTED_VALUE"""),-278880.0)</f>
        <v>-278880</v>
      </c>
      <c r="AH302" s="96">
        <f>IFERROR(__xludf.DUMMYFUNCTION("""COMPUTED_VALUE"""),8.0)</f>
        <v>8</v>
      </c>
      <c r="AI302" s="96">
        <f>IFERROR(__xludf.DUMMYFUNCTION("""COMPUTED_VALUE"""),0.0)</f>
        <v>0</v>
      </c>
      <c r="AJ302" s="96">
        <f>IFERROR(__xludf.DUMMYFUNCTION("""COMPUTED_VALUE"""),5.0)</f>
        <v>5</v>
      </c>
      <c r="AK302" s="96">
        <f>IFERROR(__xludf.DUMMYFUNCTION("""COMPUTED_VALUE"""),17.0)</f>
        <v>17</v>
      </c>
      <c r="AL302" s="129">
        <f>IFERROR(__xludf.DUMMYFUNCTION("""COMPUTED_VALUE"""),332.0)</f>
        <v>332</v>
      </c>
      <c r="AM302" s="99">
        <f>IFERROR(__xludf.DUMMYFUNCTION("""COMPUTED_VALUE"""),278880.0)</f>
        <v>278880</v>
      </c>
    </row>
    <row r="303">
      <c r="V303" s="96">
        <f>IFERROR(__xludf.DUMMYFUNCTION("""COMPUTED_VALUE"""),15.0)</f>
        <v>15</v>
      </c>
      <c r="W303" s="98">
        <f>IFERROR(__xludf.DUMMYFUNCTION("""COMPUTED_VALUE"""),44082.0)</f>
        <v>44082</v>
      </c>
      <c r="X303" s="96" t="str">
        <f>IFERROR(__xludf.DUMMYFUNCTION("""COMPUTED_VALUE"""),"BOSURU  BOSURU")</f>
        <v>BOSURU  BOSURU</v>
      </c>
      <c r="Y303" s="96" t="str">
        <f>IFERROR(__xludf.DUMMYFUNCTION("""COMPUTED_VALUE"""),"BOSURU  BOSURU15")</f>
        <v>BOSURU  BOSURU15</v>
      </c>
      <c r="Z303" s="96"/>
      <c r="AA303" s="96"/>
      <c r="AB303" s="96"/>
      <c r="AC303" s="96"/>
      <c r="AD303" s="96"/>
      <c r="AE303" s="96"/>
      <c r="AF303" s="96">
        <f>IFERROR(__xludf.DUMMYFUNCTION("""COMPUTED_VALUE"""),262000.0)</f>
        <v>262000</v>
      </c>
      <c r="AG303" s="99">
        <f>IFERROR(__xludf.DUMMYFUNCTION("""COMPUTED_VALUE"""),262000.0)</f>
        <v>262000</v>
      </c>
      <c r="AH303" s="96"/>
      <c r="AI303" s="96">
        <f>IFERROR(__xludf.DUMMYFUNCTION("""COMPUTED_VALUE"""),0.0)</f>
        <v>0</v>
      </c>
      <c r="AJ303" s="96">
        <f>IFERROR(__xludf.DUMMYFUNCTION("""COMPUTED_VALUE"""),0.0)</f>
        <v>0</v>
      </c>
      <c r="AK303" s="96">
        <f>IFERROR(__xludf.DUMMYFUNCTION("""COMPUTED_VALUE"""),0.0)</f>
        <v>0</v>
      </c>
      <c r="AL303" s="129">
        <f>IFERROR(__xludf.DUMMYFUNCTION("""COMPUTED_VALUE"""),0.0)</f>
        <v>0</v>
      </c>
      <c r="AM303" s="99"/>
    </row>
    <row r="304">
      <c r="V304" s="96">
        <f>IFERROR(__xludf.DUMMYFUNCTION("""COMPUTED_VALUE"""),2.0)</f>
        <v>2</v>
      </c>
      <c r="W304" s="98">
        <f>IFERROR(__xludf.DUMMYFUNCTION("""COMPUTED_VALUE"""),44082.0)</f>
        <v>44082</v>
      </c>
      <c r="X304" s="96" t="str">
        <f>IFERROR(__xludf.DUMMYFUNCTION("""COMPUTED_VALUE"""),"MAXWELL AGRO PRIN")</f>
        <v>MAXWELL AGRO PRIN</v>
      </c>
      <c r="Y304" s="96" t="str">
        <f>IFERROR(__xludf.DUMMYFUNCTION("""COMPUTED_VALUE"""),"MAXWELL AGRO PRIN2")</f>
        <v>MAXWELL AGRO PRIN2</v>
      </c>
      <c r="Z304" s="96"/>
      <c r="AA304" s="96"/>
      <c r="AB304" s="96"/>
      <c r="AC304" s="96"/>
      <c r="AD304" s="96"/>
      <c r="AE304" s="96"/>
      <c r="AF304" s="96">
        <f>IFERROR(__xludf.DUMMYFUNCTION("""COMPUTED_VALUE"""),50000.0)</f>
        <v>50000</v>
      </c>
      <c r="AG304" s="99">
        <f>IFERROR(__xludf.DUMMYFUNCTION("""COMPUTED_VALUE"""),50000.0)</f>
        <v>50000</v>
      </c>
      <c r="AH304" s="96"/>
      <c r="AI304" s="96">
        <f>IFERROR(__xludf.DUMMYFUNCTION("""COMPUTED_VALUE"""),0.0)</f>
        <v>0</v>
      </c>
      <c r="AJ304" s="96">
        <f>IFERROR(__xludf.DUMMYFUNCTION("""COMPUTED_VALUE"""),0.0)</f>
        <v>0</v>
      </c>
      <c r="AK304" s="96">
        <f>IFERROR(__xludf.DUMMYFUNCTION("""COMPUTED_VALUE"""),0.0)</f>
        <v>0</v>
      </c>
      <c r="AL304" s="129">
        <f>IFERROR(__xludf.DUMMYFUNCTION("""COMPUTED_VALUE"""),0.0)</f>
        <v>0</v>
      </c>
      <c r="AM304" s="99"/>
    </row>
    <row r="305">
      <c r="V305" s="96">
        <f>IFERROR(__xludf.DUMMYFUNCTION("""COMPUTED_VALUE"""),2.0)</f>
        <v>2</v>
      </c>
      <c r="W305" s="98">
        <f>IFERROR(__xludf.DUMMYFUNCTION("""COMPUTED_VALUE"""),44082.0)</f>
        <v>44082</v>
      </c>
      <c r="X305" s="96" t="str">
        <f>IFERROR(__xludf.DUMMYFUNCTION("""COMPUTED_VALUE"""),"NDOMA NDOMA")</f>
        <v>NDOMA NDOMA</v>
      </c>
      <c r="Y305" s="96" t="str">
        <f>IFERROR(__xludf.DUMMYFUNCTION("""COMPUTED_VALUE"""),"NDOMA NDOMA2")</f>
        <v>NDOMA NDOMA2</v>
      </c>
      <c r="Z305" s="96"/>
      <c r="AA305" s="96"/>
      <c r="AB305" s="96"/>
      <c r="AC305" s="96"/>
      <c r="AD305" s="96"/>
      <c r="AE305" s="96"/>
      <c r="AF305" s="96">
        <f>IFERROR(__xludf.DUMMYFUNCTION("""COMPUTED_VALUE"""),10000.0)</f>
        <v>10000</v>
      </c>
      <c r="AG305" s="99">
        <f>IFERROR(__xludf.DUMMYFUNCTION("""COMPUTED_VALUE"""),10000.0)</f>
        <v>10000</v>
      </c>
      <c r="AH305" s="96"/>
      <c r="AI305" s="96">
        <f>IFERROR(__xludf.DUMMYFUNCTION("""COMPUTED_VALUE"""),0.0)</f>
        <v>0</v>
      </c>
      <c r="AJ305" s="96">
        <f>IFERROR(__xludf.DUMMYFUNCTION("""COMPUTED_VALUE"""),0.0)</f>
        <v>0</v>
      </c>
      <c r="AK305" s="96">
        <f>IFERROR(__xludf.DUMMYFUNCTION("""COMPUTED_VALUE"""),0.0)</f>
        <v>0</v>
      </c>
      <c r="AL305" s="129">
        <f>IFERROR(__xludf.DUMMYFUNCTION("""COMPUTED_VALUE"""),0.0)</f>
        <v>0</v>
      </c>
      <c r="AM305" s="99"/>
    </row>
    <row r="306">
      <c r="V306" s="96">
        <f>IFERROR(__xludf.DUMMYFUNCTION("""COMPUTED_VALUE"""),1.0)</f>
        <v>1</v>
      </c>
      <c r="W306" s="98">
        <f>IFERROR(__xludf.DUMMYFUNCTION("""COMPUTED_VALUE"""),44082.0)</f>
        <v>44082</v>
      </c>
      <c r="X306" s="96" t="str">
        <f>IFERROR(__xludf.DUMMYFUNCTION("""COMPUTED_VALUE"""),"ZULU ")</f>
        <v>ZULU </v>
      </c>
      <c r="Y306" s="96" t="str">
        <f>IFERROR(__xludf.DUMMYFUNCTION("""COMPUTED_VALUE"""),"ZULU 1")</f>
        <v>ZULU 1</v>
      </c>
      <c r="Z306" s="96"/>
      <c r="AA306" s="96"/>
      <c r="AB306" s="96"/>
      <c r="AC306" s="96"/>
      <c r="AD306" s="96"/>
      <c r="AE306" s="96"/>
      <c r="AF306" s="96">
        <f>IFERROR(__xludf.DUMMYFUNCTION("""COMPUTED_VALUE"""),4000.0)</f>
        <v>4000</v>
      </c>
      <c r="AG306" s="99">
        <f>IFERROR(__xludf.DUMMYFUNCTION("""COMPUTED_VALUE"""),4000.0)</f>
        <v>4000</v>
      </c>
      <c r="AH306" s="96"/>
      <c r="AI306" s="96">
        <f>IFERROR(__xludf.DUMMYFUNCTION("""COMPUTED_VALUE"""),0.0)</f>
        <v>0</v>
      </c>
      <c r="AJ306" s="96">
        <f>IFERROR(__xludf.DUMMYFUNCTION("""COMPUTED_VALUE"""),0.0)</f>
        <v>0</v>
      </c>
      <c r="AK306" s="96">
        <f>IFERROR(__xludf.DUMMYFUNCTION("""COMPUTED_VALUE"""),0.0)</f>
        <v>0</v>
      </c>
      <c r="AL306" s="129">
        <f>IFERROR(__xludf.DUMMYFUNCTION("""COMPUTED_VALUE"""),0.0)</f>
        <v>0</v>
      </c>
      <c r="AM306" s="99"/>
    </row>
    <row r="307">
      <c r="V307" s="96">
        <f>IFERROR(__xludf.DUMMYFUNCTION("""COMPUTED_VALUE"""),8.0)</f>
        <v>8</v>
      </c>
      <c r="W307" s="98">
        <f>IFERROR(__xludf.DUMMYFUNCTION("""COMPUTED_VALUE"""),44055.0)</f>
        <v>44055</v>
      </c>
      <c r="X307" s="96" t="str">
        <f>IFERROR(__xludf.DUMMYFUNCTION("""COMPUTED_VALUE"""),"ZULU &amp; NDOMA")</f>
        <v>ZULU &amp; NDOMA</v>
      </c>
      <c r="Y307" s="96" t="str">
        <f>IFERROR(__xludf.DUMMYFUNCTION("""COMPUTED_VALUE"""),"ZULU &amp; NDOMA8")</f>
        <v>ZULU &amp; NDOMA8</v>
      </c>
      <c r="Z307" s="96"/>
      <c r="AA307" s="96"/>
      <c r="AB307" s="96"/>
      <c r="AC307" s="96"/>
      <c r="AD307" s="96"/>
      <c r="AE307" s="96"/>
      <c r="AF307" s="96">
        <f>IFERROR(__xludf.DUMMYFUNCTION("""COMPUTED_VALUE"""),-100000.0)</f>
        <v>-100000</v>
      </c>
      <c r="AG307" s="99">
        <f>IFERROR(__xludf.DUMMYFUNCTION("""COMPUTED_VALUE"""),-100000.0)</f>
        <v>-100000</v>
      </c>
      <c r="AH307" s="96"/>
      <c r="AI307" s="96">
        <f>IFERROR(__xludf.DUMMYFUNCTION("""COMPUTED_VALUE"""),0.0)</f>
        <v>0</v>
      </c>
      <c r="AJ307" s="96">
        <f>IFERROR(__xludf.DUMMYFUNCTION("""COMPUTED_VALUE"""),0.0)</f>
        <v>0</v>
      </c>
      <c r="AK307" s="96">
        <f>IFERROR(__xludf.DUMMYFUNCTION("""COMPUTED_VALUE"""),0.0)</f>
        <v>0</v>
      </c>
      <c r="AL307" s="129">
        <f>IFERROR(__xludf.DUMMYFUNCTION("""COMPUTED_VALUE"""),0.0)</f>
        <v>0</v>
      </c>
      <c r="AM307" s="99"/>
    </row>
    <row r="308">
      <c r="V308" s="96">
        <f>IFERROR(__xludf.DUMMYFUNCTION("""COMPUTED_VALUE"""),3.0)</f>
        <v>3</v>
      </c>
      <c r="W308" s="98">
        <f>IFERROR(__xludf.DUMMYFUNCTION("""COMPUTED_VALUE"""),44055.0)</f>
        <v>44055</v>
      </c>
      <c r="X308" s="96" t="str">
        <f>IFERROR(__xludf.DUMMYFUNCTION("""COMPUTED_VALUE"""),"NDOMA PRIN")</f>
        <v>NDOMA PRIN</v>
      </c>
      <c r="Y308" s="96" t="str">
        <f>IFERROR(__xludf.DUMMYFUNCTION("""COMPUTED_VALUE"""),"NDOMA PRIN3")</f>
        <v>NDOMA PRIN3</v>
      </c>
      <c r="Z308" s="96"/>
      <c r="AA308" s="96"/>
      <c r="AB308" s="96"/>
      <c r="AC308" s="96"/>
      <c r="AD308" s="96"/>
      <c r="AE308" s="96"/>
      <c r="AF308" s="96">
        <f>IFERROR(__xludf.DUMMYFUNCTION("""COMPUTED_VALUE"""),100000.0)</f>
        <v>100000</v>
      </c>
      <c r="AG308" s="99">
        <f>IFERROR(__xludf.DUMMYFUNCTION("""COMPUTED_VALUE"""),100000.0)</f>
        <v>100000</v>
      </c>
      <c r="AH308" s="96"/>
      <c r="AI308" s="96">
        <f>IFERROR(__xludf.DUMMYFUNCTION("""COMPUTED_VALUE"""),0.0)</f>
        <v>0</v>
      </c>
      <c r="AJ308" s="96">
        <f>IFERROR(__xludf.DUMMYFUNCTION("""COMPUTED_VALUE"""),0.0)</f>
        <v>0</v>
      </c>
      <c r="AK308" s="96">
        <f>IFERROR(__xludf.DUMMYFUNCTION("""COMPUTED_VALUE"""),0.0)</f>
        <v>0</v>
      </c>
      <c r="AL308" s="129">
        <f>IFERROR(__xludf.DUMMYFUNCTION("""COMPUTED_VALUE"""),0.0)</f>
        <v>0</v>
      </c>
      <c r="AM308" s="99"/>
    </row>
    <row r="309">
      <c r="V309" s="96">
        <f>IFERROR(__xludf.DUMMYFUNCTION("""COMPUTED_VALUE"""),9.0)</f>
        <v>9</v>
      </c>
      <c r="W309" s="98">
        <f>IFERROR(__xludf.DUMMYFUNCTION("""COMPUTED_VALUE"""),44058.0)</f>
        <v>44058</v>
      </c>
      <c r="X309" s="96" t="str">
        <f>IFERROR(__xludf.DUMMYFUNCTION("""COMPUTED_VALUE"""),"ZULU &amp; NDOMA")</f>
        <v>ZULU &amp; NDOMA</v>
      </c>
      <c r="Y309" s="96" t="str">
        <f>IFERROR(__xludf.DUMMYFUNCTION("""COMPUTED_VALUE"""),"ZULU &amp; NDOMA9")</f>
        <v>ZULU &amp; NDOMA9</v>
      </c>
      <c r="Z309" s="96"/>
      <c r="AA309" s="96"/>
      <c r="AB309" s="96"/>
      <c r="AC309" s="96"/>
      <c r="AD309" s="96"/>
      <c r="AE309" s="96"/>
      <c r="AF309" s="96">
        <f>IFERROR(__xludf.DUMMYFUNCTION("""COMPUTED_VALUE"""),-200000.0)</f>
        <v>-200000</v>
      </c>
      <c r="AG309" s="99">
        <f>IFERROR(__xludf.DUMMYFUNCTION("""COMPUTED_VALUE"""),-200000.0)</f>
        <v>-200000</v>
      </c>
      <c r="AH309" s="96"/>
      <c r="AI309" s="96">
        <f>IFERROR(__xludf.DUMMYFUNCTION("""COMPUTED_VALUE"""),0.0)</f>
        <v>0</v>
      </c>
      <c r="AJ309" s="96">
        <f>IFERROR(__xludf.DUMMYFUNCTION("""COMPUTED_VALUE"""),0.0)</f>
        <v>0</v>
      </c>
      <c r="AK309" s="96">
        <f>IFERROR(__xludf.DUMMYFUNCTION("""COMPUTED_VALUE"""),0.0)</f>
        <v>0</v>
      </c>
      <c r="AL309" s="129">
        <f>IFERROR(__xludf.DUMMYFUNCTION("""COMPUTED_VALUE"""),0.0)</f>
        <v>0</v>
      </c>
      <c r="AM309" s="99"/>
    </row>
    <row r="310">
      <c r="V310" s="96">
        <f>IFERROR(__xludf.DUMMYFUNCTION("""COMPUTED_VALUE"""),2.0)</f>
        <v>2</v>
      </c>
      <c r="W310" s="98">
        <f>IFERROR(__xludf.DUMMYFUNCTION("""COMPUTED_VALUE"""),44058.0)</f>
        <v>44058</v>
      </c>
      <c r="X310" s="96" t="str">
        <f>IFERROR(__xludf.DUMMYFUNCTION("""COMPUTED_VALUE"""),"ZULU ")</f>
        <v>ZULU </v>
      </c>
      <c r="Y310" s="96" t="str">
        <f>IFERROR(__xludf.DUMMYFUNCTION("""COMPUTED_VALUE"""),"ZULU 2")</f>
        <v>ZULU 2</v>
      </c>
      <c r="Z310" s="96"/>
      <c r="AA310" s="96"/>
      <c r="AB310" s="96"/>
      <c r="AC310" s="96"/>
      <c r="AD310" s="96"/>
      <c r="AE310" s="96"/>
      <c r="AF310" s="96">
        <f>IFERROR(__xludf.DUMMYFUNCTION("""COMPUTED_VALUE"""),200000.0)</f>
        <v>200000</v>
      </c>
      <c r="AG310" s="99">
        <f>IFERROR(__xludf.DUMMYFUNCTION("""COMPUTED_VALUE"""),200000.0)</f>
        <v>200000</v>
      </c>
      <c r="AH310" s="96"/>
      <c r="AI310" s="96">
        <f>IFERROR(__xludf.DUMMYFUNCTION("""COMPUTED_VALUE"""),0.0)</f>
        <v>0</v>
      </c>
      <c r="AJ310" s="96">
        <f>IFERROR(__xludf.DUMMYFUNCTION("""COMPUTED_VALUE"""),0.0)</f>
        <v>0</v>
      </c>
      <c r="AK310" s="96">
        <f>IFERROR(__xludf.DUMMYFUNCTION("""COMPUTED_VALUE"""),0.0)</f>
        <v>0</v>
      </c>
      <c r="AL310" s="129">
        <f>IFERROR(__xludf.DUMMYFUNCTION("""COMPUTED_VALUE"""),0.0)</f>
        <v>0</v>
      </c>
      <c r="AM310" s="99"/>
    </row>
    <row r="311">
      <c r="V311" s="96">
        <f>IFERROR(__xludf.DUMMYFUNCTION("""COMPUTED_VALUE"""),3.0)</f>
        <v>3</v>
      </c>
      <c r="W311" s="98">
        <f>IFERROR(__xludf.DUMMYFUNCTION("""COMPUTED_VALUE"""),44081.0)</f>
        <v>44081</v>
      </c>
      <c r="X311" s="96" t="str">
        <f>IFERROR(__xludf.DUMMYFUNCTION("""COMPUTED_VALUE"""),"NDOMA NDOMA")</f>
        <v>NDOMA NDOMA</v>
      </c>
      <c r="Y311" s="96" t="str">
        <f>IFERROR(__xludf.DUMMYFUNCTION("""COMPUTED_VALUE"""),"NDOMA NDOMA3")</f>
        <v>NDOMA NDOMA3</v>
      </c>
      <c r="Z311" s="96">
        <f>IFERROR(__xludf.DUMMYFUNCTION("""COMPUTED_VALUE"""),1250.0)</f>
        <v>1250</v>
      </c>
      <c r="AA311" s="96">
        <f>IFERROR(__xludf.DUMMYFUNCTION("""COMPUTED_VALUE"""),160.0)</f>
        <v>160</v>
      </c>
      <c r="AB311" s="96"/>
      <c r="AC311" s="96">
        <f>IFERROR(__xludf.DUMMYFUNCTION("""COMPUTED_VALUE"""),20.0)</f>
        <v>20</v>
      </c>
      <c r="AD311" s="96">
        <f>IFERROR(__xludf.DUMMYFUNCTION("""COMPUTED_VALUE"""),20.0)</f>
        <v>20</v>
      </c>
      <c r="AE311" s="96">
        <f>IFERROR(__xludf.DUMMYFUNCTION("""COMPUTED_VALUE"""),920.0)</f>
        <v>920</v>
      </c>
      <c r="AF311" s="96"/>
      <c r="AG311" s="99">
        <f>IFERROR(__xludf.DUMMYFUNCTION("""COMPUTED_VALUE"""),-1150000.0)</f>
        <v>-1150000</v>
      </c>
      <c r="AH311" s="96">
        <f>IFERROR(__xludf.DUMMYFUNCTION("""COMPUTED_VALUE"""),8.0)</f>
        <v>8</v>
      </c>
      <c r="AI311" s="96">
        <f>IFERROR(__xludf.DUMMYFUNCTION("""COMPUTED_VALUE"""),0.0)</f>
        <v>0</v>
      </c>
      <c r="AJ311" s="96">
        <f>IFERROR(__xludf.DUMMYFUNCTION("""COMPUTED_VALUE"""),19.0)</f>
        <v>19</v>
      </c>
      <c r="AK311" s="96">
        <f>IFERROR(__xludf.DUMMYFUNCTION("""COMPUTED_VALUE"""),53.0)</f>
        <v>53</v>
      </c>
      <c r="AL311" s="129">
        <f>IFERROR(__xludf.DUMMYFUNCTION("""COMPUTED_VALUE"""),1250.0)</f>
        <v>1250</v>
      </c>
      <c r="AM311" s="99">
        <f>IFERROR(__xludf.DUMMYFUNCTION("""COMPUTED_VALUE"""),1150000.0)</f>
        <v>1150000</v>
      </c>
    </row>
    <row r="312">
      <c r="V312" s="96">
        <f>IFERROR(__xludf.DUMMYFUNCTION("""COMPUTED_VALUE"""),20.0)</f>
        <v>20</v>
      </c>
      <c r="W312" s="98">
        <f>IFERROR(__xludf.DUMMYFUNCTION("""COMPUTED_VALUE"""),44072.0)</f>
        <v>44072</v>
      </c>
      <c r="X312" s="96" t="str">
        <f>IFERROR(__xludf.DUMMYFUNCTION("""COMPUTED_VALUE"""),"RECTOR W.")</f>
        <v>RECTOR W.</v>
      </c>
      <c r="Y312" s="96" t="str">
        <f>IFERROR(__xludf.DUMMYFUNCTION("""COMPUTED_VALUE"""),"RECTOR W.20")</f>
        <v>RECTOR W.20</v>
      </c>
      <c r="Z312" s="96">
        <f>IFERROR(__xludf.DUMMYFUNCTION("""COMPUTED_VALUE"""),3885.0)</f>
        <v>3885</v>
      </c>
      <c r="AA312" s="96">
        <f>IFERROR(__xludf.DUMMYFUNCTION("""COMPUTED_VALUE"""),749.5)</f>
        <v>749.5</v>
      </c>
      <c r="AB312" s="96"/>
      <c r="AC312" s="96">
        <f>IFERROR(__xludf.DUMMYFUNCTION("""COMPUTED_VALUE"""),60.0)</f>
        <v>60</v>
      </c>
      <c r="AD312" s="96"/>
      <c r="AE312" s="96">
        <f>IFERROR(__xludf.DUMMYFUNCTION("""COMPUTED_VALUE"""),840.0)</f>
        <v>840</v>
      </c>
      <c r="AF312" s="96"/>
      <c r="AG312" s="99">
        <f>IFERROR(__xludf.DUMMYFUNCTION("""COMPUTED_VALUE"""),-3068520.0)</f>
        <v>-3068520</v>
      </c>
      <c r="AH312" s="96">
        <f>IFERROR(__xludf.DUMMYFUNCTION("""COMPUTED_VALUE"""),12.49)</f>
        <v>12.49</v>
      </c>
      <c r="AI312" s="96">
        <f>IFERROR(__xludf.DUMMYFUNCTION("""COMPUTED_VALUE"""),172.0)</f>
        <v>172</v>
      </c>
      <c r="AJ312" s="96">
        <f>IFERROR(__xludf.DUMMYFUNCTION("""COMPUTED_VALUE"""),57.0)</f>
        <v>57</v>
      </c>
      <c r="AK312" s="96">
        <f>IFERROR(__xludf.DUMMYFUNCTION("""COMPUTED_VALUE"""),61.0)</f>
        <v>61</v>
      </c>
      <c r="AL312" s="129">
        <f>IFERROR(__xludf.DUMMYFUNCTION("""COMPUTED_VALUE"""),3653.0)</f>
        <v>3653</v>
      </c>
      <c r="AM312" s="99">
        <f>IFERROR(__xludf.DUMMYFUNCTION("""COMPUTED_VALUE"""),3068520.0)</f>
        <v>3068520</v>
      </c>
    </row>
    <row r="313">
      <c r="V313" s="96">
        <f>IFERROR(__xludf.DUMMYFUNCTION("""COMPUTED_VALUE"""),17.0)</f>
        <v>17</v>
      </c>
      <c r="W313" s="98">
        <f>IFERROR(__xludf.DUMMYFUNCTION("""COMPUTED_VALUE"""),44074.0)</f>
        <v>44074</v>
      </c>
      <c r="X313" s="96" t="str">
        <f>IFERROR(__xludf.DUMMYFUNCTION("""COMPUTED_VALUE"""),"CONNECT")</f>
        <v>CONNECT</v>
      </c>
      <c r="Y313" s="96" t="str">
        <f>IFERROR(__xludf.DUMMYFUNCTION("""COMPUTED_VALUE"""),"CONNECT17")</f>
        <v>CONNECT17</v>
      </c>
      <c r="Z313" s="96">
        <f>IFERROR(__xludf.DUMMYFUNCTION("""COMPUTED_VALUE"""),2526.0)</f>
        <v>2526</v>
      </c>
      <c r="AA313" s="96">
        <f>IFERROR(__xludf.DUMMYFUNCTION("""COMPUTED_VALUE"""),296.0)</f>
        <v>296</v>
      </c>
      <c r="AB313" s="96"/>
      <c r="AC313" s="96">
        <f>IFERROR(__xludf.DUMMYFUNCTION("""COMPUTED_VALUE"""),37.0)</f>
        <v>37</v>
      </c>
      <c r="AD313" s="96"/>
      <c r="AE313" s="96">
        <f>IFERROR(__xludf.DUMMYFUNCTION("""COMPUTED_VALUE"""),850.0)</f>
        <v>850</v>
      </c>
      <c r="AF313" s="96"/>
      <c r="AG313" s="99">
        <f>IFERROR(__xludf.DUMMYFUNCTION("""COMPUTED_VALUE"""),-2115650.0)</f>
        <v>-2115650</v>
      </c>
      <c r="AH313" s="96">
        <f>IFERROR(__xludf.DUMMYFUNCTION("""COMPUTED_VALUE"""),8.0)</f>
        <v>8</v>
      </c>
      <c r="AI313" s="96">
        <f>IFERROR(__xludf.DUMMYFUNCTION("""COMPUTED_VALUE"""),0.0)</f>
        <v>0</v>
      </c>
      <c r="AJ313" s="96">
        <f>IFERROR(__xludf.DUMMYFUNCTION("""COMPUTED_VALUE"""),39.0)</f>
        <v>39</v>
      </c>
      <c r="AK313" s="96">
        <f>IFERROR(__xludf.DUMMYFUNCTION("""COMPUTED_VALUE"""),31.0)</f>
        <v>31</v>
      </c>
      <c r="AL313" s="129">
        <f>IFERROR(__xludf.DUMMYFUNCTION("""COMPUTED_VALUE"""),2489.0)</f>
        <v>2489</v>
      </c>
      <c r="AM313" s="99">
        <f>IFERROR(__xludf.DUMMYFUNCTION("""COMPUTED_VALUE"""),2115650.0)</f>
        <v>2115650</v>
      </c>
    </row>
    <row r="314">
      <c r="V314" s="96">
        <f>IFERROR(__xludf.DUMMYFUNCTION("""COMPUTED_VALUE"""),20.0)</f>
        <v>20</v>
      </c>
      <c r="W314" s="98">
        <f>IFERROR(__xludf.DUMMYFUNCTION("""COMPUTED_VALUE"""),44071.0)</f>
        <v>44071</v>
      </c>
      <c r="X314" s="96" t="str">
        <f>IFERROR(__xludf.DUMMYFUNCTION("""COMPUTED_VALUE"""),"LYDIA HNSON ")</f>
        <v>LYDIA HNSON </v>
      </c>
      <c r="Y314" s="96" t="str">
        <f>IFERROR(__xludf.DUMMYFUNCTION("""COMPUTED_VALUE"""),"LYDIA HNSON 20")</f>
        <v>LYDIA HNSON 20</v>
      </c>
      <c r="Z314" s="96">
        <f>IFERROR(__xludf.DUMMYFUNCTION("""COMPUTED_VALUE"""),312.0)</f>
        <v>312</v>
      </c>
      <c r="AA314" s="96">
        <f>IFERROR(__xludf.DUMMYFUNCTION("""COMPUTED_VALUE"""),32.0)</f>
        <v>32</v>
      </c>
      <c r="AB314" s="96"/>
      <c r="AC314" s="96">
        <f>IFERROR(__xludf.DUMMYFUNCTION("""COMPUTED_VALUE"""),4.0)</f>
        <v>4</v>
      </c>
      <c r="AD314" s="96">
        <f>IFERROR(__xludf.DUMMYFUNCTION("""COMPUTED_VALUE"""),4.0)</f>
        <v>4</v>
      </c>
      <c r="AE314" s="96">
        <f>IFERROR(__xludf.DUMMYFUNCTION("""COMPUTED_VALUE"""),870.0)</f>
        <v>870</v>
      </c>
      <c r="AF314" s="96"/>
      <c r="AG314" s="99">
        <f>IFERROR(__xludf.DUMMYFUNCTION("""COMPUTED_VALUE"""),-271440.0)</f>
        <v>-271440</v>
      </c>
      <c r="AH314" s="96">
        <f>IFERROR(__xludf.DUMMYFUNCTION("""COMPUTED_VALUE"""),8.0)</f>
        <v>8</v>
      </c>
      <c r="AI314" s="96">
        <f>IFERROR(__xludf.DUMMYFUNCTION("""COMPUTED_VALUE"""),0.0)</f>
        <v>0</v>
      </c>
      <c r="AJ314" s="96">
        <f>IFERROR(__xludf.DUMMYFUNCTION("""COMPUTED_VALUE"""),4.0)</f>
        <v>4</v>
      </c>
      <c r="AK314" s="96">
        <f>IFERROR(__xludf.DUMMYFUNCTION("""COMPUTED_VALUE"""),60.0)</f>
        <v>60</v>
      </c>
      <c r="AL314" s="129">
        <f>IFERROR(__xludf.DUMMYFUNCTION("""COMPUTED_VALUE"""),312.0)</f>
        <v>312</v>
      </c>
      <c r="AM314" s="99">
        <f>IFERROR(__xludf.DUMMYFUNCTION("""COMPUTED_VALUE"""),271440.0)</f>
        <v>271440</v>
      </c>
    </row>
    <row r="315">
      <c r="V315" s="96">
        <f>IFERROR(__xludf.DUMMYFUNCTION("""COMPUTED_VALUE"""),11.0)</f>
        <v>11</v>
      </c>
      <c r="W315" s="98">
        <f>IFERROR(__xludf.DUMMYFUNCTION("""COMPUTED_VALUE"""),44082.0)</f>
        <v>44082</v>
      </c>
      <c r="X315" s="96" t="str">
        <f>IFERROR(__xludf.DUMMYFUNCTION("""COMPUTED_VALUE"""),"EDWARD OKO")</f>
        <v>EDWARD OKO</v>
      </c>
      <c r="Y315" s="96" t="str">
        <f>IFERROR(__xludf.DUMMYFUNCTION("""COMPUTED_VALUE"""),"EDWARD OKO11")</f>
        <v>EDWARD OKO11</v>
      </c>
      <c r="Z315" s="96">
        <f>IFERROR(__xludf.DUMMYFUNCTION("""COMPUTED_VALUE"""),5590.0)</f>
        <v>5590</v>
      </c>
      <c r="AA315" s="96">
        <f>IFERROR(__xludf.DUMMYFUNCTION("""COMPUTED_VALUE"""),742.0)</f>
        <v>742</v>
      </c>
      <c r="AB315" s="96"/>
      <c r="AC315" s="96">
        <f>IFERROR(__xludf.DUMMYFUNCTION("""COMPUTED_VALUE"""),85.0)</f>
        <v>85</v>
      </c>
      <c r="AD315" s="96"/>
      <c r="AE315" s="96">
        <f>IFERROR(__xludf.DUMMYFUNCTION("""COMPUTED_VALUE"""),880.0)</f>
        <v>880</v>
      </c>
      <c r="AF315" s="96"/>
      <c r="AG315" s="99">
        <f>IFERROR(__xludf.DUMMYFUNCTION("""COMPUTED_VALUE"""),-4809200.0)</f>
        <v>-4809200</v>
      </c>
      <c r="AH315" s="96">
        <f>IFERROR(__xludf.DUMMYFUNCTION("""COMPUTED_VALUE"""),8.73)</f>
        <v>8.73</v>
      </c>
      <c r="AI315" s="96">
        <f>IFERROR(__xludf.DUMMYFUNCTION("""COMPUTED_VALUE"""),40.0)</f>
        <v>40</v>
      </c>
      <c r="AJ315" s="96">
        <f>IFERROR(__xludf.DUMMYFUNCTION("""COMPUTED_VALUE"""),86.0)</f>
        <v>86</v>
      </c>
      <c r="AK315" s="96">
        <f>IFERROR(__xludf.DUMMYFUNCTION("""COMPUTED_VALUE"""),47.0)</f>
        <v>47</v>
      </c>
      <c r="AL315" s="129">
        <f>IFERROR(__xludf.DUMMYFUNCTION("""COMPUTED_VALUE"""),5465.0)</f>
        <v>5465</v>
      </c>
      <c r="AM315" s="99">
        <f>IFERROR(__xludf.DUMMYFUNCTION("""COMPUTED_VALUE"""),4809200.0)</f>
        <v>4809200</v>
      </c>
    </row>
    <row r="316">
      <c r="V316" s="96">
        <f>IFERROR(__xludf.DUMMYFUNCTION("""COMPUTED_VALUE"""),9.0)</f>
        <v>9</v>
      </c>
      <c r="W316" s="98">
        <f>IFERROR(__xludf.DUMMYFUNCTION("""COMPUTED_VALUE"""),44083.0)</f>
        <v>44083</v>
      </c>
      <c r="X316" s="96" t="str">
        <f>IFERROR(__xludf.DUMMYFUNCTION("""COMPUTED_VALUE"""),"ANDRDEW GREAT")</f>
        <v>ANDRDEW GREAT</v>
      </c>
      <c r="Y316" s="96" t="str">
        <f>IFERROR(__xludf.DUMMYFUNCTION("""COMPUTED_VALUE"""),"ANDRDEW GREAT9")</f>
        <v>ANDRDEW GREAT9</v>
      </c>
      <c r="Z316" s="96"/>
      <c r="AA316" s="96"/>
      <c r="AB316" s="96"/>
      <c r="AC316" s="96"/>
      <c r="AD316" s="96"/>
      <c r="AE316" s="96"/>
      <c r="AF316" s="96">
        <f>IFERROR(__xludf.DUMMYFUNCTION("""COMPUTED_VALUE"""),700000.0)</f>
        <v>700000</v>
      </c>
      <c r="AG316" s="99">
        <f>IFERROR(__xludf.DUMMYFUNCTION("""COMPUTED_VALUE"""),700000.0)</f>
        <v>700000</v>
      </c>
      <c r="AH316" s="96"/>
      <c r="AI316" s="96">
        <f>IFERROR(__xludf.DUMMYFUNCTION("""COMPUTED_VALUE"""),0.0)</f>
        <v>0</v>
      </c>
      <c r="AJ316" s="96">
        <f>IFERROR(__xludf.DUMMYFUNCTION("""COMPUTED_VALUE"""),0.0)</f>
        <v>0</v>
      </c>
      <c r="AK316" s="96">
        <f>IFERROR(__xludf.DUMMYFUNCTION("""COMPUTED_VALUE"""),0.0)</f>
        <v>0</v>
      </c>
      <c r="AL316" s="129">
        <f>IFERROR(__xludf.DUMMYFUNCTION("""COMPUTED_VALUE"""),0.0)</f>
        <v>0</v>
      </c>
      <c r="AM316" s="99"/>
    </row>
    <row r="317">
      <c r="V317" s="96">
        <f>IFERROR(__xludf.DUMMYFUNCTION("""COMPUTED_VALUE"""),3.0)</f>
        <v>3</v>
      </c>
      <c r="W317" s="98">
        <f>IFERROR(__xludf.DUMMYFUNCTION("""COMPUTED_VALUE"""),44083.0)</f>
        <v>44083</v>
      </c>
      <c r="X317" s="96" t="str">
        <f>IFERROR(__xludf.DUMMYFUNCTION("""COMPUTED_VALUE"""),"REIMON ALABA")</f>
        <v>REIMON ALABA</v>
      </c>
      <c r="Y317" s="96" t="str">
        <f>IFERROR(__xludf.DUMMYFUNCTION("""COMPUTED_VALUE"""),"REIMON ALABA3")</f>
        <v>REIMON ALABA3</v>
      </c>
      <c r="Z317" s="96"/>
      <c r="AA317" s="96"/>
      <c r="AB317" s="96"/>
      <c r="AC317" s="96"/>
      <c r="AD317" s="96"/>
      <c r="AE317" s="96"/>
      <c r="AF317" s="96">
        <f>IFERROR(__xludf.DUMMYFUNCTION("""COMPUTED_VALUE"""),20000.0)</f>
        <v>20000</v>
      </c>
      <c r="AG317" s="99">
        <f>IFERROR(__xludf.DUMMYFUNCTION("""COMPUTED_VALUE"""),20000.0)</f>
        <v>20000</v>
      </c>
      <c r="AH317" s="96"/>
      <c r="AI317" s="96">
        <f>IFERROR(__xludf.DUMMYFUNCTION("""COMPUTED_VALUE"""),0.0)</f>
        <v>0</v>
      </c>
      <c r="AJ317" s="96">
        <f>IFERROR(__xludf.DUMMYFUNCTION("""COMPUTED_VALUE"""),0.0)</f>
        <v>0</v>
      </c>
      <c r="AK317" s="96">
        <f>IFERROR(__xludf.DUMMYFUNCTION("""COMPUTED_VALUE"""),0.0)</f>
        <v>0</v>
      </c>
      <c r="AL317" s="129">
        <f>IFERROR(__xludf.DUMMYFUNCTION("""COMPUTED_VALUE"""),0.0)</f>
        <v>0</v>
      </c>
      <c r="AM317" s="99"/>
    </row>
    <row r="318">
      <c r="V318" s="96">
        <f>IFERROR(__xludf.DUMMYFUNCTION("""COMPUTED_VALUE"""),4.0)</f>
        <v>4</v>
      </c>
      <c r="W318" s="98">
        <f>IFERROR(__xludf.DUMMYFUNCTION("""COMPUTED_VALUE"""),44083.0)</f>
        <v>44083</v>
      </c>
      <c r="X318" s="96" t="str">
        <f>IFERROR(__xludf.DUMMYFUNCTION("""COMPUTED_VALUE"""),"NDOMA NDOMA")</f>
        <v>NDOMA NDOMA</v>
      </c>
      <c r="Y318" s="96" t="str">
        <f>IFERROR(__xludf.DUMMYFUNCTION("""COMPUTED_VALUE"""),"NDOMA NDOMA4")</f>
        <v>NDOMA NDOMA4</v>
      </c>
      <c r="Z318" s="96"/>
      <c r="AA318" s="96"/>
      <c r="AB318" s="96"/>
      <c r="AC318" s="96"/>
      <c r="AD318" s="96"/>
      <c r="AE318" s="96"/>
      <c r="AF318" s="96">
        <f>IFERROR(__xludf.DUMMYFUNCTION("""COMPUTED_VALUE"""),1140000.0)</f>
        <v>1140000</v>
      </c>
      <c r="AG318" s="99">
        <f>IFERROR(__xludf.DUMMYFUNCTION("""COMPUTED_VALUE"""),1140000.0)</f>
        <v>1140000</v>
      </c>
      <c r="AH318" s="96"/>
      <c r="AI318" s="96">
        <f>IFERROR(__xludf.DUMMYFUNCTION("""COMPUTED_VALUE"""),0.0)</f>
        <v>0</v>
      </c>
      <c r="AJ318" s="96">
        <f>IFERROR(__xludf.DUMMYFUNCTION("""COMPUTED_VALUE"""),0.0)</f>
        <v>0</v>
      </c>
      <c r="AK318" s="96">
        <f>IFERROR(__xludf.DUMMYFUNCTION("""COMPUTED_VALUE"""),0.0)</f>
        <v>0</v>
      </c>
      <c r="AL318" s="129">
        <f>IFERROR(__xludf.DUMMYFUNCTION("""COMPUTED_VALUE"""),0.0)</f>
        <v>0</v>
      </c>
      <c r="AM318" s="99"/>
    </row>
    <row r="319">
      <c r="V319" s="96">
        <f>IFERROR(__xludf.DUMMYFUNCTION("""COMPUTED_VALUE"""),3.0)</f>
        <v>3</v>
      </c>
      <c r="W319" s="98">
        <f>IFERROR(__xludf.DUMMYFUNCTION("""COMPUTED_VALUE"""),44083.0)</f>
        <v>44083</v>
      </c>
      <c r="X319" s="96" t="str">
        <f>IFERROR(__xludf.DUMMYFUNCTION("""COMPUTED_VALUE"""),"CONFIDENCE")</f>
        <v>CONFIDENCE</v>
      </c>
      <c r="Y319" s="96" t="str">
        <f>IFERROR(__xludf.DUMMYFUNCTION("""COMPUTED_VALUE"""),"CONFIDENCE3")</f>
        <v>CONFIDENCE3</v>
      </c>
      <c r="Z319" s="96"/>
      <c r="AA319" s="96"/>
      <c r="AB319" s="96"/>
      <c r="AC319" s="96"/>
      <c r="AD319" s="96"/>
      <c r="AE319" s="96"/>
      <c r="AF319" s="96">
        <f>IFERROR(__xludf.DUMMYFUNCTION("""COMPUTED_VALUE"""),500.0)</f>
        <v>500</v>
      </c>
      <c r="AG319" s="99">
        <f>IFERROR(__xludf.DUMMYFUNCTION("""COMPUTED_VALUE"""),500.0)</f>
        <v>500</v>
      </c>
      <c r="AH319" s="96"/>
      <c r="AI319" s="96">
        <f>IFERROR(__xludf.DUMMYFUNCTION("""COMPUTED_VALUE"""),0.0)</f>
        <v>0</v>
      </c>
      <c r="AJ319" s="96">
        <f>IFERROR(__xludf.DUMMYFUNCTION("""COMPUTED_VALUE"""),0.0)</f>
        <v>0</v>
      </c>
      <c r="AK319" s="96">
        <f>IFERROR(__xludf.DUMMYFUNCTION("""COMPUTED_VALUE"""),0.0)</f>
        <v>0</v>
      </c>
      <c r="AL319" s="129">
        <f>IFERROR(__xludf.DUMMYFUNCTION("""COMPUTED_VALUE"""),0.0)</f>
        <v>0</v>
      </c>
      <c r="AM319" s="99"/>
    </row>
    <row r="320">
      <c r="V320" s="96">
        <f>IFERROR(__xludf.DUMMYFUNCTION("""COMPUTED_VALUE"""),8.0)</f>
        <v>8</v>
      </c>
      <c r="W320" s="98">
        <f>IFERROR(__xludf.DUMMYFUNCTION("""COMPUTED_VALUE"""),44084.0)</f>
        <v>44084</v>
      </c>
      <c r="X320" s="96" t="str">
        <f>IFERROR(__xludf.DUMMYFUNCTION("""COMPUTED_VALUE"""),"NDOMA PETER")</f>
        <v>NDOMA PETER</v>
      </c>
      <c r="Y320" s="96" t="str">
        <f>IFERROR(__xludf.DUMMYFUNCTION("""COMPUTED_VALUE"""),"NDOMA PETER8")</f>
        <v>NDOMA PETER8</v>
      </c>
      <c r="Z320" s="96"/>
      <c r="AA320" s="96"/>
      <c r="AB320" s="96"/>
      <c r="AC320" s="96"/>
      <c r="AD320" s="96"/>
      <c r="AE320" s="96"/>
      <c r="AF320" s="96">
        <f>IFERROR(__xludf.DUMMYFUNCTION("""COMPUTED_VALUE"""),200000.0)</f>
        <v>200000</v>
      </c>
      <c r="AG320" s="99">
        <f>IFERROR(__xludf.DUMMYFUNCTION("""COMPUTED_VALUE"""),200000.0)</f>
        <v>200000</v>
      </c>
      <c r="AH320" s="96"/>
      <c r="AI320" s="96">
        <f>IFERROR(__xludf.DUMMYFUNCTION("""COMPUTED_VALUE"""),0.0)</f>
        <v>0</v>
      </c>
      <c r="AJ320" s="96">
        <f>IFERROR(__xludf.DUMMYFUNCTION("""COMPUTED_VALUE"""),0.0)</f>
        <v>0</v>
      </c>
      <c r="AK320" s="96">
        <f>IFERROR(__xludf.DUMMYFUNCTION("""COMPUTED_VALUE"""),0.0)</f>
        <v>0</v>
      </c>
      <c r="AL320" s="129">
        <f>IFERROR(__xludf.DUMMYFUNCTION("""COMPUTED_VALUE"""),0.0)</f>
        <v>0</v>
      </c>
      <c r="AM320" s="99"/>
    </row>
    <row r="321">
      <c r="V321" s="96">
        <f>IFERROR(__xludf.DUMMYFUNCTION("""COMPUTED_VALUE"""),4.0)</f>
        <v>4</v>
      </c>
      <c r="W321" s="98">
        <f>IFERROR(__xludf.DUMMYFUNCTION("""COMPUTED_VALUE"""),44084.0)</f>
        <v>44084</v>
      </c>
      <c r="X321" s="96" t="str">
        <f>IFERROR(__xludf.DUMMYFUNCTION("""COMPUTED_VALUE"""),"CONFIDENCE")</f>
        <v>CONFIDENCE</v>
      </c>
      <c r="Y321" s="96" t="str">
        <f>IFERROR(__xludf.DUMMYFUNCTION("""COMPUTED_VALUE"""),"CONFIDENCE4")</f>
        <v>CONFIDENCE4</v>
      </c>
      <c r="Z321" s="96"/>
      <c r="AA321" s="96"/>
      <c r="AB321" s="96"/>
      <c r="AC321" s="96"/>
      <c r="AD321" s="96"/>
      <c r="AE321" s="96"/>
      <c r="AF321" s="96">
        <f>IFERROR(__xludf.DUMMYFUNCTION("""COMPUTED_VALUE"""),49500.0)</f>
        <v>49500</v>
      </c>
      <c r="AG321" s="99">
        <f>IFERROR(__xludf.DUMMYFUNCTION("""COMPUTED_VALUE"""),49500.0)</f>
        <v>49500</v>
      </c>
      <c r="AH321" s="96"/>
      <c r="AI321" s="96">
        <f>IFERROR(__xludf.DUMMYFUNCTION("""COMPUTED_VALUE"""),0.0)</f>
        <v>0</v>
      </c>
      <c r="AJ321" s="96">
        <f>IFERROR(__xludf.DUMMYFUNCTION("""COMPUTED_VALUE"""),0.0)</f>
        <v>0</v>
      </c>
      <c r="AK321" s="96">
        <f>IFERROR(__xludf.DUMMYFUNCTION("""COMPUTED_VALUE"""),0.0)</f>
        <v>0</v>
      </c>
      <c r="AL321" s="129">
        <f>IFERROR(__xludf.DUMMYFUNCTION("""COMPUTED_VALUE"""),0.0)</f>
        <v>0</v>
      </c>
      <c r="AM321" s="99"/>
    </row>
    <row r="322">
      <c r="V322" s="96">
        <f>IFERROR(__xludf.DUMMYFUNCTION("""COMPUTED_VALUE"""),1.0)</f>
        <v>1</v>
      </c>
      <c r="W322" s="98">
        <f>IFERROR(__xludf.DUMMYFUNCTION("""COMPUTED_VALUE"""),44084.0)</f>
        <v>44084</v>
      </c>
      <c r="X322" s="96" t="str">
        <f>IFERROR(__xludf.DUMMYFUNCTION("""COMPUTED_VALUE"""),"ABANGS. HNSON")</f>
        <v>ABANGS. HNSON</v>
      </c>
      <c r="Y322" s="96" t="str">
        <f>IFERROR(__xludf.DUMMYFUNCTION("""COMPUTED_VALUE"""),"ABANGS. HNSON1")</f>
        <v>ABANGS. HNSON1</v>
      </c>
      <c r="Z322" s="96"/>
      <c r="AA322" s="96"/>
      <c r="AB322" s="96"/>
      <c r="AC322" s="96"/>
      <c r="AD322" s="96"/>
      <c r="AE322" s="96"/>
      <c r="AF322" s="96">
        <f>IFERROR(__xludf.DUMMYFUNCTION("""COMPUTED_VALUE"""),74000.0)</f>
        <v>74000</v>
      </c>
      <c r="AG322" s="99">
        <f>IFERROR(__xludf.DUMMYFUNCTION("""COMPUTED_VALUE"""),74000.0)</f>
        <v>74000</v>
      </c>
      <c r="AH322" s="96"/>
      <c r="AI322" s="96">
        <f>IFERROR(__xludf.DUMMYFUNCTION("""COMPUTED_VALUE"""),0.0)</f>
        <v>0</v>
      </c>
      <c r="AJ322" s="96">
        <f>IFERROR(__xludf.DUMMYFUNCTION("""COMPUTED_VALUE"""),0.0)</f>
        <v>0</v>
      </c>
      <c r="AK322" s="96">
        <f>IFERROR(__xludf.DUMMYFUNCTION("""COMPUTED_VALUE"""),0.0)</f>
        <v>0</v>
      </c>
      <c r="AL322" s="129">
        <f>IFERROR(__xludf.DUMMYFUNCTION("""COMPUTED_VALUE"""),0.0)</f>
        <v>0</v>
      </c>
      <c r="AM322" s="99"/>
    </row>
    <row r="323">
      <c r="V323" s="96">
        <f>IFERROR(__xludf.DUMMYFUNCTION("""COMPUTED_VALUE"""),2.0)</f>
        <v>2</v>
      </c>
      <c r="W323" s="98">
        <f>IFERROR(__xludf.DUMMYFUNCTION("""COMPUTED_VALUE"""),44085.0)</f>
        <v>44085</v>
      </c>
      <c r="X323" s="96" t="str">
        <f>IFERROR(__xludf.DUMMYFUNCTION("""COMPUTED_VALUE"""),"ABANG. BEN OLUM")</f>
        <v>ABANG. BEN OLUM</v>
      </c>
      <c r="Y323" s="96" t="str">
        <f>IFERROR(__xludf.DUMMYFUNCTION("""COMPUTED_VALUE"""),"ABANG. BEN OLUM2")</f>
        <v>ABANG. BEN OLUM2</v>
      </c>
      <c r="Z323" s="96"/>
      <c r="AA323" s="96"/>
      <c r="AB323" s="96"/>
      <c r="AC323" s="96"/>
      <c r="AD323" s="96"/>
      <c r="AE323" s="96"/>
      <c r="AF323" s="96"/>
      <c r="AG323" s="99">
        <f>IFERROR(__xludf.DUMMYFUNCTION("""COMPUTED_VALUE"""),-920000.0)</f>
        <v>-920000</v>
      </c>
      <c r="AH323" s="96"/>
      <c r="AI323" s="96">
        <f>IFERROR(__xludf.DUMMYFUNCTION("""COMPUTED_VALUE"""),0.0)</f>
        <v>0</v>
      </c>
      <c r="AJ323" s="96">
        <f>IFERROR(__xludf.DUMMYFUNCTION("""COMPUTED_VALUE"""),0.0)</f>
        <v>0</v>
      </c>
      <c r="AK323" s="96">
        <f>IFERROR(__xludf.DUMMYFUNCTION("""COMPUTED_VALUE"""),0.0)</f>
        <v>0</v>
      </c>
      <c r="AL323" s="129">
        <f>IFERROR(__xludf.DUMMYFUNCTION("""COMPUTED_VALUE"""),0.0)</f>
        <v>0</v>
      </c>
      <c r="AM323" s="99">
        <f>IFERROR(__xludf.DUMMYFUNCTION("""COMPUTED_VALUE"""),920000.0)</f>
        <v>920000</v>
      </c>
    </row>
    <row r="324">
      <c r="V324" s="96">
        <f>IFERROR(__xludf.DUMMYFUNCTION("""COMPUTED_VALUE"""),2.0)</f>
        <v>2</v>
      </c>
      <c r="W324" s="98">
        <f>IFERROR(__xludf.DUMMYFUNCTION("""COMPUTED_VALUE"""),44085.0)</f>
        <v>44085</v>
      </c>
      <c r="X324" s="96" t="str">
        <f>IFERROR(__xludf.DUMMYFUNCTION("""COMPUTED_VALUE"""),"ABANG. EDET")</f>
        <v>ABANG. EDET</v>
      </c>
      <c r="Y324" s="96" t="str">
        <f>IFERROR(__xludf.DUMMYFUNCTION("""COMPUTED_VALUE"""),"ABANG. EDET2")</f>
        <v>ABANG. EDET2</v>
      </c>
      <c r="Z324" s="96"/>
      <c r="AA324" s="96"/>
      <c r="AB324" s="96"/>
      <c r="AC324" s="96"/>
      <c r="AD324" s="96"/>
      <c r="AE324" s="96"/>
      <c r="AF324" s="96"/>
      <c r="AG324" s="99">
        <f>IFERROR(__xludf.DUMMYFUNCTION("""COMPUTED_VALUE"""),-1000.0)</f>
        <v>-1000</v>
      </c>
      <c r="AH324" s="96"/>
      <c r="AI324" s="96">
        <f>IFERROR(__xludf.DUMMYFUNCTION("""COMPUTED_VALUE"""),0.0)</f>
        <v>0</v>
      </c>
      <c r="AJ324" s="96">
        <f>IFERROR(__xludf.DUMMYFUNCTION("""COMPUTED_VALUE"""),0.0)</f>
        <v>0</v>
      </c>
      <c r="AK324" s="96">
        <f>IFERROR(__xludf.DUMMYFUNCTION("""COMPUTED_VALUE"""),0.0)</f>
        <v>0</v>
      </c>
      <c r="AL324" s="129">
        <f>IFERROR(__xludf.DUMMYFUNCTION("""COMPUTED_VALUE"""),0.0)</f>
        <v>0</v>
      </c>
      <c r="AM324" s="99">
        <f>IFERROR(__xludf.DUMMYFUNCTION("""COMPUTED_VALUE"""),1000.0)</f>
        <v>1000</v>
      </c>
    </row>
    <row r="325">
      <c r="V325" s="96">
        <f>IFERROR(__xludf.DUMMYFUNCTION("""COMPUTED_VALUE"""),2.0)</f>
        <v>2</v>
      </c>
      <c r="W325" s="98">
        <f>IFERROR(__xludf.DUMMYFUNCTION("""COMPUTED_VALUE"""),44085.0)</f>
        <v>44085</v>
      </c>
      <c r="X325" s="96" t="str">
        <f>IFERROR(__xludf.DUMMYFUNCTION("""COMPUTED_VALUE"""),"ABANG. DUNLOP")</f>
        <v>ABANG. DUNLOP</v>
      </c>
      <c r="Y325" s="96" t="str">
        <f>IFERROR(__xludf.DUMMYFUNCTION("""COMPUTED_VALUE"""),"ABANG. DUNLOP2")</f>
        <v>ABANG. DUNLOP2</v>
      </c>
      <c r="Z325" s="96"/>
      <c r="AA325" s="96"/>
      <c r="AB325" s="96"/>
      <c r="AC325" s="96"/>
      <c r="AD325" s="96"/>
      <c r="AE325" s="96"/>
      <c r="AF325" s="96"/>
      <c r="AG325" s="99">
        <f>IFERROR(__xludf.DUMMYFUNCTION("""COMPUTED_VALUE"""),-800000.0)</f>
        <v>-800000</v>
      </c>
      <c r="AH325" s="96"/>
      <c r="AI325" s="96">
        <f>IFERROR(__xludf.DUMMYFUNCTION("""COMPUTED_VALUE"""),0.0)</f>
        <v>0</v>
      </c>
      <c r="AJ325" s="96">
        <f>IFERROR(__xludf.DUMMYFUNCTION("""COMPUTED_VALUE"""),0.0)</f>
        <v>0</v>
      </c>
      <c r="AK325" s="96">
        <f>IFERROR(__xludf.DUMMYFUNCTION("""COMPUTED_VALUE"""),0.0)</f>
        <v>0</v>
      </c>
      <c r="AL325" s="129">
        <f>IFERROR(__xludf.DUMMYFUNCTION("""COMPUTED_VALUE"""),0.0)</f>
        <v>0</v>
      </c>
      <c r="AM325" s="99">
        <f>IFERROR(__xludf.DUMMYFUNCTION("""COMPUTED_VALUE"""),800000.0)</f>
        <v>800000</v>
      </c>
    </row>
    <row r="326">
      <c r="V326" s="96">
        <f>IFERROR(__xludf.DUMMYFUNCTION("""COMPUTED_VALUE"""),4.0)</f>
        <v>4</v>
      </c>
      <c r="W326" s="98">
        <f>IFERROR(__xludf.DUMMYFUNCTION("""COMPUTED_VALUE"""),44085.0)</f>
        <v>44085</v>
      </c>
      <c r="X326" s="96" t="str">
        <f>IFERROR(__xludf.DUMMYFUNCTION("""COMPUTED_VALUE"""),"OBIM TIWA HNSON")</f>
        <v>OBIM TIWA HNSON</v>
      </c>
      <c r="Y326" s="96" t="str">
        <f>IFERROR(__xludf.DUMMYFUNCTION("""COMPUTED_VALUE"""),"OBIM TIWA HNSON4")</f>
        <v>OBIM TIWA HNSON4</v>
      </c>
      <c r="Z326" s="96"/>
      <c r="AA326" s="96"/>
      <c r="AB326" s="96"/>
      <c r="AC326" s="96"/>
      <c r="AD326" s="96"/>
      <c r="AE326" s="96"/>
      <c r="AF326" s="96"/>
      <c r="AG326" s="99">
        <f>IFERROR(__xludf.DUMMYFUNCTION("""COMPUTED_VALUE"""),-610000.0)</f>
        <v>-610000</v>
      </c>
      <c r="AH326" s="96"/>
      <c r="AI326" s="96">
        <f>IFERROR(__xludf.DUMMYFUNCTION("""COMPUTED_VALUE"""),0.0)</f>
        <v>0</v>
      </c>
      <c r="AJ326" s="96">
        <f>IFERROR(__xludf.DUMMYFUNCTION("""COMPUTED_VALUE"""),0.0)</f>
        <v>0</v>
      </c>
      <c r="AK326" s="96">
        <f>IFERROR(__xludf.DUMMYFUNCTION("""COMPUTED_VALUE"""),0.0)</f>
        <v>0</v>
      </c>
      <c r="AL326" s="129">
        <f>IFERROR(__xludf.DUMMYFUNCTION("""COMPUTED_VALUE"""),0.0)</f>
        <v>0</v>
      </c>
      <c r="AM326" s="99">
        <f>IFERROR(__xludf.DUMMYFUNCTION("""COMPUTED_VALUE"""),610000.0)</f>
        <v>610000</v>
      </c>
    </row>
    <row r="327">
      <c r="V327" s="96">
        <f>IFERROR(__xludf.DUMMYFUNCTION("""COMPUTED_VALUE"""),3.0)</f>
        <v>3</v>
      </c>
      <c r="W327" s="98">
        <f>IFERROR(__xludf.DUMMYFUNCTION("""COMPUTED_VALUE"""),44085.0)</f>
        <v>44085</v>
      </c>
      <c r="X327" s="96" t="str">
        <f>IFERROR(__xludf.DUMMYFUNCTION("""COMPUTED_VALUE"""),"RI SAMP")</f>
        <v>RI SAMP</v>
      </c>
      <c r="Y327" s="96" t="str">
        <f>IFERROR(__xludf.DUMMYFUNCTION("""COMPUTED_VALUE"""),"RI SAMP3")</f>
        <v>RI SAMP3</v>
      </c>
      <c r="Z327" s="96"/>
      <c r="AA327" s="96"/>
      <c r="AB327" s="96"/>
      <c r="AC327" s="96"/>
      <c r="AD327" s="96"/>
      <c r="AE327" s="96"/>
      <c r="AF327" s="96"/>
      <c r="AG327" s="99">
        <f>IFERROR(__xludf.DUMMYFUNCTION("""COMPUTED_VALUE"""),-429600.0)</f>
        <v>-429600</v>
      </c>
      <c r="AH327" s="96"/>
      <c r="AI327" s="96">
        <f>IFERROR(__xludf.DUMMYFUNCTION("""COMPUTED_VALUE"""),0.0)</f>
        <v>0</v>
      </c>
      <c r="AJ327" s="96">
        <f>IFERROR(__xludf.DUMMYFUNCTION("""COMPUTED_VALUE"""),0.0)</f>
        <v>0</v>
      </c>
      <c r="AK327" s="96">
        <f>IFERROR(__xludf.DUMMYFUNCTION("""COMPUTED_VALUE"""),0.0)</f>
        <v>0</v>
      </c>
      <c r="AL327" s="129">
        <f>IFERROR(__xludf.DUMMYFUNCTION("""COMPUTED_VALUE"""),0.0)</f>
        <v>0</v>
      </c>
      <c r="AM327" s="99">
        <f>IFERROR(__xludf.DUMMYFUNCTION("""COMPUTED_VALUE"""),429600.0)</f>
        <v>429600</v>
      </c>
    </row>
    <row r="328">
      <c r="V328" s="96">
        <f>IFERROR(__xludf.DUMMYFUNCTION("""COMPUTED_VALUE"""),7.0)</f>
        <v>7</v>
      </c>
      <c r="W328" s="98">
        <f>IFERROR(__xludf.DUMMYFUNCTION("""COMPUTED_VALUE"""),44085.0)</f>
        <v>44085</v>
      </c>
      <c r="X328" s="96" t="str">
        <f>IFERROR(__xludf.DUMMYFUNCTION("""COMPUTED_VALUE"""),"REMMY BODES")</f>
        <v>REMMY BODES</v>
      </c>
      <c r="Y328" s="96" t="str">
        <f>IFERROR(__xludf.DUMMYFUNCTION("""COMPUTED_VALUE"""),"REMMY BODES7")</f>
        <v>REMMY BODES7</v>
      </c>
      <c r="Z328" s="96"/>
      <c r="AA328" s="96"/>
      <c r="AB328" s="96"/>
      <c r="AC328" s="96"/>
      <c r="AD328" s="96"/>
      <c r="AE328" s="96"/>
      <c r="AF328" s="96"/>
      <c r="AG328" s="99">
        <f>IFERROR(__xludf.DUMMYFUNCTION("""COMPUTED_VALUE"""),-801060.0)</f>
        <v>-801060</v>
      </c>
      <c r="AH328" s="96"/>
      <c r="AI328" s="96">
        <f>IFERROR(__xludf.DUMMYFUNCTION("""COMPUTED_VALUE"""),0.0)</f>
        <v>0</v>
      </c>
      <c r="AJ328" s="96">
        <f>IFERROR(__xludf.DUMMYFUNCTION("""COMPUTED_VALUE"""),0.0)</f>
        <v>0</v>
      </c>
      <c r="AK328" s="96">
        <f>IFERROR(__xludf.DUMMYFUNCTION("""COMPUTED_VALUE"""),0.0)</f>
        <v>0</v>
      </c>
      <c r="AL328" s="129">
        <f>IFERROR(__xludf.DUMMYFUNCTION("""COMPUTED_VALUE"""),0.0)</f>
        <v>0</v>
      </c>
      <c r="AM328" s="99">
        <f>IFERROR(__xludf.DUMMYFUNCTION("""COMPUTED_VALUE"""),801060.0)</f>
        <v>801060</v>
      </c>
    </row>
    <row r="329">
      <c r="V329" s="96">
        <f>IFERROR(__xludf.DUMMYFUNCTION("""COMPUTED_VALUE"""),10.0)</f>
        <v>10</v>
      </c>
      <c r="W329" s="98">
        <f>IFERROR(__xludf.DUMMYFUNCTION("""COMPUTED_VALUE"""),44085.0)</f>
        <v>44085</v>
      </c>
      <c r="X329" s="96" t="str">
        <f>IFERROR(__xludf.DUMMYFUNCTION("""COMPUTED_VALUE"""),"ALFRED ALABI")</f>
        <v>ALFRED ALABI</v>
      </c>
      <c r="Y329" s="96" t="str">
        <f>IFERROR(__xludf.DUMMYFUNCTION("""COMPUTED_VALUE"""),"ALFRED ALABI10")</f>
        <v>ALFRED ALABI10</v>
      </c>
      <c r="Z329" s="96"/>
      <c r="AA329" s="96"/>
      <c r="AB329" s="96"/>
      <c r="AC329" s="96"/>
      <c r="AD329" s="96"/>
      <c r="AE329" s="96"/>
      <c r="AF329" s="96"/>
      <c r="AG329" s="99">
        <f>IFERROR(__xludf.DUMMYFUNCTION("""COMPUTED_VALUE"""),-463000.0)</f>
        <v>-463000</v>
      </c>
      <c r="AH329" s="96"/>
      <c r="AI329" s="96">
        <f>IFERROR(__xludf.DUMMYFUNCTION("""COMPUTED_VALUE"""),0.0)</f>
        <v>0</v>
      </c>
      <c r="AJ329" s="96">
        <f>IFERROR(__xludf.DUMMYFUNCTION("""COMPUTED_VALUE"""),0.0)</f>
        <v>0</v>
      </c>
      <c r="AK329" s="96">
        <f>IFERROR(__xludf.DUMMYFUNCTION("""COMPUTED_VALUE"""),0.0)</f>
        <v>0</v>
      </c>
      <c r="AL329" s="129">
        <f>IFERROR(__xludf.DUMMYFUNCTION("""COMPUTED_VALUE"""),0.0)</f>
        <v>0</v>
      </c>
      <c r="AM329" s="99">
        <f>IFERROR(__xludf.DUMMYFUNCTION("""COMPUTED_VALUE"""),463000.0)</f>
        <v>463000</v>
      </c>
    </row>
    <row r="330">
      <c r="V330" s="96">
        <f>IFERROR(__xludf.DUMMYFUNCTION("""COMPUTED_VALUE"""),3.0)</f>
        <v>3</v>
      </c>
      <c r="W330" s="98">
        <f>IFERROR(__xludf.DUMMYFUNCTION("""COMPUTED_VALUE"""),44085.0)</f>
        <v>44085</v>
      </c>
      <c r="X330" s="96" t="str">
        <f>IFERROR(__xludf.DUMMYFUNCTION("""COMPUTED_VALUE"""),"OMODION")</f>
        <v>OMODION</v>
      </c>
      <c r="Y330" s="96" t="str">
        <f>IFERROR(__xludf.DUMMYFUNCTION("""COMPUTED_VALUE"""),"OMODION3")</f>
        <v>OMODION3</v>
      </c>
      <c r="Z330" s="96"/>
      <c r="AA330" s="96"/>
      <c r="AB330" s="96"/>
      <c r="AC330" s="96"/>
      <c r="AD330" s="96"/>
      <c r="AE330" s="96"/>
      <c r="AF330" s="96"/>
      <c r="AG330" s="99">
        <f>IFERROR(__xludf.DUMMYFUNCTION("""COMPUTED_VALUE"""),-530000.0)</f>
        <v>-530000</v>
      </c>
      <c r="AH330" s="96"/>
      <c r="AI330" s="96">
        <f>IFERROR(__xludf.DUMMYFUNCTION("""COMPUTED_VALUE"""),0.0)</f>
        <v>0</v>
      </c>
      <c r="AJ330" s="96">
        <f>IFERROR(__xludf.DUMMYFUNCTION("""COMPUTED_VALUE"""),0.0)</f>
        <v>0</v>
      </c>
      <c r="AK330" s="96">
        <f>IFERROR(__xludf.DUMMYFUNCTION("""COMPUTED_VALUE"""),0.0)</f>
        <v>0</v>
      </c>
      <c r="AL330" s="129">
        <f>IFERROR(__xludf.DUMMYFUNCTION("""COMPUTED_VALUE"""),0.0)</f>
        <v>0</v>
      </c>
      <c r="AM330" s="99">
        <f>IFERROR(__xludf.DUMMYFUNCTION("""COMPUTED_VALUE"""),530000.0)</f>
        <v>530000</v>
      </c>
    </row>
    <row r="331">
      <c r="V331" s="96">
        <f>IFERROR(__xludf.DUMMYFUNCTION("""COMPUTED_VALUE"""),7.0)</f>
        <v>7</v>
      </c>
      <c r="W331" s="98">
        <f>IFERROR(__xludf.DUMMYFUNCTION("""COMPUTED_VALUE"""),44085.0)</f>
        <v>44085</v>
      </c>
      <c r="X331" s="96" t="str">
        <f>IFERROR(__xludf.DUMMYFUNCTION("""COMPUTED_VALUE"""),"EMMANUEL OKO ")</f>
        <v>EMMANUEL OKO </v>
      </c>
      <c r="Y331" s="96" t="str">
        <f>IFERROR(__xludf.DUMMYFUNCTION("""COMPUTED_VALUE"""),"EMMANUEL OKO 7")</f>
        <v>EMMANUEL OKO 7</v>
      </c>
      <c r="Z331" s="96"/>
      <c r="AA331" s="96"/>
      <c r="AB331" s="96"/>
      <c r="AC331" s="96"/>
      <c r="AD331" s="96"/>
      <c r="AE331" s="96"/>
      <c r="AF331" s="96"/>
      <c r="AG331" s="99">
        <f>IFERROR(__xludf.DUMMYFUNCTION("""COMPUTED_VALUE"""),-636750.0)</f>
        <v>-636750</v>
      </c>
      <c r="AH331" s="96"/>
      <c r="AI331" s="96">
        <f>IFERROR(__xludf.DUMMYFUNCTION("""COMPUTED_VALUE"""),0.0)</f>
        <v>0</v>
      </c>
      <c r="AJ331" s="96">
        <f>IFERROR(__xludf.DUMMYFUNCTION("""COMPUTED_VALUE"""),0.0)</f>
        <v>0</v>
      </c>
      <c r="AK331" s="96">
        <f>IFERROR(__xludf.DUMMYFUNCTION("""COMPUTED_VALUE"""),0.0)</f>
        <v>0</v>
      </c>
      <c r="AL331" s="129">
        <f>IFERROR(__xludf.DUMMYFUNCTION("""COMPUTED_VALUE"""),0.0)</f>
        <v>0</v>
      </c>
      <c r="AM331" s="99">
        <f>IFERROR(__xludf.DUMMYFUNCTION("""COMPUTED_VALUE"""),636750.0)</f>
        <v>636750</v>
      </c>
    </row>
    <row r="332">
      <c r="V332" s="96">
        <f>IFERROR(__xludf.DUMMYFUNCTION("""COMPUTED_VALUE"""),6.0)</f>
        <v>6</v>
      </c>
      <c r="W332" s="98">
        <f>IFERROR(__xludf.DUMMYFUNCTION("""COMPUTED_VALUE"""),44085.0)</f>
        <v>44085</v>
      </c>
      <c r="X332" s="96" t="str">
        <f>IFERROR(__xludf.DUMMYFUNCTION("""COMPUTED_VALUE"""),"EUGENE")</f>
        <v>EUGENE</v>
      </c>
      <c r="Y332" s="96" t="str">
        <f>IFERROR(__xludf.DUMMYFUNCTION("""COMPUTED_VALUE"""),"EUGENE6")</f>
        <v>EUGENE6</v>
      </c>
      <c r="Z332" s="96"/>
      <c r="AA332" s="96"/>
      <c r="AB332" s="96"/>
      <c r="AC332" s="96"/>
      <c r="AD332" s="96"/>
      <c r="AE332" s="96"/>
      <c r="AF332" s="96"/>
      <c r="AG332" s="99">
        <f>IFERROR(__xludf.DUMMYFUNCTION("""COMPUTED_VALUE"""),-81200.0)</f>
        <v>-81200</v>
      </c>
      <c r="AH332" s="96"/>
      <c r="AI332" s="96">
        <f>IFERROR(__xludf.DUMMYFUNCTION("""COMPUTED_VALUE"""),0.0)</f>
        <v>0</v>
      </c>
      <c r="AJ332" s="96">
        <f>IFERROR(__xludf.DUMMYFUNCTION("""COMPUTED_VALUE"""),0.0)</f>
        <v>0</v>
      </c>
      <c r="AK332" s="96">
        <f>IFERROR(__xludf.DUMMYFUNCTION("""COMPUTED_VALUE"""),0.0)</f>
        <v>0</v>
      </c>
      <c r="AL332" s="129">
        <f>IFERROR(__xludf.DUMMYFUNCTION("""COMPUTED_VALUE"""),0.0)</f>
        <v>0</v>
      </c>
      <c r="AM332" s="99">
        <f>IFERROR(__xludf.DUMMYFUNCTION("""COMPUTED_VALUE"""),81200.0)</f>
        <v>81200</v>
      </c>
    </row>
    <row r="333">
      <c r="V333" s="96">
        <f>IFERROR(__xludf.DUMMYFUNCTION("""COMPUTED_VALUE"""),5.0)</f>
        <v>5</v>
      </c>
      <c r="W333" s="98">
        <f>IFERROR(__xludf.DUMMYFUNCTION("""COMPUTED_VALUE"""),44085.0)</f>
        <v>44085</v>
      </c>
      <c r="X333" s="96" t="str">
        <f>IFERROR(__xludf.DUMMYFUNCTION("""COMPUTED_VALUE"""),"MAXWELL AGRO OBI")</f>
        <v>MAXWELL AGRO OBI</v>
      </c>
      <c r="Y333" s="96" t="str">
        <f>IFERROR(__xludf.DUMMYFUNCTION("""COMPUTED_VALUE"""),"MAXWELL AGRO OBI5")</f>
        <v>MAXWELL AGRO OBI5</v>
      </c>
      <c r="Z333" s="96"/>
      <c r="AA333" s="96"/>
      <c r="AB333" s="96"/>
      <c r="AC333" s="96"/>
      <c r="AD333" s="96"/>
      <c r="AE333" s="96"/>
      <c r="AF333" s="96"/>
      <c r="AG333" s="99">
        <f>IFERROR(__xludf.DUMMYFUNCTION("""COMPUTED_VALUE"""),-253520.0)</f>
        <v>-253520</v>
      </c>
      <c r="AH333" s="96"/>
      <c r="AI333" s="96">
        <f>IFERROR(__xludf.DUMMYFUNCTION("""COMPUTED_VALUE"""),0.0)</f>
        <v>0</v>
      </c>
      <c r="AJ333" s="96">
        <f>IFERROR(__xludf.DUMMYFUNCTION("""COMPUTED_VALUE"""),0.0)</f>
        <v>0</v>
      </c>
      <c r="AK333" s="96">
        <f>IFERROR(__xludf.DUMMYFUNCTION("""COMPUTED_VALUE"""),0.0)</f>
        <v>0</v>
      </c>
      <c r="AL333" s="129">
        <f>IFERROR(__xludf.DUMMYFUNCTION("""COMPUTED_VALUE"""),0.0)</f>
        <v>0</v>
      </c>
      <c r="AM333" s="99">
        <f>IFERROR(__xludf.DUMMYFUNCTION("""COMPUTED_VALUE"""),253520.0)</f>
        <v>253520</v>
      </c>
    </row>
    <row r="334">
      <c r="V334" s="96">
        <f>IFERROR(__xludf.DUMMYFUNCTION("""COMPUTED_VALUE"""),16.0)</f>
        <v>16</v>
      </c>
      <c r="W334" s="98">
        <f>IFERROR(__xludf.DUMMYFUNCTION("""COMPUTED_VALUE"""),44085.0)</f>
        <v>44085</v>
      </c>
      <c r="X334" s="96" t="str">
        <f>IFERROR(__xludf.DUMMYFUNCTION("""COMPUTED_VALUE"""),"BOSURU  BOSURU")</f>
        <v>BOSURU  BOSURU</v>
      </c>
      <c r="Y334" s="96" t="str">
        <f>IFERROR(__xludf.DUMMYFUNCTION("""COMPUTED_VALUE"""),"BOSURU  BOSURU16")</f>
        <v>BOSURU  BOSURU16</v>
      </c>
      <c r="Z334" s="96"/>
      <c r="AA334" s="96"/>
      <c r="AB334" s="96"/>
      <c r="AC334" s="96"/>
      <c r="AD334" s="96"/>
      <c r="AE334" s="96"/>
      <c r="AF334" s="96">
        <f>IFERROR(__xludf.DUMMYFUNCTION("""COMPUTED_VALUE"""),500000.0)</f>
        <v>500000</v>
      </c>
      <c r="AG334" s="99">
        <f>IFERROR(__xludf.DUMMYFUNCTION("""COMPUTED_VALUE"""),500000.0)</f>
        <v>500000</v>
      </c>
      <c r="AH334" s="96"/>
      <c r="AI334" s="96">
        <f>IFERROR(__xludf.DUMMYFUNCTION("""COMPUTED_VALUE"""),0.0)</f>
        <v>0</v>
      </c>
      <c r="AJ334" s="96">
        <f>IFERROR(__xludf.DUMMYFUNCTION("""COMPUTED_VALUE"""),0.0)</f>
        <v>0</v>
      </c>
      <c r="AK334" s="96">
        <f>IFERROR(__xludf.DUMMYFUNCTION("""COMPUTED_VALUE"""),0.0)</f>
        <v>0</v>
      </c>
      <c r="AL334" s="129">
        <f>IFERROR(__xludf.DUMMYFUNCTION("""COMPUTED_VALUE"""),0.0)</f>
        <v>0</v>
      </c>
      <c r="AM334" s="99"/>
    </row>
    <row r="335">
      <c r="V335" s="96">
        <f>IFERROR(__xludf.DUMMYFUNCTION("""COMPUTED_VALUE"""),12.0)</f>
        <v>12</v>
      </c>
      <c r="W335" s="98">
        <f>IFERROR(__xludf.DUMMYFUNCTION("""COMPUTED_VALUE"""),44085.0)</f>
        <v>44085</v>
      </c>
      <c r="X335" s="96" t="str">
        <f>IFERROR(__xludf.DUMMYFUNCTION("""COMPUTED_VALUE""")," MAXWELL AGRO")</f>
        <v> MAXWELL AGRO</v>
      </c>
      <c r="Y335" s="96" t="str">
        <f>IFERROR(__xludf.DUMMYFUNCTION("""COMPUTED_VALUE""")," MAXWELL AGRO12")</f>
        <v> MAXWELL AGRO12</v>
      </c>
      <c r="Z335" s="96"/>
      <c r="AA335" s="96"/>
      <c r="AB335" s="96"/>
      <c r="AC335" s="96"/>
      <c r="AD335" s="96"/>
      <c r="AE335" s="96"/>
      <c r="AF335" s="96">
        <f>IFERROR(__xludf.DUMMYFUNCTION("""COMPUTED_VALUE"""),192580.0)</f>
        <v>192580</v>
      </c>
      <c r="AG335" s="99">
        <f>IFERROR(__xludf.DUMMYFUNCTION("""COMPUTED_VALUE"""),192580.0)</f>
        <v>192580</v>
      </c>
      <c r="AH335" s="96"/>
      <c r="AI335" s="96">
        <f>IFERROR(__xludf.DUMMYFUNCTION("""COMPUTED_VALUE"""),0.0)</f>
        <v>0</v>
      </c>
      <c r="AJ335" s="96">
        <f>IFERROR(__xludf.DUMMYFUNCTION("""COMPUTED_VALUE"""),0.0)</f>
        <v>0</v>
      </c>
      <c r="AK335" s="96">
        <f>IFERROR(__xludf.DUMMYFUNCTION("""COMPUTED_VALUE"""),0.0)</f>
        <v>0</v>
      </c>
      <c r="AL335" s="129">
        <f>IFERROR(__xludf.DUMMYFUNCTION("""COMPUTED_VALUE"""),0.0)</f>
        <v>0</v>
      </c>
      <c r="AM335" s="99"/>
    </row>
    <row r="336">
      <c r="V336" s="96">
        <f>IFERROR(__xludf.DUMMYFUNCTION("""COMPUTED_VALUE"""),5.0)</f>
        <v>5</v>
      </c>
      <c r="W336" s="98">
        <f>IFERROR(__xludf.DUMMYFUNCTION("""COMPUTED_VALUE"""),44085.0)</f>
        <v>44085</v>
      </c>
      <c r="X336" s="96" t="str">
        <f>IFERROR(__xludf.DUMMYFUNCTION("""COMPUTED_VALUE"""),"NDOMA NDOMA")</f>
        <v>NDOMA NDOMA</v>
      </c>
      <c r="Y336" s="96" t="str">
        <f>IFERROR(__xludf.DUMMYFUNCTION("""COMPUTED_VALUE"""),"NDOMA NDOMA5")</f>
        <v>NDOMA NDOMA5</v>
      </c>
      <c r="Z336" s="96"/>
      <c r="AA336" s="96"/>
      <c r="AB336" s="96"/>
      <c r="AC336" s="96"/>
      <c r="AD336" s="96"/>
      <c r="AE336" s="96"/>
      <c r="AF336" s="96">
        <f>IFERROR(__xludf.DUMMYFUNCTION("""COMPUTED_VALUE"""),790000.0)</f>
        <v>790000</v>
      </c>
      <c r="AG336" s="99">
        <f>IFERROR(__xludf.DUMMYFUNCTION("""COMPUTED_VALUE"""),790000.0)</f>
        <v>790000</v>
      </c>
      <c r="AH336" s="96"/>
      <c r="AI336" s="96">
        <f>IFERROR(__xludf.DUMMYFUNCTION("""COMPUTED_VALUE"""),0.0)</f>
        <v>0</v>
      </c>
      <c r="AJ336" s="96">
        <f>IFERROR(__xludf.DUMMYFUNCTION("""COMPUTED_VALUE"""),0.0)</f>
        <v>0</v>
      </c>
      <c r="AK336" s="96">
        <f>IFERROR(__xludf.DUMMYFUNCTION("""COMPUTED_VALUE"""),0.0)</f>
        <v>0</v>
      </c>
      <c r="AL336" s="129">
        <f>IFERROR(__xludf.DUMMYFUNCTION("""COMPUTED_VALUE"""),0.0)</f>
        <v>0</v>
      </c>
      <c r="AM336" s="99"/>
    </row>
    <row r="337">
      <c r="V337" s="96">
        <f>IFERROR(__xludf.DUMMYFUNCTION("""COMPUTED_VALUE"""),6.0)</f>
        <v>6</v>
      </c>
      <c r="W337" s="98">
        <f>IFERROR(__xludf.DUMMYFUNCTION("""COMPUTED_VALUE"""),44085.0)</f>
        <v>44085</v>
      </c>
      <c r="X337" s="96" t="str">
        <f>IFERROR(__xludf.DUMMYFUNCTION("""COMPUTED_VALUE"""),"AUGUSTINE IGBA")</f>
        <v>AUGUSTINE IGBA</v>
      </c>
      <c r="Y337" s="96" t="str">
        <f>IFERROR(__xludf.DUMMYFUNCTION("""COMPUTED_VALUE"""),"AUGUSTINE IGBA6")</f>
        <v>AUGUSTINE IGBA6</v>
      </c>
      <c r="Z337" s="96"/>
      <c r="AA337" s="96"/>
      <c r="AB337" s="96"/>
      <c r="AC337" s="96"/>
      <c r="AD337" s="96"/>
      <c r="AE337" s="96"/>
      <c r="AF337" s="96">
        <f>IFERROR(__xludf.DUMMYFUNCTION("""COMPUTED_VALUE"""),3000000.0)</f>
        <v>3000000</v>
      </c>
      <c r="AG337" s="99">
        <f>IFERROR(__xludf.DUMMYFUNCTION("""COMPUTED_VALUE"""),3000000.0)</f>
        <v>3000000</v>
      </c>
      <c r="AH337" s="96"/>
      <c r="AI337" s="96">
        <f>IFERROR(__xludf.DUMMYFUNCTION("""COMPUTED_VALUE"""),0.0)</f>
        <v>0</v>
      </c>
      <c r="AJ337" s="96">
        <f>IFERROR(__xludf.DUMMYFUNCTION("""COMPUTED_VALUE"""),0.0)</f>
        <v>0</v>
      </c>
      <c r="AK337" s="96">
        <f>IFERROR(__xludf.DUMMYFUNCTION("""COMPUTED_VALUE"""),0.0)</f>
        <v>0</v>
      </c>
      <c r="AL337" s="129">
        <f>IFERROR(__xludf.DUMMYFUNCTION("""COMPUTED_VALUE"""),0.0)</f>
        <v>0</v>
      </c>
      <c r="AM337" s="99"/>
    </row>
    <row r="338">
      <c r="V338" s="96">
        <f>IFERROR(__xludf.DUMMYFUNCTION("""COMPUTED_VALUE"""),3.0)</f>
        <v>3</v>
      </c>
      <c r="W338" s="98">
        <f>IFERROR(__xludf.DUMMYFUNCTION("""COMPUTED_VALUE"""),44085.0)</f>
        <v>44085</v>
      </c>
      <c r="X338" s="96" t="str">
        <f>IFERROR(__xludf.DUMMYFUNCTION("""COMPUTED_VALUE"""),"PAPA AJASCO BETTE")</f>
        <v>PAPA AJASCO BETTE</v>
      </c>
      <c r="Y338" s="96" t="str">
        <f>IFERROR(__xludf.DUMMYFUNCTION("""COMPUTED_VALUE"""),"PAPA AJASCO BETTE3")</f>
        <v>PAPA AJASCO BETTE3</v>
      </c>
      <c r="Z338" s="96"/>
      <c r="AA338" s="96"/>
      <c r="AB338" s="96"/>
      <c r="AC338" s="96"/>
      <c r="AD338" s="96"/>
      <c r="AE338" s="96"/>
      <c r="AF338" s="96">
        <f>IFERROR(__xludf.DUMMYFUNCTION("""COMPUTED_VALUE"""),160000.0)</f>
        <v>160000</v>
      </c>
      <c r="AG338" s="99">
        <f>IFERROR(__xludf.DUMMYFUNCTION("""COMPUTED_VALUE"""),160000.0)</f>
        <v>160000</v>
      </c>
      <c r="AH338" s="96"/>
      <c r="AI338" s="96">
        <f>IFERROR(__xludf.DUMMYFUNCTION("""COMPUTED_VALUE"""),0.0)</f>
        <v>0</v>
      </c>
      <c r="AJ338" s="96">
        <f>IFERROR(__xludf.DUMMYFUNCTION("""COMPUTED_VALUE"""),0.0)</f>
        <v>0</v>
      </c>
      <c r="AK338" s="96">
        <f>IFERROR(__xludf.DUMMYFUNCTION("""COMPUTED_VALUE"""),0.0)</f>
        <v>0</v>
      </c>
      <c r="AL338" s="129">
        <f>IFERROR(__xludf.DUMMYFUNCTION("""COMPUTED_VALUE"""),0.0)</f>
        <v>0</v>
      </c>
      <c r="AM338" s="99"/>
    </row>
    <row r="339">
      <c r="V339" s="96">
        <f>IFERROR(__xludf.DUMMYFUNCTION("""COMPUTED_VALUE"""),5.0)</f>
        <v>5</v>
      </c>
      <c r="W339" s="98">
        <f>IFERROR(__xludf.DUMMYFUNCTION("""COMPUTED_VALUE"""),44085.0)</f>
        <v>44085</v>
      </c>
      <c r="X339" s="96" t="str">
        <f>IFERROR(__xludf.DUMMYFUNCTION("""COMPUTED_VALUE"""),"CONFIDENCE")</f>
        <v>CONFIDENCE</v>
      </c>
      <c r="Y339" s="96" t="str">
        <f>IFERROR(__xludf.DUMMYFUNCTION("""COMPUTED_VALUE"""),"CONFIDENCE5")</f>
        <v>CONFIDENCE5</v>
      </c>
      <c r="Z339" s="96"/>
      <c r="AA339" s="96"/>
      <c r="AB339" s="96"/>
      <c r="AC339" s="96"/>
      <c r="AD339" s="96"/>
      <c r="AE339" s="96"/>
      <c r="AF339" s="96">
        <f>IFERROR(__xludf.DUMMYFUNCTION("""COMPUTED_VALUE"""),1930000.0)</f>
        <v>1930000</v>
      </c>
      <c r="AG339" s="99">
        <f>IFERROR(__xludf.DUMMYFUNCTION("""COMPUTED_VALUE"""),1930000.0)</f>
        <v>1930000</v>
      </c>
      <c r="AH339" s="96"/>
      <c r="AI339" s="96">
        <f>IFERROR(__xludf.DUMMYFUNCTION("""COMPUTED_VALUE"""),0.0)</f>
        <v>0</v>
      </c>
      <c r="AJ339" s="96">
        <f>IFERROR(__xludf.DUMMYFUNCTION("""COMPUTED_VALUE"""),0.0)</f>
        <v>0</v>
      </c>
      <c r="AK339" s="96">
        <f>IFERROR(__xludf.DUMMYFUNCTION("""COMPUTED_VALUE"""),0.0)</f>
        <v>0</v>
      </c>
      <c r="AL339" s="129">
        <f>IFERROR(__xludf.DUMMYFUNCTION("""COMPUTED_VALUE"""),0.0)</f>
        <v>0</v>
      </c>
      <c r="AM339" s="99"/>
    </row>
    <row r="340">
      <c r="V340" s="96">
        <f>IFERROR(__xludf.DUMMYFUNCTION("""COMPUTED_VALUE"""),12.0)</f>
        <v>12</v>
      </c>
      <c r="W340" s="98">
        <f>IFERROR(__xludf.DUMMYFUNCTION("""COMPUTED_VALUE"""),44085.0)</f>
        <v>44085</v>
      </c>
      <c r="X340" s="96" t="str">
        <f>IFERROR(__xludf.DUMMYFUNCTION("""COMPUTED_VALUE"""),"EDWARD OKO")</f>
        <v>EDWARD OKO</v>
      </c>
      <c r="Y340" s="96" t="str">
        <f>IFERROR(__xludf.DUMMYFUNCTION("""COMPUTED_VALUE"""),"EDWARD OKO12")</f>
        <v>EDWARD OKO12</v>
      </c>
      <c r="Z340" s="96"/>
      <c r="AA340" s="96"/>
      <c r="AB340" s="96"/>
      <c r="AC340" s="96"/>
      <c r="AD340" s="96"/>
      <c r="AE340" s="96"/>
      <c r="AF340" s="96">
        <f>IFERROR(__xludf.DUMMYFUNCTION("""COMPUTED_VALUE"""),9500000.0)</f>
        <v>9500000</v>
      </c>
      <c r="AG340" s="99">
        <f>IFERROR(__xludf.DUMMYFUNCTION("""COMPUTED_VALUE"""),9500000.0)</f>
        <v>9500000</v>
      </c>
      <c r="AH340" s="96"/>
      <c r="AI340" s="96">
        <f>IFERROR(__xludf.DUMMYFUNCTION("""COMPUTED_VALUE"""),0.0)</f>
        <v>0</v>
      </c>
      <c r="AJ340" s="96">
        <f>IFERROR(__xludf.DUMMYFUNCTION("""COMPUTED_VALUE"""),0.0)</f>
        <v>0</v>
      </c>
      <c r="AK340" s="96">
        <f>IFERROR(__xludf.DUMMYFUNCTION("""COMPUTED_VALUE"""),0.0)</f>
        <v>0</v>
      </c>
      <c r="AL340" s="129">
        <f>IFERROR(__xludf.DUMMYFUNCTION("""COMPUTED_VALUE"""),0.0)</f>
        <v>0</v>
      </c>
      <c r="AM340" s="99"/>
    </row>
    <row r="341">
      <c r="V341" s="96">
        <f>IFERROR(__xludf.DUMMYFUNCTION("""COMPUTED_VALUE"""),3.0)</f>
        <v>3</v>
      </c>
      <c r="W341" s="98">
        <f>IFERROR(__xludf.DUMMYFUNCTION("""COMPUTED_VALUE"""),44085.0)</f>
        <v>44085</v>
      </c>
      <c r="X341" s="96" t="str">
        <f>IFERROR(__xludf.DUMMYFUNCTION("""COMPUTED_VALUE"""),"FRANCIS KEIBO")</f>
        <v>FRANCIS KEIBO</v>
      </c>
      <c r="Y341" s="96" t="str">
        <f>IFERROR(__xludf.DUMMYFUNCTION("""COMPUTED_VALUE"""),"FRANCIS KEIBO3")</f>
        <v>FRANCIS KEIBO3</v>
      </c>
      <c r="Z341" s="96"/>
      <c r="AA341" s="96"/>
      <c r="AB341" s="96"/>
      <c r="AC341" s="96"/>
      <c r="AD341" s="96"/>
      <c r="AE341" s="96"/>
      <c r="AF341" s="96">
        <f>IFERROR(__xludf.DUMMYFUNCTION("""COMPUTED_VALUE"""),100000.0)</f>
        <v>100000</v>
      </c>
      <c r="AG341" s="99">
        <f>IFERROR(__xludf.DUMMYFUNCTION("""COMPUTED_VALUE"""),100000.0)</f>
        <v>100000</v>
      </c>
      <c r="AH341" s="96"/>
      <c r="AI341" s="96">
        <f>IFERROR(__xludf.DUMMYFUNCTION("""COMPUTED_VALUE"""),0.0)</f>
        <v>0</v>
      </c>
      <c r="AJ341" s="96">
        <f>IFERROR(__xludf.DUMMYFUNCTION("""COMPUTED_VALUE"""),0.0)</f>
        <v>0</v>
      </c>
      <c r="AK341" s="96">
        <f>IFERROR(__xludf.DUMMYFUNCTION("""COMPUTED_VALUE"""),0.0)</f>
        <v>0</v>
      </c>
      <c r="AL341" s="129">
        <f>IFERROR(__xludf.DUMMYFUNCTION("""COMPUTED_VALUE"""),0.0)</f>
        <v>0</v>
      </c>
      <c r="AM341" s="99"/>
    </row>
    <row r="342">
      <c r="V342" s="96">
        <f>IFERROR(__xludf.DUMMYFUNCTION("""COMPUTED_VALUE"""),2.0)</f>
        <v>2</v>
      </c>
      <c r="W342" s="98">
        <f>IFERROR(__xludf.DUMMYFUNCTION("""COMPUTED_VALUE"""),44085.0)</f>
        <v>44085</v>
      </c>
      <c r="X342" s="96" t="str">
        <f>IFERROR(__xludf.DUMMYFUNCTION("""COMPUTED_VALUE"""),"AGEGE BOY")</f>
        <v>AGEGE BOY</v>
      </c>
      <c r="Y342" s="96" t="str">
        <f>IFERROR(__xludf.DUMMYFUNCTION("""COMPUTED_VALUE"""),"AGEGE BOY2")</f>
        <v>AGEGE BOY2</v>
      </c>
      <c r="Z342" s="96"/>
      <c r="AA342" s="96"/>
      <c r="AB342" s="96"/>
      <c r="AC342" s="96"/>
      <c r="AD342" s="96"/>
      <c r="AE342" s="96"/>
      <c r="AF342" s="96">
        <f>IFERROR(__xludf.DUMMYFUNCTION("""COMPUTED_VALUE"""),311280.0)</f>
        <v>311280</v>
      </c>
      <c r="AG342" s="99">
        <f>IFERROR(__xludf.DUMMYFUNCTION("""COMPUTED_VALUE"""),311280.0)</f>
        <v>311280</v>
      </c>
      <c r="AH342" s="96"/>
      <c r="AI342" s="96">
        <f>IFERROR(__xludf.DUMMYFUNCTION("""COMPUTED_VALUE"""),0.0)</f>
        <v>0</v>
      </c>
      <c r="AJ342" s="96">
        <f>IFERROR(__xludf.DUMMYFUNCTION("""COMPUTED_VALUE"""),0.0)</f>
        <v>0</v>
      </c>
      <c r="AK342" s="96">
        <f>IFERROR(__xludf.DUMMYFUNCTION("""COMPUTED_VALUE"""),0.0)</f>
        <v>0</v>
      </c>
      <c r="AL342" s="129">
        <f>IFERROR(__xludf.DUMMYFUNCTION("""COMPUTED_VALUE"""),0.0)</f>
        <v>0</v>
      </c>
      <c r="AM342" s="99"/>
    </row>
    <row r="343">
      <c r="V343" s="96">
        <f>IFERROR(__xludf.DUMMYFUNCTION("""COMPUTED_VALUE"""),2.0)</f>
        <v>2</v>
      </c>
      <c r="W343" s="98">
        <f>IFERROR(__xludf.DUMMYFUNCTION("""COMPUTED_VALUE"""),44085.0)</f>
        <v>44085</v>
      </c>
      <c r="X343" s="96" t="str">
        <f>IFERROR(__xludf.DUMMYFUNCTION("""COMPUTED_VALUE"""),"MATIAT REINA")</f>
        <v>MATIAT REINA</v>
      </c>
      <c r="Y343" s="96" t="str">
        <f>IFERROR(__xludf.DUMMYFUNCTION("""COMPUTED_VALUE"""),"MATIAT REINA2")</f>
        <v>MATIAT REINA2</v>
      </c>
      <c r="Z343" s="96"/>
      <c r="AA343" s="96"/>
      <c r="AB343" s="96"/>
      <c r="AC343" s="96"/>
      <c r="AD343" s="96"/>
      <c r="AE343" s="96"/>
      <c r="AF343" s="96">
        <f>IFERROR(__xludf.DUMMYFUNCTION("""COMPUTED_VALUE"""),50000.0)</f>
        <v>50000</v>
      </c>
      <c r="AG343" s="99">
        <f>IFERROR(__xludf.DUMMYFUNCTION("""COMPUTED_VALUE"""),50000.0)</f>
        <v>50000</v>
      </c>
      <c r="AH343" s="96"/>
      <c r="AI343" s="96">
        <f>IFERROR(__xludf.DUMMYFUNCTION("""COMPUTED_VALUE"""),0.0)</f>
        <v>0</v>
      </c>
      <c r="AJ343" s="96">
        <f>IFERROR(__xludf.DUMMYFUNCTION("""COMPUTED_VALUE"""),0.0)</f>
        <v>0</v>
      </c>
      <c r="AK343" s="96">
        <f>IFERROR(__xludf.DUMMYFUNCTION("""COMPUTED_VALUE"""),0.0)</f>
        <v>0</v>
      </c>
      <c r="AL343" s="129">
        <f>IFERROR(__xludf.DUMMYFUNCTION("""COMPUTED_VALUE"""),0.0)</f>
        <v>0</v>
      </c>
      <c r="AM343" s="99"/>
    </row>
    <row r="344">
      <c r="V344" s="96">
        <f>IFERROR(__xludf.DUMMYFUNCTION("""COMPUTED_VALUE"""),2.0)</f>
        <v>2</v>
      </c>
      <c r="W344" s="98">
        <f>IFERROR(__xludf.DUMMYFUNCTION("""COMPUTED_VALUE"""),44085.0)</f>
        <v>44085</v>
      </c>
      <c r="X344" s="96" t="str">
        <f>IFERROR(__xludf.DUMMYFUNCTION("""COMPUTED_VALUE"""),"OSIM MARIAM")</f>
        <v>OSIM MARIAM</v>
      </c>
      <c r="Y344" s="96" t="str">
        <f>IFERROR(__xludf.DUMMYFUNCTION("""COMPUTED_VALUE"""),"OSIM MARIAM2")</f>
        <v>OSIM MARIAM2</v>
      </c>
      <c r="Z344" s="96"/>
      <c r="AA344" s="96"/>
      <c r="AB344" s="96"/>
      <c r="AC344" s="96"/>
      <c r="AD344" s="96"/>
      <c r="AE344" s="96"/>
      <c r="AF344" s="96">
        <f>IFERROR(__xludf.DUMMYFUNCTION("""COMPUTED_VALUE"""),250000.0)</f>
        <v>250000</v>
      </c>
      <c r="AG344" s="99">
        <f>IFERROR(__xludf.DUMMYFUNCTION("""COMPUTED_VALUE"""),250000.0)</f>
        <v>250000</v>
      </c>
      <c r="AH344" s="96"/>
      <c r="AI344" s="96">
        <f>IFERROR(__xludf.DUMMYFUNCTION("""COMPUTED_VALUE"""),0.0)</f>
        <v>0</v>
      </c>
      <c r="AJ344" s="96">
        <f>IFERROR(__xludf.DUMMYFUNCTION("""COMPUTED_VALUE"""),0.0)</f>
        <v>0</v>
      </c>
      <c r="AK344" s="96">
        <f>IFERROR(__xludf.DUMMYFUNCTION("""COMPUTED_VALUE"""),0.0)</f>
        <v>0</v>
      </c>
      <c r="AL344" s="129">
        <f>IFERROR(__xludf.DUMMYFUNCTION("""COMPUTED_VALUE"""),0.0)</f>
        <v>0</v>
      </c>
      <c r="AM344" s="99"/>
    </row>
    <row r="345">
      <c r="V345" s="96">
        <f>IFERROR(__xludf.DUMMYFUNCTION("""COMPUTED_VALUE"""),4.0)</f>
        <v>4</v>
      </c>
      <c r="W345" s="98">
        <f>IFERROR(__xludf.DUMMYFUNCTION("""COMPUTED_VALUE"""),44085.0)</f>
        <v>44085</v>
      </c>
      <c r="X345" s="96" t="str">
        <f>IFERROR(__xludf.DUMMYFUNCTION("""COMPUTED_VALUE"""),"PRINNESS")</f>
        <v>PRINNESS</v>
      </c>
      <c r="Y345" s="96" t="str">
        <f>IFERROR(__xludf.DUMMYFUNCTION("""COMPUTED_VALUE"""),"PRINNESS4")</f>
        <v>PRINNESS4</v>
      </c>
      <c r="Z345" s="96"/>
      <c r="AA345" s="96"/>
      <c r="AB345" s="96"/>
      <c r="AC345" s="96"/>
      <c r="AD345" s="96"/>
      <c r="AE345" s="96"/>
      <c r="AF345" s="96">
        <f>IFERROR(__xludf.DUMMYFUNCTION("""COMPUTED_VALUE"""),400000.0)</f>
        <v>400000</v>
      </c>
      <c r="AG345" s="99">
        <f>IFERROR(__xludf.DUMMYFUNCTION("""COMPUTED_VALUE"""),400000.0)</f>
        <v>400000</v>
      </c>
      <c r="AH345" s="96"/>
      <c r="AI345" s="96">
        <f>IFERROR(__xludf.DUMMYFUNCTION("""COMPUTED_VALUE"""),0.0)</f>
        <v>0</v>
      </c>
      <c r="AJ345" s="96">
        <f>IFERROR(__xludf.DUMMYFUNCTION("""COMPUTED_VALUE"""),0.0)</f>
        <v>0</v>
      </c>
      <c r="AK345" s="96">
        <f>IFERROR(__xludf.DUMMYFUNCTION("""COMPUTED_VALUE"""),0.0)</f>
        <v>0</v>
      </c>
      <c r="AL345" s="129">
        <f>IFERROR(__xludf.DUMMYFUNCTION("""COMPUTED_VALUE"""),0.0)</f>
        <v>0</v>
      </c>
      <c r="AM345" s="99"/>
    </row>
    <row r="346">
      <c r="V346" s="96">
        <f>IFERROR(__xludf.DUMMYFUNCTION("""COMPUTED_VALUE"""),1.0)</f>
        <v>1</v>
      </c>
      <c r="W346" s="98">
        <f>IFERROR(__xludf.DUMMYFUNCTION("""COMPUTED_VALUE"""),44085.0)</f>
        <v>44085</v>
      </c>
      <c r="X346" s="96" t="str">
        <f>IFERROR(__xludf.DUMMYFUNCTION("""COMPUTED_VALUE"""),"MALACHY")</f>
        <v>MALACHY</v>
      </c>
      <c r="Y346" s="96" t="str">
        <f>IFERROR(__xludf.DUMMYFUNCTION("""COMPUTED_VALUE"""),"MALACHY1")</f>
        <v>MALACHY1</v>
      </c>
      <c r="Z346" s="96"/>
      <c r="AA346" s="96"/>
      <c r="AB346" s="96"/>
      <c r="AC346" s="96"/>
      <c r="AD346" s="96"/>
      <c r="AE346" s="96"/>
      <c r="AF346" s="96">
        <f>IFERROR(__xludf.DUMMYFUNCTION("""COMPUTED_VALUE"""),100000.0)</f>
        <v>100000</v>
      </c>
      <c r="AG346" s="99">
        <f>IFERROR(__xludf.DUMMYFUNCTION("""COMPUTED_VALUE"""),100000.0)</f>
        <v>100000</v>
      </c>
      <c r="AH346" s="96"/>
      <c r="AI346" s="96">
        <f>IFERROR(__xludf.DUMMYFUNCTION("""COMPUTED_VALUE"""),0.0)</f>
        <v>0</v>
      </c>
      <c r="AJ346" s="96">
        <f>IFERROR(__xludf.DUMMYFUNCTION("""COMPUTED_VALUE"""),0.0)</f>
        <v>0</v>
      </c>
      <c r="AK346" s="96">
        <f>IFERROR(__xludf.DUMMYFUNCTION("""COMPUTED_VALUE"""),0.0)</f>
        <v>0</v>
      </c>
      <c r="AL346" s="129">
        <f>IFERROR(__xludf.DUMMYFUNCTION("""COMPUTED_VALUE"""),0.0)</f>
        <v>0</v>
      </c>
      <c r="AM346" s="99"/>
    </row>
    <row r="347">
      <c r="V347" s="96">
        <f>IFERROR(__xludf.DUMMYFUNCTION("""COMPUTED_VALUE"""),11.0)</f>
        <v>11</v>
      </c>
      <c r="W347" s="98">
        <f>IFERROR(__xludf.DUMMYFUNCTION("""COMPUTED_VALUE"""),44085.0)</f>
        <v>44085</v>
      </c>
      <c r="X347" s="96" t="str">
        <f>IFERROR(__xludf.DUMMYFUNCTION("""COMPUTED_VALUE"""),"ETUK EFFI")</f>
        <v>ETUK EFFI</v>
      </c>
      <c r="Y347" s="96" t="str">
        <f>IFERROR(__xludf.DUMMYFUNCTION("""COMPUTED_VALUE"""),"ETUK EFFI11")</f>
        <v>ETUK EFFI11</v>
      </c>
      <c r="Z347" s="96"/>
      <c r="AA347" s="96"/>
      <c r="AB347" s="96"/>
      <c r="AC347" s="96"/>
      <c r="AD347" s="96"/>
      <c r="AE347" s="96"/>
      <c r="AF347" s="96">
        <f>IFERROR(__xludf.DUMMYFUNCTION("""COMPUTED_VALUE"""),1281400.0)</f>
        <v>1281400</v>
      </c>
      <c r="AG347" s="99">
        <f>IFERROR(__xludf.DUMMYFUNCTION("""COMPUTED_VALUE"""),1281400.0)</f>
        <v>1281400</v>
      </c>
      <c r="AH347" s="96"/>
      <c r="AI347" s="96">
        <f>IFERROR(__xludf.DUMMYFUNCTION("""COMPUTED_VALUE"""),0.0)</f>
        <v>0</v>
      </c>
      <c r="AJ347" s="96">
        <f>IFERROR(__xludf.DUMMYFUNCTION("""COMPUTED_VALUE"""),0.0)</f>
        <v>0</v>
      </c>
      <c r="AK347" s="96">
        <f>IFERROR(__xludf.DUMMYFUNCTION("""COMPUTED_VALUE"""),0.0)</f>
        <v>0</v>
      </c>
      <c r="AL347" s="129">
        <f>IFERROR(__xludf.DUMMYFUNCTION("""COMPUTED_VALUE"""),0.0)</f>
        <v>0</v>
      </c>
      <c r="AM347" s="99"/>
    </row>
    <row r="348">
      <c r="V348" s="96">
        <f>IFERROR(__xludf.DUMMYFUNCTION("""COMPUTED_VALUE"""),2.0)</f>
        <v>2</v>
      </c>
      <c r="W348" s="98">
        <f>IFERROR(__xludf.DUMMYFUNCTION("""COMPUTED_VALUE"""),44085.0)</f>
        <v>44085</v>
      </c>
      <c r="X348" s="96" t="str">
        <f>IFERROR(__xludf.DUMMYFUNCTION("""COMPUTED_VALUE"""),"CHINWE CHIDI")</f>
        <v>CHINWE CHIDI</v>
      </c>
      <c r="Y348" s="96" t="str">
        <f>IFERROR(__xludf.DUMMYFUNCTION("""COMPUTED_VALUE"""),"CHINWE CHIDI2")</f>
        <v>CHINWE CHIDI2</v>
      </c>
      <c r="Z348" s="96"/>
      <c r="AA348" s="96"/>
      <c r="AB348" s="96"/>
      <c r="AC348" s="96"/>
      <c r="AD348" s="96"/>
      <c r="AE348" s="96"/>
      <c r="AF348" s="96">
        <f>IFERROR(__xludf.DUMMYFUNCTION("""COMPUTED_VALUE"""),6000.0)</f>
        <v>6000</v>
      </c>
      <c r="AG348" s="99">
        <f>IFERROR(__xludf.DUMMYFUNCTION("""COMPUTED_VALUE"""),6000.0)</f>
        <v>6000</v>
      </c>
      <c r="AH348" s="96"/>
      <c r="AI348" s="96">
        <f>IFERROR(__xludf.DUMMYFUNCTION("""COMPUTED_VALUE"""),0.0)</f>
        <v>0</v>
      </c>
      <c r="AJ348" s="96">
        <f>IFERROR(__xludf.DUMMYFUNCTION("""COMPUTED_VALUE"""),0.0)</f>
        <v>0</v>
      </c>
      <c r="AK348" s="96">
        <f>IFERROR(__xludf.DUMMYFUNCTION("""COMPUTED_VALUE"""),0.0)</f>
        <v>0</v>
      </c>
      <c r="AL348" s="129">
        <f>IFERROR(__xludf.DUMMYFUNCTION("""COMPUTED_VALUE"""),0.0)</f>
        <v>0</v>
      </c>
      <c r="AM348" s="99"/>
    </row>
    <row r="349">
      <c r="V349" s="96">
        <f>IFERROR(__xludf.DUMMYFUNCTION("""COMPUTED_VALUE"""),12.0)</f>
        <v>12</v>
      </c>
      <c r="W349" s="98">
        <f>IFERROR(__xludf.DUMMYFUNCTION("""COMPUTED_VALUE"""),44085.0)</f>
        <v>44085</v>
      </c>
      <c r="X349" s="96" t="str">
        <f>IFERROR(__xludf.DUMMYFUNCTION("""COMPUTED_VALUE"""),"ETUK EFFI")</f>
        <v>ETUK EFFI</v>
      </c>
      <c r="Y349" s="96" t="str">
        <f>IFERROR(__xludf.DUMMYFUNCTION("""COMPUTED_VALUE"""),"ETUK EFFI12")</f>
        <v>ETUK EFFI12</v>
      </c>
      <c r="Z349" s="96">
        <f>IFERROR(__xludf.DUMMYFUNCTION("""COMPUTED_VALUE"""),1531.0)</f>
        <v>1531</v>
      </c>
      <c r="AA349" s="96">
        <f>IFERROR(__xludf.DUMMYFUNCTION("""COMPUTED_VALUE"""),211.0)</f>
        <v>211</v>
      </c>
      <c r="AB349" s="96"/>
      <c r="AC349" s="96">
        <f>IFERROR(__xludf.DUMMYFUNCTION("""COMPUTED_VALUE"""),23.0)</f>
        <v>23</v>
      </c>
      <c r="AD349" s="96"/>
      <c r="AE349" s="96">
        <f>IFERROR(__xludf.DUMMYFUNCTION("""COMPUTED_VALUE"""),860.0)</f>
        <v>860</v>
      </c>
      <c r="AF349" s="96"/>
      <c r="AG349" s="99">
        <f>IFERROR(__xludf.DUMMYFUNCTION("""COMPUTED_VALUE"""),-1281400.0)</f>
        <v>-1281400</v>
      </c>
      <c r="AH349" s="96">
        <f>IFERROR(__xludf.DUMMYFUNCTION("""COMPUTED_VALUE"""),9.17)</f>
        <v>9.17</v>
      </c>
      <c r="AI349" s="96">
        <f>IFERROR(__xludf.DUMMYFUNCTION("""COMPUTED_VALUE"""),18.0)</f>
        <v>18</v>
      </c>
      <c r="AJ349" s="96">
        <f>IFERROR(__xludf.DUMMYFUNCTION("""COMPUTED_VALUE"""),23.0)</f>
        <v>23</v>
      </c>
      <c r="AK349" s="96">
        <f>IFERROR(__xludf.DUMMYFUNCTION("""COMPUTED_VALUE"""),41.0)</f>
        <v>41</v>
      </c>
      <c r="AL349" s="129">
        <f>IFERROR(__xludf.DUMMYFUNCTION("""COMPUTED_VALUE"""),1490.0)</f>
        <v>1490</v>
      </c>
      <c r="AM349" s="99">
        <f>IFERROR(__xludf.DUMMYFUNCTION("""COMPUTED_VALUE"""),1281400.0)</f>
        <v>1281400</v>
      </c>
    </row>
    <row r="350">
      <c r="V350" s="96">
        <f>IFERROR(__xludf.DUMMYFUNCTION("""COMPUTED_VALUE"""),2.0)</f>
        <v>2</v>
      </c>
      <c r="W350" s="98">
        <f>IFERROR(__xludf.DUMMYFUNCTION("""COMPUTED_VALUE"""),44086.0)</f>
        <v>44086</v>
      </c>
      <c r="X350" s="96" t="str">
        <f>IFERROR(__xludf.DUMMYFUNCTION("""COMPUTED_VALUE"""),"ABANG FREDINARD")</f>
        <v>ABANG FREDINARD</v>
      </c>
      <c r="Y350" s="96" t="str">
        <f>IFERROR(__xludf.DUMMYFUNCTION("""COMPUTED_VALUE"""),"ABANG FREDINARD2")</f>
        <v>ABANG FREDINARD2</v>
      </c>
      <c r="Z350" s="96">
        <f>IFERROR(__xludf.DUMMYFUNCTION("""COMPUTED_VALUE"""),122.0)</f>
        <v>122</v>
      </c>
      <c r="AA350" s="96">
        <f>IFERROR(__xludf.DUMMYFUNCTION("""COMPUTED_VALUE"""),16.0)</f>
        <v>16</v>
      </c>
      <c r="AB350" s="96"/>
      <c r="AC350" s="96">
        <f>IFERROR(__xludf.DUMMYFUNCTION("""COMPUTED_VALUE"""),2.0)</f>
        <v>2</v>
      </c>
      <c r="AD350" s="96"/>
      <c r="AE350" s="96">
        <f>IFERROR(__xludf.DUMMYFUNCTION("""COMPUTED_VALUE"""),666.67)</f>
        <v>666.67</v>
      </c>
      <c r="AF350" s="96"/>
      <c r="AG350" s="99">
        <f>IFERROR(__xludf.DUMMYFUNCTION("""COMPUTED_VALUE"""),-80000.0)</f>
        <v>-80000</v>
      </c>
      <c r="AH350" s="96">
        <f>IFERROR(__xludf.DUMMYFUNCTION("""COMPUTED_VALUE"""),8.0)</f>
        <v>8</v>
      </c>
      <c r="AI350" s="96">
        <f>IFERROR(__xludf.DUMMYFUNCTION("""COMPUTED_VALUE"""),0.0)</f>
        <v>0</v>
      </c>
      <c r="AJ350" s="96">
        <f>IFERROR(__xludf.DUMMYFUNCTION("""COMPUTED_VALUE"""),1.0)</f>
        <v>1</v>
      </c>
      <c r="AK350" s="96">
        <f>IFERROR(__xludf.DUMMYFUNCTION("""COMPUTED_VALUE"""),57.0)</f>
        <v>57</v>
      </c>
      <c r="AL350" s="129">
        <f>IFERROR(__xludf.DUMMYFUNCTION("""COMPUTED_VALUE"""),120.0)</f>
        <v>120</v>
      </c>
      <c r="AM350" s="99">
        <f>IFERROR(__xludf.DUMMYFUNCTION("""COMPUTED_VALUE"""),80000.0)</f>
        <v>80000</v>
      </c>
    </row>
    <row r="351">
      <c r="V351" s="96"/>
      <c r="W351" s="98">
        <f>IFERROR(__xludf.DUMMYFUNCTION("""COMPUTED_VALUE"""),44073.0)</f>
        <v>44073</v>
      </c>
      <c r="X351" s="96"/>
      <c r="Y351" s="96"/>
      <c r="Z351" s="96"/>
      <c r="AA351" s="96"/>
      <c r="AB351" s="96"/>
      <c r="AC351" s="96"/>
      <c r="AD351" s="96"/>
      <c r="AE351" s="96"/>
      <c r="AF351" s="96"/>
      <c r="AG351" s="99">
        <f>IFERROR(__xludf.DUMMYFUNCTION("""COMPUTED_VALUE"""),0.0)</f>
        <v>0</v>
      </c>
      <c r="AH351" s="96"/>
      <c r="AI351" s="96"/>
      <c r="AJ351" s="96"/>
      <c r="AK351" s="96"/>
      <c r="AL351" s="129"/>
      <c r="AM351" s="99"/>
    </row>
    <row r="352">
      <c r="V352" s="96">
        <f>IFERROR(__xludf.DUMMYFUNCTION("""COMPUTED_VALUE"""),13.0)</f>
        <v>13</v>
      </c>
      <c r="W352" s="98">
        <f>IFERROR(__xludf.DUMMYFUNCTION("""COMPUTED_VALUE"""),44086.0)</f>
        <v>44086</v>
      </c>
      <c r="X352" s="96" t="str">
        <f>IFERROR(__xludf.DUMMYFUNCTION("""COMPUTED_VALUE""")," MAXWELL AGRO")</f>
        <v> MAXWELL AGRO</v>
      </c>
      <c r="Y352" s="96" t="str">
        <f>IFERROR(__xludf.DUMMYFUNCTION("""COMPUTED_VALUE""")," MAXWELL AGRO13")</f>
        <v> MAXWELL AGRO13</v>
      </c>
      <c r="Z352" s="96"/>
      <c r="AA352" s="96"/>
      <c r="AB352" s="96"/>
      <c r="AC352" s="96"/>
      <c r="AD352" s="96"/>
      <c r="AE352" s="96"/>
      <c r="AF352" s="96">
        <f>IFERROR(__xludf.DUMMYFUNCTION("""COMPUTED_VALUE"""),100000.0)</f>
        <v>100000</v>
      </c>
      <c r="AG352" s="99">
        <f>IFERROR(__xludf.DUMMYFUNCTION("""COMPUTED_VALUE"""),100000.0)</f>
        <v>100000</v>
      </c>
      <c r="AH352" s="96"/>
      <c r="AI352" s="96">
        <f>IFERROR(__xludf.DUMMYFUNCTION("""COMPUTED_VALUE"""),0.0)</f>
        <v>0</v>
      </c>
      <c r="AJ352" s="96">
        <f>IFERROR(__xludf.DUMMYFUNCTION("""COMPUTED_VALUE"""),0.0)</f>
        <v>0</v>
      </c>
      <c r="AK352" s="96">
        <f>IFERROR(__xludf.DUMMYFUNCTION("""COMPUTED_VALUE"""),0.0)</f>
        <v>0</v>
      </c>
      <c r="AL352" s="129">
        <f>IFERROR(__xludf.DUMMYFUNCTION("""COMPUTED_VALUE"""),0.0)</f>
        <v>0</v>
      </c>
      <c r="AM352" s="99"/>
    </row>
    <row r="353">
      <c r="V353" s="96">
        <f>IFERROR(__xludf.DUMMYFUNCTION("""COMPUTED_VALUE"""),3.0)</f>
        <v>3</v>
      </c>
      <c r="W353" s="98">
        <f>IFERROR(__xludf.DUMMYFUNCTION("""COMPUTED_VALUE"""),44086.0)</f>
        <v>44086</v>
      </c>
      <c r="X353" s="96" t="str">
        <f>IFERROR(__xludf.DUMMYFUNCTION("""COMPUTED_VALUE"""),"ABANG FREDINARD")</f>
        <v>ABANG FREDINARD</v>
      </c>
      <c r="Y353" s="96" t="str">
        <f>IFERROR(__xludf.DUMMYFUNCTION("""COMPUTED_VALUE"""),"ABANG FREDINARD3")</f>
        <v>ABANG FREDINARD3</v>
      </c>
      <c r="Z353" s="96"/>
      <c r="AA353" s="96"/>
      <c r="AB353" s="96"/>
      <c r="AC353" s="96"/>
      <c r="AD353" s="96"/>
      <c r="AE353" s="96"/>
      <c r="AF353" s="96">
        <f>IFERROR(__xludf.DUMMYFUNCTION("""COMPUTED_VALUE"""),80000.0)</f>
        <v>80000</v>
      </c>
      <c r="AG353" s="99">
        <f>IFERROR(__xludf.DUMMYFUNCTION("""COMPUTED_VALUE"""),80000.0)</f>
        <v>80000</v>
      </c>
      <c r="AH353" s="96"/>
      <c r="AI353" s="96">
        <f>IFERROR(__xludf.DUMMYFUNCTION("""COMPUTED_VALUE"""),0.0)</f>
        <v>0</v>
      </c>
      <c r="AJ353" s="96">
        <f>IFERROR(__xludf.DUMMYFUNCTION("""COMPUTED_VALUE"""),0.0)</f>
        <v>0</v>
      </c>
      <c r="AK353" s="96">
        <f>IFERROR(__xludf.DUMMYFUNCTION("""COMPUTED_VALUE"""),0.0)</f>
        <v>0</v>
      </c>
      <c r="AL353" s="129">
        <f>IFERROR(__xludf.DUMMYFUNCTION("""COMPUTED_VALUE"""),0.0)</f>
        <v>0</v>
      </c>
      <c r="AM353" s="99"/>
    </row>
    <row r="354">
      <c r="V354" s="96">
        <f>IFERROR(__xludf.DUMMYFUNCTION("""COMPUTED_VALUE"""),1.0)</f>
        <v>1</v>
      </c>
      <c r="W354" s="98">
        <f>IFERROR(__xludf.DUMMYFUNCTION("""COMPUTED_VALUE"""),44088.0)</f>
        <v>44088</v>
      </c>
      <c r="X354" s="96" t="str">
        <f>IFERROR(__xludf.DUMMYFUNCTION("""COMPUTED_VALUE"""),"ABANG. AM")</f>
        <v>ABANG. AM</v>
      </c>
      <c r="Y354" s="96" t="str">
        <f>IFERROR(__xludf.DUMMYFUNCTION("""COMPUTED_VALUE"""),"ABANG. AM1")</f>
        <v>ABANG. AM1</v>
      </c>
      <c r="Z354" s="96"/>
      <c r="AA354" s="96"/>
      <c r="AB354" s="96"/>
      <c r="AC354" s="96"/>
      <c r="AD354" s="96"/>
      <c r="AE354" s="96"/>
      <c r="AF354" s="96">
        <f>IFERROR(__xludf.DUMMYFUNCTION("""COMPUTED_VALUE"""),100000.0)</f>
        <v>100000</v>
      </c>
      <c r="AG354" s="99">
        <f>IFERROR(__xludf.DUMMYFUNCTION("""COMPUTED_VALUE"""),100000.0)</f>
        <v>100000</v>
      </c>
      <c r="AH354" s="96"/>
      <c r="AI354" s="96">
        <f>IFERROR(__xludf.DUMMYFUNCTION("""COMPUTED_VALUE"""),0.0)</f>
        <v>0</v>
      </c>
      <c r="AJ354" s="96">
        <f>IFERROR(__xludf.DUMMYFUNCTION("""COMPUTED_VALUE"""),0.0)</f>
        <v>0</v>
      </c>
      <c r="AK354" s="96">
        <f>IFERROR(__xludf.DUMMYFUNCTION("""COMPUTED_VALUE"""),0.0)</f>
        <v>0</v>
      </c>
      <c r="AL354" s="129">
        <f>IFERROR(__xludf.DUMMYFUNCTION("""COMPUTED_VALUE"""),0.0)</f>
        <v>0</v>
      </c>
      <c r="AM354" s="99"/>
    </row>
    <row r="355">
      <c r="V355" s="96">
        <f>IFERROR(__xludf.DUMMYFUNCTION("""COMPUTED_VALUE"""),8.0)</f>
        <v>8</v>
      </c>
      <c r="W355" s="98">
        <f>IFERROR(__xludf.DUMMYFUNCTION("""COMPUTED_VALUE"""),44088.0)</f>
        <v>44088</v>
      </c>
      <c r="X355" s="96" t="str">
        <f>IFERROR(__xludf.DUMMYFUNCTION("""COMPUTED_VALUE"""),"A. D. FREDERICK")</f>
        <v>A. D. FREDERICK</v>
      </c>
      <c r="Y355" s="96" t="str">
        <f>IFERROR(__xludf.DUMMYFUNCTION("""COMPUTED_VALUE"""),"A. D. FREDERICK8")</f>
        <v>A. D. FREDERICK8</v>
      </c>
      <c r="Z355" s="96"/>
      <c r="AA355" s="96"/>
      <c r="AB355" s="96"/>
      <c r="AC355" s="96"/>
      <c r="AD355" s="96"/>
      <c r="AE355" s="96"/>
      <c r="AF355" s="96">
        <f>IFERROR(__xludf.DUMMYFUNCTION("""COMPUTED_VALUE"""),200000.0)</f>
        <v>200000</v>
      </c>
      <c r="AG355" s="99">
        <f>IFERROR(__xludf.DUMMYFUNCTION("""COMPUTED_VALUE"""),200000.0)</f>
        <v>200000</v>
      </c>
      <c r="AH355" s="96"/>
      <c r="AI355" s="96">
        <f>IFERROR(__xludf.DUMMYFUNCTION("""COMPUTED_VALUE"""),0.0)</f>
        <v>0</v>
      </c>
      <c r="AJ355" s="96">
        <f>IFERROR(__xludf.DUMMYFUNCTION("""COMPUTED_VALUE"""),0.0)</f>
        <v>0</v>
      </c>
      <c r="AK355" s="96">
        <f>IFERROR(__xludf.DUMMYFUNCTION("""COMPUTED_VALUE"""),0.0)</f>
        <v>0</v>
      </c>
      <c r="AL355" s="129">
        <f>IFERROR(__xludf.DUMMYFUNCTION("""COMPUTED_VALUE"""),0.0)</f>
        <v>0</v>
      </c>
      <c r="AM355" s="99"/>
    </row>
    <row r="356">
      <c r="V356" s="96">
        <f>IFERROR(__xludf.DUMMYFUNCTION("""COMPUTED_VALUE"""),1.0)</f>
        <v>1</v>
      </c>
      <c r="W356" s="98">
        <f>IFERROR(__xludf.DUMMYFUNCTION("""COMPUTED_VALUE"""),44088.0)</f>
        <v>44088</v>
      </c>
      <c r="X356" s="96" t="str">
        <f>IFERROR(__xludf.DUMMYFUNCTION("""COMPUTED_VALUE"""),"FREDERICK")</f>
        <v>FREDERICK</v>
      </c>
      <c r="Y356" s="96" t="str">
        <f>IFERROR(__xludf.DUMMYFUNCTION("""COMPUTED_VALUE"""),"FREDERICK1")</f>
        <v>FREDERICK1</v>
      </c>
      <c r="Z356" s="96"/>
      <c r="AA356" s="96"/>
      <c r="AB356" s="96"/>
      <c r="AC356" s="96"/>
      <c r="AD356" s="96"/>
      <c r="AE356" s="96"/>
      <c r="AF356" s="96">
        <f>IFERROR(__xludf.DUMMYFUNCTION("""COMPUTED_VALUE"""),50000.0)</f>
        <v>50000</v>
      </c>
      <c r="AG356" s="99">
        <f>IFERROR(__xludf.DUMMYFUNCTION("""COMPUTED_VALUE"""),50000.0)</f>
        <v>50000</v>
      </c>
      <c r="AH356" s="96"/>
      <c r="AI356" s="96">
        <f>IFERROR(__xludf.DUMMYFUNCTION("""COMPUTED_VALUE"""),0.0)</f>
        <v>0</v>
      </c>
      <c r="AJ356" s="96">
        <f>IFERROR(__xludf.DUMMYFUNCTION("""COMPUTED_VALUE"""),0.0)</f>
        <v>0</v>
      </c>
      <c r="AK356" s="96">
        <f>IFERROR(__xludf.DUMMYFUNCTION("""COMPUTED_VALUE"""),0.0)</f>
        <v>0</v>
      </c>
      <c r="AL356" s="129">
        <f>IFERROR(__xludf.DUMMYFUNCTION("""COMPUTED_VALUE"""),0.0)</f>
        <v>0</v>
      </c>
      <c r="AM356" s="99"/>
    </row>
    <row r="357">
      <c r="V357" s="96">
        <f>IFERROR(__xludf.DUMMYFUNCTION("""COMPUTED_VALUE"""),3.0)</f>
        <v>3</v>
      </c>
      <c r="W357" s="98">
        <f>IFERROR(__xludf.DUMMYFUNCTION("""COMPUTED_VALUE"""),44088.0)</f>
        <v>44088</v>
      </c>
      <c r="X357" s="96" t="str">
        <f>IFERROR(__xludf.DUMMYFUNCTION("""COMPUTED_VALUE"""),"AGEGE BOY")</f>
        <v>AGEGE BOY</v>
      </c>
      <c r="Y357" s="96" t="str">
        <f>IFERROR(__xludf.DUMMYFUNCTION("""COMPUTED_VALUE"""),"AGEGE BOY3")</f>
        <v>AGEGE BOY3</v>
      </c>
      <c r="Z357" s="96"/>
      <c r="AA357" s="96"/>
      <c r="AB357" s="96"/>
      <c r="AC357" s="96"/>
      <c r="AD357" s="96"/>
      <c r="AE357" s="96"/>
      <c r="AF357" s="96">
        <f>IFERROR(__xludf.DUMMYFUNCTION("""COMPUTED_VALUE"""),3000.0)</f>
        <v>3000</v>
      </c>
      <c r="AG357" s="99">
        <f>IFERROR(__xludf.DUMMYFUNCTION("""COMPUTED_VALUE"""),3000.0)</f>
        <v>3000</v>
      </c>
      <c r="AH357" s="96"/>
      <c r="AI357" s="96">
        <f>IFERROR(__xludf.DUMMYFUNCTION("""COMPUTED_VALUE"""),0.0)</f>
        <v>0</v>
      </c>
      <c r="AJ357" s="96">
        <f>IFERROR(__xludf.DUMMYFUNCTION("""COMPUTED_VALUE"""),0.0)</f>
        <v>0</v>
      </c>
      <c r="AK357" s="96">
        <f>IFERROR(__xludf.DUMMYFUNCTION("""COMPUTED_VALUE"""),0.0)</f>
        <v>0</v>
      </c>
      <c r="AL357" s="129">
        <f>IFERROR(__xludf.DUMMYFUNCTION("""COMPUTED_VALUE"""),0.0)</f>
        <v>0</v>
      </c>
      <c r="AM357" s="99"/>
    </row>
    <row r="358">
      <c r="V358" s="96">
        <f>IFERROR(__xludf.DUMMYFUNCTION("""COMPUTED_VALUE"""),9.0)</f>
        <v>9</v>
      </c>
      <c r="W358" s="98">
        <f>IFERROR(__xludf.DUMMYFUNCTION("""COMPUTED_VALUE"""),44088.0)</f>
        <v>44088</v>
      </c>
      <c r="X358" s="96" t="str">
        <f>IFERROR(__xludf.DUMMYFUNCTION("""COMPUTED_VALUE"""),"CORNWELL")</f>
        <v>CORNWELL</v>
      </c>
      <c r="Y358" s="96" t="str">
        <f>IFERROR(__xludf.DUMMYFUNCTION("""COMPUTED_VALUE"""),"CORNWELL9")</f>
        <v>CORNWELL9</v>
      </c>
      <c r="Z358" s="96"/>
      <c r="AA358" s="96"/>
      <c r="AB358" s="96"/>
      <c r="AC358" s="96"/>
      <c r="AD358" s="96"/>
      <c r="AE358" s="96"/>
      <c r="AF358" s="96">
        <f>IFERROR(__xludf.DUMMYFUNCTION("""COMPUTED_VALUE"""),250000.0)</f>
        <v>250000</v>
      </c>
      <c r="AG358" s="99">
        <f>IFERROR(__xludf.DUMMYFUNCTION("""COMPUTED_VALUE"""),250000.0)</f>
        <v>250000</v>
      </c>
      <c r="AH358" s="96"/>
      <c r="AI358" s="96">
        <f>IFERROR(__xludf.DUMMYFUNCTION("""COMPUTED_VALUE"""),0.0)</f>
        <v>0</v>
      </c>
      <c r="AJ358" s="96">
        <f>IFERROR(__xludf.DUMMYFUNCTION("""COMPUTED_VALUE"""),0.0)</f>
        <v>0</v>
      </c>
      <c r="AK358" s="96">
        <f>IFERROR(__xludf.DUMMYFUNCTION("""COMPUTED_VALUE"""),0.0)</f>
        <v>0</v>
      </c>
      <c r="AL358" s="129">
        <f>IFERROR(__xludf.DUMMYFUNCTION("""COMPUTED_VALUE"""),0.0)</f>
        <v>0</v>
      </c>
      <c r="AM358" s="99"/>
    </row>
    <row r="359">
      <c r="V359" s="96">
        <f>IFERROR(__xludf.DUMMYFUNCTION("""COMPUTED_VALUE"""),17.0)</f>
        <v>17</v>
      </c>
      <c r="W359" s="98">
        <f>IFERROR(__xludf.DUMMYFUNCTION("""COMPUTED_VALUE"""),44088.0)</f>
        <v>44088</v>
      </c>
      <c r="X359" s="96" t="str">
        <f>IFERROR(__xludf.DUMMYFUNCTION("""COMPUTED_VALUE"""),"BOSURU  BOSURU")</f>
        <v>BOSURU  BOSURU</v>
      </c>
      <c r="Y359" s="96" t="str">
        <f>IFERROR(__xludf.DUMMYFUNCTION("""COMPUTED_VALUE"""),"BOSURU  BOSURU17")</f>
        <v>BOSURU  BOSURU17</v>
      </c>
      <c r="Z359" s="96"/>
      <c r="AA359" s="96"/>
      <c r="AB359" s="96"/>
      <c r="AC359" s="96"/>
      <c r="AD359" s="96"/>
      <c r="AE359" s="96"/>
      <c r="AF359" s="96">
        <f>IFERROR(__xludf.DUMMYFUNCTION("""COMPUTED_VALUE"""),70000.0)</f>
        <v>70000</v>
      </c>
      <c r="AG359" s="99">
        <f>IFERROR(__xludf.DUMMYFUNCTION("""COMPUTED_VALUE"""),70000.0)</f>
        <v>70000</v>
      </c>
      <c r="AH359" s="96"/>
      <c r="AI359" s="96">
        <f>IFERROR(__xludf.DUMMYFUNCTION("""COMPUTED_VALUE"""),0.0)</f>
        <v>0</v>
      </c>
      <c r="AJ359" s="96">
        <f>IFERROR(__xludf.DUMMYFUNCTION("""COMPUTED_VALUE"""),0.0)</f>
        <v>0</v>
      </c>
      <c r="AK359" s="96">
        <f>IFERROR(__xludf.DUMMYFUNCTION("""COMPUTED_VALUE"""),0.0)</f>
        <v>0</v>
      </c>
      <c r="AL359" s="129">
        <f>IFERROR(__xludf.DUMMYFUNCTION("""COMPUTED_VALUE"""),0.0)</f>
        <v>0</v>
      </c>
      <c r="AM359" s="99"/>
    </row>
    <row r="360">
      <c r="V360" s="96">
        <f>IFERROR(__xludf.DUMMYFUNCTION("""COMPUTED_VALUE"""),8.0)</f>
        <v>8</v>
      </c>
      <c r="W360" s="98">
        <f>IFERROR(__xludf.DUMMYFUNCTION("""COMPUTED_VALUE"""),44088.0)</f>
        <v>44088</v>
      </c>
      <c r="X360" s="96" t="str">
        <f>IFERROR(__xludf.DUMMYFUNCTION("""COMPUTED_VALUE"""),"REMMY BODES")</f>
        <v>REMMY BODES</v>
      </c>
      <c r="Y360" s="96" t="str">
        <f>IFERROR(__xludf.DUMMYFUNCTION("""COMPUTED_VALUE"""),"REMMY BODES8")</f>
        <v>REMMY BODES8</v>
      </c>
      <c r="Z360" s="96"/>
      <c r="AA360" s="96"/>
      <c r="AB360" s="96"/>
      <c r="AC360" s="96"/>
      <c r="AD360" s="96"/>
      <c r="AE360" s="96"/>
      <c r="AF360" s="96">
        <f>IFERROR(__xludf.DUMMYFUNCTION("""COMPUTED_VALUE"""),48000.0)</f>
        <v>48000</v>
      </c>
      <c r="AG360" s="99">
        <f>IFERROR(__xludf.DUMMYFUNCTION("""COMPUTED_VALUE"""),48000.0)</f>
        <v>48000</v>
      </c>
      <c r="AH360" s="96"/>
      <c r="AI360" s="96">
        <f>IFERROR(__xludf.DUMMYFUNCTION("""COMPUTED_VALUE"""),0.0)</f>
        <v>0</v>
      </c>
      <c r="AJ360" s="96">
        <f>IFERROR(__xludf.DUMMYFUNCTION("""COMPUTED_VALUE"""),0.0)</f>
        <v>0</v>
      </c>
      <c r="AK360" s="96">
        <f>IFERROR(__xludf.DUMMYFUNCTION("""COMPUTED_VALUE"""),0.0)</f>
        <v>0</v>
      </c>
      <c r="AL360" s="129">
        <f>IFERROR(__xludf.DUMMYFUNCTION("""COMPUTED_VALUE"""),0.0)</f>
        <v>0</v>
      </c>
      <c r="AM360" s="99"/>
    </row>
    <row r="361">
      <c r="V361" s="96">
        <f>IFERROR(__xludf.DUMMYFUNCTION("""COMPUTED_VALUE"""),18.0)</f>
        <v>18</v>
      </c>
      <c r="W361" s="98">
        <f>IFERROR(__xludf.DUMMYFUNCTION("""COMPUTED_VALUE"""),44088.0)</f>
        <v>44088</v>
      </c>
      <c r="X361" s="96" t="str">
        <f>IFERROR(__xludf.DUMMYFUNCTION("""COMPUTED_VALUE"""),"BOSURU  BOSURU")</f>
        <v>BOSURU  BOSURU</v>
      </c>
      <c r="Y361" s="96" t="str">
        <f>IFERROR(__xludf.DUMMYFUNCTION("""COMPUTED_VALUE"""),"BOSURU  BOSURU18")</f>
        <v>BOSURU  BOSURU18</v>
      </c>
      <c r="Z361" s="96"/>
      <c r="AA361" s="96"/>
      <c r="AB361" s="96"/>
      <c r="AC361" s="96"/>
      <c r="AD361" s="96"/>
      <c r="AE361" s="96"/>
      <c r="AF361" s="96">
        <f>IFERROR(__xludf.DUMMYFUNCTION("""COMPUTED_VALUE"""),48000.0)</f>
        <v>48000</v>
      </c>
      <c r="AG361" s="99">
        <f>IFERROR(__xludf.DUMMYFUNCTION("""COMPUTED_VALUE"""),48000.0)</f>
        <v>48000</v>
      </c>
      <c r="AH361" s="96"/>
      <c r="AI361" s="96">
        <f>IFERROR(__xludf.DUMMYFUNCTION("""COMPUTED_VALUE"""),0.0)</f>
        <v>0</v>
      </c>
      <c r="AJ361" s="96">
        <f>IFERROR(__xludf.DUMMYFUNCTION("""COMPUTED_VALUE"""),0.0)</f>
        <v>0</v>
      </c>
      <c r="AK361" s="96">
        <f>IFERROR(__xludf.DUMMYFUNCTION("""COMPUTED_VALUE"""),0.0)</f>
        <v>0</v>
      </c>
      <c r="AL361" s="129">
        <f>IFERROR(__xludf.DUMMYFUNCTION("""COMPUTED_VALUE"""),0.0)</f>
        <v>0</v>
      </c>
      <c r="AM361" s="99"/>
    </row>
    <row r="362">
      <c r="V362" s="96">
        <f>IFERROR(__xludf.DUMMYFUNCTION("""COMPUTED_VALUE"""),8.0)</f>
        <v>8</v>
      </c>
      <c r="W362" s="98">
        <f>IFERROR(__xludf.DUMMYFUNCTION("""COMPUTED_VALUE"""),44088.0)</f>
        <v>44088</v>
      </c>
      <c r="X362" s="96" t="str">
        <f>IFERROR(__xludf.DUMMYFUNCTION("""COMPUTED_VALUE"""),"OTU KOKO KEIBO")</f>
        <v>OTU KOKO KEIBO</v>
      </c>
      <c r="Y362" s="96" t="str">
        <f>IFERROR(__xludf.DUMMYFUNCTION("""COMPUTED_VALUE"""),"OTU KOKO KEIBO8")</f>
        <v>OTU KOKO KEIBO8</v>
      </c>
      <c r="Z362" s="96"/>
      <c r="AA362" s="96"/>
      <c r="AB362" s="96"/>
      <c r="AC362" s="96"/>
      <c r="AD362" s="96"/>
      <c r="AE362" s="96"/>
      <c r="AF362" s="96">
        <f>IFERROR(__xludf.DUMMYFUNCTION("""COMPUTED_VALUE"""),56000.0)</f>
        <v>56000</v>
      </c>
      <c r="AG362" s="99">
        <f>IFERROR(__xludf.DUMMYFUNCTION("""COMPUTED_VALUE"""),56000.0)</f>
        <v>56000</v>
      </c>
      <c r="AH362" s="96"/>
      <c r="AI362" s="96">
        <f>IFERROR(__xludf.DUMMYFUNCTION("""COMPUTED_VALUE"""),0.0)</f>
        <v>0</v>
      </c>
      <c r="AJ362" s="96">
        <f>IFERROR(__xludf.DUMMYFUNCTION("""COMPUTED_VALUE"""),0.0)</f>
        <v>0</v>
      </c>
      <c r="AK362" s="96">
        <f>IFERROR(__xludf.DUMMYFUNCTION("""COMPUTED_VALUE"""),0.0)</f>
        <v>0</v>
      </c>
      <c r="AL362" s="129">
        <f>IFERROR(__xludf.DUMMYFUNCTION("""COMPUTED_VALUE"""),0.0)</f>
        <v>0</v>
      </c>
      <c r="AM362" s="99"/>
    </row>
    <row r="363">
      <c r="V363" s="96">
        <f>IFERROR(__xludf.DUMMYFUNCTION("""COMPUTED_VALUE"""),10.0)</f>
        <v>10</v>
      </c>
      <c r="W363" s="98">
        <f>IFERROR(__xludf.DUMMYFUNCTION("""COMPUTED_VALUE"""),44088.0)</f>
        <v>44088</v>
      </c>
      <c r="X363" s="96" t="str">
        <f>IFERROR(__xludf.DUMMYFUNCTION("""COMPUTED_VALUE"""),"CORNWELL")</f>
        <v>CORNWELL</v>
      </c>
      <c r="Y363" s="96" t="str">
        <f>IFERROR(__xludf.DUMMYFUNCTION("""COMPUTED_VALUE"""),"CORNWELL10")</f>
        <v>CORNWELL10</v>
      </c>
      <c r="Z363" s="96"/>
      <c r="AA363" s="96"/>
      <c r="AB363" s="96"/>
      <c r="AC363" s="96"/>
      <c r="AD363" s="96"/>
      <c r="AE363" s="96"/>
      <c r="AF363" s="96">
        <f>IFERROR(__xludf.DUMMYFUNCTION("""COMPUTED_VALUE"""),36000.0)</f>
        <v>36000</v>
      </c>
      <c r="AG363" s="99">
        <f>IFERROR(__xludf.DUMMYFUNCTION("""COMPUTED_VALUE"""),36000.0)</f>
        <v>36000</v>
      </c>
      <c r="AH363" s="96"/>
      <c r="AI363" s="96">
        <f>IFERROR(__xludf.DUMMYFUNCTION("""COMPUTED_VALUE"""),0.0)</f>
        <v>0</v>
      </c>
      <c r="AJ363" s="96">
        <f>IFERROR(__xludf.DUMMYFUNCTION("""COMPUTED_VALUE"""),0.0)</f>
        <v>0</v>
      </c>
      <c r="AK363" s="96">
        <f>IFERROR(__xludf.DUMMYFUNCTION("""COMPUTED_VALUE"""),0.0)</f>
        <v>0</v>
      </c>
      <c r="AL363" s="129">
        <f>IFERROR(__xludf.DUMMYFUNCTION("""COMPUTED_VALUE"""),0.0)</f>
        <v>0</v>
      </c>
      <c r="AM363" s="99"/>
    </row>
    <row r="364">
      <c r="V364" s="96">
        <f>IFERROR(__xludf.DUMMYFUNCTION("""COMPUTED_VALUE"""),11.0)</f>
        <v>11</v>
      </c>
      <c r="W364" s="98">
        <f>IFERROR(__xludf.DUMMYFUNCTION("""COMPUTED_VALUE"""),44089.0)</f>
        <v>44089</v>
      </c>
      <c r="X364" s="96" t="str">
        <f>IFERROR(__xludf.DUMMYFUNCTION("""COMPUTED_VALUE"""),"ALFRED ALABI")</f>
        <v>ALFRED ALABI</v>
      </c>
      <c r="Y364" s="96" t="str">
        <f>IFERROR(__xludf.DUMMYFUNCTION("""COMPUTED_VALUE"""),"ALFRED ALABI11")</f>
        <v>ALFRED ALABI11</v>
      </c>
      <c r="Z364" s="96">
        <f>IFERROR(__xludf.DUMMYFUNCTION("""COMPUTED_VALUE"""),1429.0)</f>
        <v>1429</v>
      </c>
      <c r="AA364" s="96">
        <f>IFERROR(__xludf.DUMMYFUNCTION("""COMPUTED_VALUE"""),199.0)</f>
        <v>199</v>
      </c>
      <c r="AB364" s="96"/>
      <c r="AC364" s="96">
        <f>IFERROR(__xludf.DUMMYFUNCTION("""COMPUTED_VALUE"""),21.0)</f>
        <v>21</v>
      </c>
      <c r="AD364" s="96">
        <f>IFERROR(__xludf.DUMMYFUNCTION("""COMPUTED_VALUE"""),0.0)</f>
        <v>0</v>
      </c>
      <c r="AE364" s="96">
        <f>IFERROR(__xludf.DUMMYFUNCTION("""COMPUTED_VALUE"""),837.06)</f>
        <v>837.06</v>
      </c>
      <c r="AF364" s="96"/>
      <c r="AG364" s="99">
        <f>IFERROR(__xludf.DUMMYFUNCTION("""COMPUTED_VALUE"""),-1161000.0)</f>
        <v>-1161000</v>
      </c>
      <c r="AH364" s="96">
        <f>IFERROR(__xludf.DUMMYFUNCTION("""COMPUTED_VALUE"""),9.48)</f>
        <v>9.48</v>
      </c>
      <c r="AI364" s="96">
        <f>IFERROR(__xludf.DUMMYFUNCTION("""COMPUTED_VALUE"""),21.0)</f>
        <v>21</v>
      </c>
      <c r="AJ364" s="96">
        <f>IFERROR(__xludf.DUMMYFUNCTION("""COMPUTED_VALUE"""),22.0)</f>
        <v>22</v>
      </c>
      <c r="AK364" s="96">
        <f>IFERROR(__xludf.DUMMYFUNCTION("""COMPUTED_VALUE"""),0.0)</f>
        <v>0</v>
      </c>
      <c r="AL364" s="129">
        <f>IFERROR(__xludf.DUMMYFUNCTION("""COMPUTED_VALUE"""),1387.0)</f>
        <v>1387</v>
      </c>
      <c r="AM364" s="99">
        <f>IFERROR(__xludf.DUMMYFUNCTION("""COMPUTED_VALUE"""),1161000.0)</f>
        <v>1161000</v>
      </c>
    </row>
    <row r="365">
      <c r="V365" s="96">
        <f>IFERROR(__xludf.DUMMYFUNCTION("""COMPUTED_VALUE"""),4.0)</f>
        <v>4</v>
      </c>
      <c r="W365" s="98">
        <f>IFERROR(__xludf.DUMMYFUNCTION("""COMPUTED_VALUE"""),44085.0)</f>
        <v>44085</v>
      </c>
      <c r="X365" s="96" t="str">
        <f>IFERROR(__xludf.DUMMYFUNCTION("""COMPUTED_VALUE"""),"AGEGE BOY")</f>
        <v>AGEGE BOY</v>
      </c>
      <c r="Y365" s="96" t="str">
        <f>IFERROR(__xludf.DUMMYFUNCTION("""COMPUTED_VALUE"""),"AGEGE BOY4")</f>
        <v>AGEGE BOY4</v>
      </c>
      <c r="Z365" s="96"/>
      <c r="AA365" s="96"/>
      <c r="AB365" s="96"/>
      <c r="AC365" s="96"/>
      <c r="AD365" s="96"/>
      <c r="AE365" s="96"/>
      <c r="AF365" s="96">
        <f>IFERROR(__xludf.DUMMYFUNCTION("""COMPUTED_VALUE"""),600.0)</f>
        <v>600</v>
      </c>
      <c r="AG365" s="99">
        <f>IFERROR(__xludf.DUMMYFUNCTION("""COMPUTED_VALUE"""),600.0)</f>
        <v>600</v>
      </c>
      <c r="AH365" s="96"/>
      <c r="AI365" s="96">
        <f>IFERROR(__xludf.DUMMYFUNCTION("""COMPUTED_VALUE"""),0.0)</f>
        <v>0</v>
      </c>
      <c r="AJ365" s="96">
        <f>IFERROR(__xludf.DUMMYFUNCTION("""COMPUTED_VALUE"""),0.0)</f>
        <v>0</v>
      </c>
      <c r="AK365" s="96">
        <f>IFERROR(__xludf.DUMMYFUNCTION("""COMPUTED_VALUE"""),0.0)</f>
        <v>0</v>
      </c>
      <c r="AL365" s="129">
        <f>IFERROR(__xludf.DUMMYFUNCTION("""COMPUTED_VALUE"""),0.0)</f>
        <v>0</v>
      </c>
      <c r="AM365" s="99"/>
    </row>
    <row r="366">
      <c r="V366" s="96">
        <f>IFERROR(__xludf.DUMMYFUNCTION("""COMPUTED_VALUE"""),21.0)</f>
        <v>21</v>
      </c>
      <c r="W366" s="98">
        <f>IFERROR(__xludf.DUMMYFUNCTION("""COMPUTED_VALUE"""),44074.0)</f>
        <v>44074</v>
      </c>
      <c r="X366" s="96" t="str">
        <f>IFERROR(__xludf.DUMMYFUNCTION("""COMPUTED_VALUE"""),"LYDIA HNSON ")</f>
        <v>LYDIA HNSON </v>
      </c>
      <c r="Y366" s="96" t="str">
        <f>IFERROR(__xludf.DUMMYFUNCTION("""COMPUTED_VALUE"""),"LYDIA HNSON 21")</f>
        <v>LYDIA HNSON 21</v>
      </c>
      <c r="Z366" s="96"/>
      <c r="AA366" s="96"/>
      <c r="AB366" s="96"/>
      <c r="AC366" s="96"/>
      <c r="AD366" s="96"/>
      <c r="AE366" s="96"/>
      <c r="AF366" s="96">
        <f>IFERROR(__xludf.DUMMYFUNCTION("""COMPUTED_VALUE"""),-35000.0)</f>
        <v>-35000</v>
      </c>
      <c r="AG366" s="99">
        <f>IFERROR(__xludf.DUMMYFUNCTION("""COMPUTED_VALUE"""),-35000.0)</f>
        <v>-35000</v>
      </c>
      <c r="AH366" s="96"/>
      <c r="AI366" s="96">
        <f>IFERROR(__xludf.DUMMYFUNCTION("""COMPUTED_VALUE"""),0.0)</f>
        <v>0</v>
      </c>
      <c r="AJ366" s="96">
        <f>IFERROR(__xludf.DUMMYFUNCTION("""COMPUTED_VALUE"""),0.0)</f>
        <v>0</v>
      </c>
      <c r="AK366" s="96">
        <f>IFERROR(__xludf.DUMMYFUNCTION("""COMPUTED_VALUE"""),0.0)</f>
        <v>0</v>
      </c>
      <c r="AL366" s="129">
        <f>IFERROR(__xludf.DUMMYFUNCTION("""COMPUTED_VALUE"""),0.0)</f>
        <v>0</v>
      </c>
      <c r="AM366" s="99"/>
    </row>
    <row r="367">
      <c r="V367" s="96">
        <f>IFERROR(__xludf.DUMMYFUNCTION("""COMPUTED_VALUE"""),5.0)</f>
        <v>5</v>
      </c>
      <c r="W367" s="98">
        <f>IFERROR(__xludf.DUMMYFUNCTION("""COMPUTED_VALUE"""),44074.0)</f>
        <v>44074</v>
      </c>
      <c r="X367" s="96" t="str">
        <f>IFERROR(__xludf.DUMMYFUNCTION("""COMPUTED_VALUE"""),"AGEGE BOY")</f>
        <v>AGEGE BOY</v>
      </c>
      <c r="Y367" s="96" t="str">
        <f>IFERROR(__xludf.DUMMYFUNCTION("""COMPUTED_VALUE"""),"AGEGE BOY5")</f>
        <v>AGEGE BOY5</v>
      </c>
      <c r="Z367" s="96"/>
      <c r="AA367" s="96"/>
      <c r="AB367" s="96"/>
      <c r="AC367" s="96"/>
      <c r="AD367" s="96"/>
      <c r="AE367" s="96"/>
      <c r="AF367" s="96">
        <f>IFERROR(__xludf.DUMMYFUNCTION("""COMPUTED_VALUE"""),35000.0)</f>
        <v>35000</v>
      </c>
      <c r="AG367" s="99">
        <f>IFERROR(__xludf.DUMMYFUNCTION("""COMPUTED_VALUE"""),35000.0)</f>
        <v>35000</v>
      </c>
      <c r="AH367" s="96"/>
      <c r="AI367" s="96">
        <f>IFERROR(__xludf.DUMMYFUNCTION("""COMPUTED_VALUE"""),0.0)</f>
        <v>0</v>
      </c>
      <c r="AJ367" s="96">
        <f>IFERROR(__xludf.DUMMYFUNCTION("""COMPUTED_VALUE"""),0.0)</f>
        <v>0</v>
      </c>
      <c r="AK367" s="96">
        <f>IFERROR(__xludf.DUMMYFUNCTION("""COMPUTED_VALUE"""),0.0)</f>
        <v>0</v>
      </c>
      <c r="AL367" s="129">
        <f>IFERROR(__xludf.DUMMYFUNCTION("""COMPUTED_VALUE"""),0.0)</f>
        <v>0</v>
      </c>
      <c r="AM367" s="99"/>
    </row>
    <row r="368">
      <c r="V368" s="96">
        <f>IFERROR(__xludf.DUMMYFUNCTION("""COMPUTED_VALUE"""),1.0)</f>
        <v>1</v>
      </c>
      <c r="W368" s="98">
        <f>IFERROR(__xludf.DUMMYFUNCTION("""COMPUTED_VALUE"""),44089.0)</f>
        <v>44089</v>
      </c>
      <c r="X368" s="96" t="str">
        <f>IFERROR(__xludf.DUMMYFUNCTION("""COMPUTED_VALUE"""),"ABANG. ODI")</f>
        <v>ABANG. ODI</v>
      </c>
      <c r="Y368" s="96" t="str">
        <f>IFERROR(__xludf.DUMMYFUNCTION("""COMPUTED_VALUE"""),"ABANG. ODI1")</f>
        <v>ABANG. ODI1</v>
      </c>
      <c r="Z368" s="96"/>
      <c r="AA368" s="96"/>
      <c r="AB368" s="96"/>
      <c r="AC368" s="96"/>
      <c r="AD368" s="96"/>
      <c r="AE368" s="96"/>
      <c r="AF368" s="96">
        <f>IFERROR(__xludf.DUMMYFUNCTION("""COMPUTED_VALUE"""),10000.0)</f>
        <v>10000</v>
      </c>
      <c r="AG368" s="99">
        <f>IFERROR(__xludf.DUMMYFUNCTION("""COMPUTED_VALUE"""),10000.0)</f>
        <v>10000</v>
      </c>
      <c r="AH368" s="96"/>
      <c r="AI368" s="96">
        <f>IFERROR(__xludf.DUMMYFUNCTION("""COMPUTED_VALUE"""),0.0)</f>
        <v>0</v>
      </c>
      <c r="AJ368" s="96">
        <f>IFERROR(__xludf.DUMMYFUNCTION("""COMPUTED_VALUE"""),0.0)</f>
        <v>0</v>
      </c>
      <c r="AK368" s="96">
        <f>IFERROR(__xludf.DUMMYFUNCTION("""COMPUTED_VALUE"""),0.0)</f>
        <v>0</v>
      </c>
      <c r="AL368" s="129">
        <f>IFERROR(__xludf.DUMMYFUNCTION("""COMPUTED_VALUE"""),0.0)</f>
        <v>0</v>
      </c>
      <c r="AM368" s="99"/>
    </row>
    <row r="369">
      <c r="V369" s="96">
        <f>IFERROR(__xludf.DUMMYFUNCTION("""COMPUTED_VALUE"""),1.0)</f>
        <v>1</v>
      </c>
      <c r="W369" s="98">
        <f>IFERROR(__xludf.DUMMYFUNCTION("""COMPUTED_VALUE"""),44089.0)</f>
        <v>44089</v>
      </c>
      <c r="X369" s="96" t="str">
        <f>IFERROR(__xludf.DUMMYFUNCTION("""COMPUTED_VALUE"""),"ABANG. ORU")</f>
        <v>ABANG. ORU</v>
      </c>
      <c r="Y369" s="96" t="str">
        <f>IFERROR(__xludf.DUMMYFUNCTION("""COMPUTED_VALUE"""),"ABANG. ORU1")</f>
        <v>ABANG. ORU1</v>
      </c>
      <c r="Z369" s="96"/>
      <c r="AA369" s="96"/>
      <c r="AB369" s="96"/>
      <c r="AC369" s="96"/>
      <c r="AD369" s="96"/>
      <c r="AE369" s="96"/>
      <c r="AF369" s="96">
        <f>IFERROR(__xludf.DUMMYFUNCTION("""COMPUTED_VALUE"""),50000.0)</f>
        <v>50000</v>
      </c>
      <c r="AG369" s="99">
        <f>IFERROR(__xludf.DUMMYFUNCTION("""COMPUTED_VALUE"""),50000.0)</f>
        <v>50000</v>
      </c>
      <c r="AH369" s="96"/>
      <c r="AI369" s="96">
        <f>IFERROR(__xludf.DUMMYFUNCTION("""COMPUTED_VALUE"""),0.0)</f>
        <v>0</v>
      </c>
      <c r="AJ369" s="96">
        <f>IFERROR(__xludf.DUMMYFUNCTION("""COMPUTED_VALUE"""),0.0)</f>
        <v>0</v>
      </c>
      <c r="AK369" s="96">
        <f>IFERROR(__xludf.DUMMYFUNCTION("""COMPUTED_VALUE"""),0.0)</f>
        <v>0</v>
      </c>
      <c r="AL369" s="129">
        <f>IFERROR(__xludf.DUMMYFUNCTION("""COMPUTED_VALUE"""),0.0)</f>
        <v>0</v>
      </c>
      <c r="AM369" s="99"/>
    </row>
    <row r="370">
      <c r="V370" s="96">
        <f>IFERROR(__xludf.DUMMYFUNCTION("""COMPUTED_VALUE"""),14.0)</f>
        <v>14</v>
      </c>
      <c r="W370" s="98">
        <f>IFERROR(__xludf.DUMMYFUNCTION("""COMPUTED_VALUE"""),44089.0)</f>
        <v>44089</v>
      </c>
      <c r="X370" s="96" t="str">
        <f>IFERROR(__xludf.DUMMYFUNCTION("""COMPUTED_VALUE""")," MAXWELL AGRO")</f>
        <v> MAXWELL AGRO</v>
      </c>
      <c r="Y370" s="96" t="str">
        <f>IFERROR(__xludf.DUMMYFUNCTION("""COMPUTED_VALUE""")," MAXWELL AGRO14")</f>
        <v> MAXWELL AGRO14</v>
      </c>
      <c r="Z370" s="96"/>
      <c r="AA370" s="96"/>
      <c r="AB370" s="96"/>
      <c r="AC370" s="96"/>
      <c r="AD370" s="96"/>
      <c r="AE370" s="96"/>
      <c r="AF370" s="96">
        <f>IFERROR(__xludf.DUMMYFUNCTION("""COMPUTED_VALUE"""),4500.0)</f>
        <v>4500</v>
      </c>
      <c r="AG370" s="99">
        <f>IFERROR(__xludf.DUMMYFUNCTION("""COMPUTED_VALUE"""),4500.0)</f>
        <v>4500</v>
      </c>
      <c r="AH370" s="96"/>
      <c r="AI370" s="96">
        <f>IFERROR(__xludf.DUMMYFUNCTION("""COMPUTED_VALUE"""),0.0)</f>
        <v>0</v>
      </c>
      <c r="AJ370" s="96">
        <f>IFERROR(__xludf.DUMMYFUNCTION("""COMPUTED_VALUE"""),0.0)</f>
        <v>0</v>
      </c>
      <c r="AK370" s="96">
        <f>IFERROR(__xludf.DUMMYFUNCTION("""COMPUTED_VALUE"""),0.0)</f>
        <v>0</v>
      </c>
      <c r="AL370" s="129">
        <f>IFERROR(__xludf.DUMMYFUNCTION("""COMPUTED_VALUE"""),0.0)</f>
        <v>0</v>
      </c>
      <c r="AM370" s="99"/>
    </row>
    <row r="371">
      <c r="V371" s="96">
        <f>IFERROR(__xludf.DUMMYFUNCTION("""COMPUTED_VALUE"""),19.0)</f>
        <v>19</v>
      </c>
      <c r="W371" s="98">
        <f>IFERROR(__xludf.DUMMYFUNCTION("""COMPUTED_VALUE"""),44089.0)</f>
        <v>44089</v>
      </c>
      <c r="X371" s="96" t="str">
        <f>IFERROR(__xludf.DUMMYFUNCTION("""COMPUTED_VALUE"""),"BOSURU  BOSURU")</f>
        <v>BOSURU  BOSURU</v>
      </c>
      <c r="Y371" s="96" t="str">
        <f>IFERROR(__xludf.DUMMYFUNCTION("""COMPUTED_VALUE"""),"BOSURU  BOSURU19")</f>
        <v>BOSURU  BOSURU19</v>
      </c>
      <c r="Z371" s="96"/>
      <c r="AA371" s="96"/>
      <c r="AB371" s="96"/>
      <c r="AC371" s="96"/>
      <c r="AD371" s="96"/>
      <c r="AE371" s="96"/>
      <c r="AF371" s="96">
        <f>IFERROR(__xludf.DUMMYFUNCTION("""COMPUTED_VALUE"""),750000.0)</f>
        <v>750000</v>
      </c>
      <c r="AG371" s="99">
        <f>IFERROR(__xludf.DUMMYFUNCTION("""COMPUTED_VALUE"""),750000.0)</f>
        <v>750000</v>
      </c>
      <c r="AH371" s="96"/>
      <c r="AI371" s="96">
        <f>IFERROR(__xludf.DUMMYFUNCTION("""COMPUTED_VALUE"""),0.0)</f>
        <v>0</v>
      </c>
      <c r="AJ371" s="96">
        <f>IFERROR(__xludf.DUMMYFUNCTION("""COMPUTED_VALUE"""),0.0)</f>
        <v>0</v>
      </c>
      <c r="AK371" s="96">
        <f>IFERROR(__xludf.DUMMYFUNCTION("""COMPUTED_VALUE"""),0.0)</f>
        <v>0</v>
      </c>
      <c r="AL371" s="129">
        <f>IFERROR(__xludf.DUMMYFUNCTION("""COMPUTED_VALUE"""),0.0)</f>
        <v>0</v>
      </c>
      <c r="AM371" s="99"/>
    </row>
    <row r="372">
      <c r="V372" s="96">
        <f>IFERROR(__xludf.DUMMYFUNCTION("""COMPUTED_VALUE"""),9.0)</f>
        <v>9</v>
      </c>
      <c r="W372" s="98">
        <f>IFERROR(__xludf.DUMMYFUNCTION("""COMPUTED_VALUE"""),44089.0)</f>
        <v>44089</v>
      </c>
      <c r="X372" s="96" t="str">
        <f>IFERROR(__xludf.DUMMYFUNCTION("""COMPUTED_VALUE"""),"REMMY BODES")</f>
        <v>REMMY BODES</v>
      </c>
      <c r="Y372" s="96" t="str">
        <f>IFERROR(__xludf.DUMMYFUNCTION("""COMPUTED_VALUE"""),"REMMY BODES9")</f>
        <v>REMMY BODES9</v>
      </c>
      <c r="Z372" s="96"/>
      <c r="AA372" s="96"/>
      <c r="AB372" s="96"/>
      <c r="AC372" s="96"/>
      <c r="AD372" s="96"/>
      <c r="AE372" s="96"/>
      <c r="AF372" s="96">
        <f>IFERROR(__xludf.DUMMYFUNCTION("""COMPUTED_VALUE"""),500000.0)</f>
        <v>500000</v>
      </c>
      <c r="AG372" s="99">
        <f>IFERROR(__xludf.DUMMYFUNCTION("""COMPUTED_VALUE"""),500000.0)</f>
        <v>500000</v>
      </c>
      <c r="AH372" s="96"/>
      <c r="AI372" s="96">
        <f>IFERROR(__xludf.DUMMYFUNCTION("""COMPUTED_VALUE"""),0.0)</f>
        <v>0</v>
      </c>
      <c r="AJ372" s="96">
        <f>IFERROR(__xludf.DUMMYFUNCTION("""COMPUTED_VALUE"""),0.0)</f>
        <v>0</v>
      </c>
      <c r="AK372" s="96">
        <f>IFERROR(__xludf.DUMMYFUNCTION("""COMPUTED_VALUE"""),0.0)</f>
        <v>0</v>
      </c>
      <c r="AL372" s="129">
        <f>IFERROR(__xludf.DUMMYFUNCTION("""COMPUTED_VALUE"""),0.0)</f>
        <v>0</v>
      </c>
      <c r="AM372" s="99"/>
    </row>
    <row r="373">
      <c r="V373" s="96">
        <f>IFERROR(__xludf.DUMMYFUNCTION("""COMPUTED_VALUE"""),9.0)</f>
        <v>9</v>
      </c>
      <c r="W373" s="98">
        <f>IFERROR(__xludf.DUMMYFUNCTION("""COMPUTED_VALUE"""),44089.0)</f>
        <v>44089</v>
      </c>
      <c r="X373" s="96" t="str">
        <f>IFERROR(__xludf.DUMMYFUNCTION("""COMPUTED_VALUE"""),"A. D. FREDERICK")</f>
        <v>A. D. FREDERICK</v>
      </c>
      <c r="Y373" s="96" t="str">
        <f>IFERROR(__xludf.DUMMYFUNCTION("""COMPUTED_VALUE"""),"A. D. FREDERICK9")</f>
        <v>A. D. FREDERICK9</v>
      </c>
      <c r="Z373" s="96"/>
      <c r="AA373" s="96"/>
      <c r="AB373" s="96"/>
      <c r="AC373" s="96"/>
      <c r="AD373" s="96"/>
      <c r="AE373" s="96"/>
      <c r="AF373" s="96">
        <f>IFERROR(__xludf.DUMMYFUNCTION("""COMPUTED_VALUE"""),340000.0)</f>
        <v>340000</v>
      </c>
      <c r="AG373" s="99">
        <f>IFERROR(__xludf.DUMMYFUNCTION("""COMPUTED_VALUE"""),340000.0)</f>
        <v>340000</v>
      </c>
      <c r="AH373" s="96"/>
      <c r="AI373" s="96">
        <f>IFERROR(__xludf.DUMMYFUNCTION("""COMPUTED_VALUE"""),0.0)</f>
        <v>0</v>
      </c>
      <c r="AJ373" s="96">
        <f>IFERROR(__xludf.DUMMYFUNCTION("""COMPUTED_VALUE"""),0.0)</f>
        <v>0</v>
      </c>
      <c r="AK373" s="96">
        <f>IFERROR(__xludf.DUMMYFUNCTION("""COMPUTED_VALUE"""),0.0)</f>
        <v>0</v>
      </c>
      <c r="AL373" s="129">
        <f>IFERROR(__xludf.DUMMYFUNCTION("""COMPUTED_VALUE"""),0.0)</f>
        <v>0</v>
      </c>
      <c r="AM373" s="99"/>
    </row>
    <row r="374">
      <c r="V374" s="96">
        <f>IFERROR(__xludf.DUMMYFUNCTION("""COMPUTED_VALUE"""),5.0)</f>
        <v>5</v>
      </c>
      <c r="W374" s="98">
        <f>IFERROR(__xludf.DUMMYFUNCTION("""COMPUTED_VALUE"""),44089.0)</f>
        <v>44089</v>
      </c>
      <c r="X374" s="96" t="str">
        <f>IFERROR(__xludf.DUMMYFUNCTION("""COMPUTED_VALUE"""),"PRINNESS")</f>
        <v>PRINNESS</v>
      </c>
      <c r="Y374" s="96" t="str">
        <f>IFERROR(__xludf.DUMMYFUNCTION("""COMPUTED_VALUE"""),"PRINNESS5")</f>
        <v>PRINNESS5</v>
      </c>
      <c r="Z374" s="96"/>
      <c r="AA374" s="96"/>
      <c r="AB374" s="96"/>
      <c r="AC374" s="96"/>
      <c r="AD374" s="96"/>
      <c r="AE374" s="96"/>
      <c r="AF374" s="96">
        <f>IFERROR(__xludf.DUMMYFUNCTION("""COMPUTED_VALUE"""),10000.0)</f>
        <v>10000</v>
      </c>
      <c r="AG374" s="99">
        <f>IFERROR(__xludf.DUMMYFUNCTION("""COMPUTED_VALUE"""),10000.0)</f>
        <v>10000</v>
      </c>
      <c r="AH374" s="96"/>
      <c r="AI374" s="96">
        <f>IFERROR(__xludf.DUMMYFUNCTION("""COMPUTED_VALUE"""),0.0)</f>
        <v>0</v>
      </c>
      <c r="AJ374" s="96">
        <f>IFERROR(__xludf.DUMMYFUNCTION("""COMPUTED_VALUE"""),0.0)</f>
        <v>0</v>
      </c>
      <c r="AK374" s="96">
        <f>IFERROR(__xludf.DUMMYFUNCTION("""COMPUTED_VALUE"""),0.0)</f>
        <v>0</v>
      </c>
      <c r="AL374" s="129">
        <f>IFERROR(__xludf.DUMMYFUNCTION("""COMPUTED_VALUE"""),0.0)</f>
        <v>0</v>
      </c>
      <c r="AM374" s="99"/>
    </row>
    <row r="375">
      <c r="V375" s="96">
        <f>IFERROR(__xludf.DUMMYFUNCTION("""COMPUTED_VALUE"""),22.0)</f>
        <v>22</v>
      </c>
      <c r="W375" s="98">
        <f>IFERROR(__xludf.DUMMYFUNCTION("""COMPUTED_VALUE"""),44076.0)</f>
        <v>44076</v>
      </c>
      <c r="X375" s="96" t="str">
        <f>IFERROR(__xludf.DUMMYFUNCTION("""COMPUTED_VALUE"""),"LYDIA HNSON ")</f>
        <v>LYDIA HNSON </v>
      </c>
      <c r="Y375" s="96" t="str">
        <f>IFERROR(__xludf.DUMMYFUNCTION("""COMPUTED_VALUE"""),"LYDIA HNSON 22")</f>
        <v>LYDIA HNSON 22</v>
      </c>
      <c r="Z375" s="96">
        <f>IFERROR(__xludf.DUMMYFUNCTION("""COMPUTED_VALUE"""),203.0)</f>
        <v>203</v>
      </c>
      <c r="AA375" s="96">
        <f>IFERROR(__xludf.DUMMYFUNCTION("""COMPUTED_VALUE"""),32.0)</f>
        <v>32</v>
      </c>
      <c r="AB375" s="96"/>
      <c r="AC375" s="96">
        <f>IFERROR(__xludf.DUMMYFUNCTION("""COMPUTED_VALUE"""),4.0)</f>
        <v>4</v>
      </c>
      <c r="AD375" s="96"/>
      <c r="AE375" s="96">
        <f>IFERROR(__xludf.DUMMYFUNCTION("""COMPUTED_VALUE"""),890.0)</f>
        <v>890</v>
      </c>
      <c r="AF375" s="96"/>
      <c r="AG375" s="99">
        <f>IFERROR(__xludf.DUMMYFUNCTION("""COMPUTED_VALUE"""),-177110.0)</f>
        <v>-177110</v>
      </c>
      <c r="AH375" s="96">
        <f>IFERROR(__xludf.DUMMYFUNCTION("""COMPUTED_VALUE"""),8.0)</f>
        <v>8</v>
      </c>
      <c r="AI375" s="96">
        <f>IFERROR(__xludf.DUMMYFUNCTION("""COMPUTED_VALUE"""),0.0)</f>
        <v>0</v>
      </c>
      <c r="AJ375" s="96">
        <f>IFERROR(__xludf.DUMMYFUNCTION("""COMPUTED_VALUE"""),3.0)</f>
        <v>3</v>
      </c>
      <c r="AK375" s="96">
        <f>IFERROR(__xludf.DUMMYFUNCTION("""COMPUTED_VALUE"""),9.0)</f>
        <v>9</v>
      </c>
      <c r="AL375" s="129">
        <f>IFERROR(__xludf.DUMMYFUNCTION("""COMPUTED_VALUE"""),199.0)</f>
        <v>199</v>
      </c>
      <c r="AM375" s="99">
        <f>IFERROR(__xludf.DUMMYFUNCTION("""COMPUTED_VALUE"""),177110.0)</f>
        <v>177110</v>
      </c>
    </row>
    <row r="376">
      <c r="V376" s="96">
        <f>IFERROR(__xludf.DUMMYFUNCTION("""COMPUTED_VALUE"""),23.0)</f>
        <v>23</v>
      </c>
      <c r="W376" s="98">
        <f>IFERROR(__xludf.DUMMYFUNCTION("""COMPUTED_VALUE"""),44086.0)</f>
        <v>44086</v>
      </c>
      <c r="X376" s="96" t="str">
        <f>IFERROR(__xludf.DUMMYFUNCTION("""COMPUTED_VALUE"""),"LYDIA HNSON ")</f>
        <v>LYDIA HNSON </v>
      </c>
      <c r="Y376" s="96" t="str">
        <f>IFERROR(__xludf.DUMMYFUNCTION("""COMPUTED_VALUE"""),"LYDIA HNSON 23")</f>
        <v>LYDIA HNSON 23</v>
      </c>
      <c r="Z376" s="96">
        <f>IFERROR(__xludf.DUMMYFUNCTION("""COMPUTED_VALUE"""),502.0)</f>
        <v>502</v>
      </c>
      <c r="AA376" s="96">
        <f>IFERROR(__xludf.DUMMYFUNCTION("""COMPUTED_VALUE"""),64.0)</f>
        <v>64</v>
      </c>
      <c r="AB376" s="96"/>
      <c r="AC376" s="96">
        <f>IFERROR(__xludf.DUMMYFUNCTION("""COMPUTED_VALUE"""),8.0)</f>
        <v>8</v>
      </c>
      <c r="AD376" s="96"/>
      <c r="AE376" s="96">
        <f>IFERROR(__xludf.DUMMYFUNCTION("""COMPUTED_VALUE"""),890.0)</f>
        <v>890</v>
      </c>
      <c r="AF376" s="96"/>
      <c r="AG376" s="99">
        <f>IFERROR(__xludf.DUMMYFUNCTION("""COMPUTED_VALUE"""),-439660.0)</f>
        <v>-439660</v>
      </c>
      <c r="AH376" s="96">
        <f>IFERROR(__xludf.DUMMYFUNCTION("""COMPUTED_VALUE"""),8.0)</f>
        <v>8</v>
      </c>
      <c r="AI376" s="96">
        <f>IFERROR(__xludf.DUMMYFUNCTION("""COMPUTED_VALUE"""),0.0)</f>
        <v>0</v>
      </c>
      <c r="AJ376" s="96">
        <f>IFERROR(__xludf.DUMMYFUNCTION("""COMPUTED_VALUE"""),7.0)</f>
        <v>7</v>
      </c>
      <c r="AK376" s="96">
        <f>IFERROR(__xludf.DUMMYFUNCTION("""COMPUTED_VALUE"""),53.0)</f>
        <v>53</v>
      </c>
      <c r="AL376" s="129">
        <f>IFERROR(__xludf.DUMMYFUNCTION("""COMPUTED_VALUE"""),494.0)</f>
        <v>494</v>
      </c>
      <c r="AM376" s="99">
        <f>IFERROR(__xludf.DUMMYFUNCTION("""COMPUTED_VALUE"""),439660.0)</f>
        <v>439660</v>
      </c>
    </row>
    <row r="377">
      <c r="V377" s="96">
        <f>IFERROR(__xludf.DUMMYFUNCTION("""COMPUTED_VALUE"""),24.0)</f>
        <v>24</v>
      </c>
      <c r="W377" s="98">
        <f>IFERROR(__xludf.DUMMYFUNCTION("""COMPUTED_VALUE"""),44088.0)</f>
        <v>44088</v>
      </c>
      <c r="X377" s="96" t="str">
        <f>IFERROR(__xludf.DUMMYFUNCTION("""COMPUTED_VALUE"""),"LYDIA HNSON ")</f>
        <v>LYDIA HNSON </v>
      </c>
      <c r="Y377" s="96" t="str">
        <f>IFERROR(__xludf.DUMMYFUNCTION("""COMPUTED_VALUE"""),"LYDIA HNSON 24")</f>
        <v>LYDIA HNSON 24</v>
      </c>
      <c r="Z377" s="96">
        <f>IFERROR(__xludf.DUMMYFUNCTION("""COMPUTED_VALUE"""),179.0)</f>
        <v>179</v>
      </c>
      <c r="AA377" s="96">
        <f>IFERROR(__xludf.DUMMYFUNCTION("""COMPUTED_VALUE"""),24.0)</f>
        <v>24</v>
      </c>
      <c r="AB377" s="96"/>
      <c r="AC377" s="96">
        <f>IFERROR(__xludf.DUMMYFUNCTION("""COMPUTED_VALUE"""),3.0)</f>
        <v>3</v>
      </c>
      <c r="AD377" s="96"/>
      <c r="AE377" s="96">
        <f>IFERROR(__xludf.DUMMYFUNCTION("""COMPUTED_VALUE"""),890.0)</f>
        <v>890</v>
      </c>
      <c r="AF377" s="96"/>
      <c r="AG377" s="99">
        <f>IFERROR(__xludf.DUMMYFUNCTION("""COMPUTED_VALUE"""),-156640.0)</f>
        <v>-156640</v>
      </c>
      <c r="AH377" s="96">
        <f>IFERROR(__xludf.DUMMYFUNCTION("""COMPUTED_VALUE"""),8.0)</f>
        <v>8</v>
      </c>
      <c r="AI377" s="96">
        <f>IFERROR(__xludf.DUMMYFUNCTION("""COMPUTED_VALUE"""),0.0)</f>
        <v>0</v>
      </c>
      <c r="AJ377" s="96">
        <f>IFERROR(__xludf.DUMMYFUNCTION("""COMPUTED_VALUE"""),2.0)</f>
        <v>2</v>
      </c>
      <c r="AK377" s="96">
        <f>IFERROR(__xludf.DUMMYFUNCTION("""COMPUTED_VALUE"""),50.0)</f>
        <v>50</v>
      </c>
      <c r="AL377" s="129">
        <f>IFERROR(__xludf.DUMMYFUNCTION("""COMPUTED_VALUE"""),176.0)</f>
        <v>176</v>
      </c>
      <c r="AM377" s="99">
        <f>IFERROR(__xludf.DUMMYFUNCTION("""COMPUTED_VALUE"""),156640.0)</f>
        <v>156640</v>
      </c>
    </row>
    <row r="378">
      <c r="V378" s="96">
        <f>IFERROR(__xludf.DUMMYFUNCTION("""COMPUTED_VALUE"""),25.0)</f>
        <v>25</v>
      </c>
      <c r="W378" s="98">
        <f>IFERROR(__xludf.DUMMYFUNCTION("""COMPUTED_VALUE"""),44088.0)</f>
        <v>44088</v>
      </c>
      <c r="X378" s="96" t="str">
        <f>IFERROR(__xludf.DUMMYFUNCTION("""COMPUTED_VALUE"""),"LYDIA HNSON ")</f>
        <v>LYDIA HNSON </v>
      </c>
      <c r="Y378" s="96" t="str">
        <f>IFERROR(__xludf.DUMMYFUNCTION("""COMPUTED_VALUE"""),"LYDIA HNSON 25")</f>
        <v>LYDIA HNSON 25</v>
      </c>
      <c r="Z378" s="96">
        <f>IFERROR(__xludf.DUMMYFUNCTION("""COMPUTED_VALUE"""),39.0)</f>
        <v>39</v>
      </c>
      <c r="AA378" s="96">
        <f>IFERROR(__xludf.DUMMYFUNCTION("""COMPUTED_VALUE"""),8.0)</f>
        <v>8</v>
      </c>
      <c r="AB378" s="96"/>
      <c r="AC378" s="96">
        <f>IFERROR(__xludf.DUMMYFUNCTION("""COMPUTED_VALUE"""),1.0)</f>
        <v>1</v>
      </c>
      <c r="AD378" s="96">
        <f>IFERROR(__xludf.DUMMYFUNCTION("""COMPUTED_VALUE"""),1.0)</f>
        <v>1</v>
      </c>
      <c r="AE378" s="96">
        <f>IFERROR(__xludf.DUMMYFUNCTION("""COMPUTED_VALUE"""),890.0)</f>
        <v>890</v>
      </c>
      <c r="AF378" s="96"/>
      <c r="AG378" s="99">
        <f>IFERROR(__xludf.DUMMYFUNCTION("""COMPUTED_VALUE"""),-34710.0)</f>
        <v>-34710</v>
      </c>
      <c r="AH378" s="96">
        <f>IFERROR(__xludf.DUMMYFUNCTION("""COMPUTED_VALUE"""),8.0)</f>
        <v>8</v>
      </c>
      <c r="AI378" s="96">
        <f>IFERROR(__xludf.DUMMYFUNCTION("""COMPUTED_VALUE"""),0.0)</f>
        <v>0</v>
      </c>
      <c r="AJ378" s="96">
        <f>IFERROR(__xludf.DUMMYFUNCTION("""COMPUTED_VALUE"""),0.0)</f>
        <v>0</v>
      </c>
      <c r="AK378" s="96">
        <f>IFERROR(__xludf.DUMMYFUNCTION("""COMPUTED_VALUE"""),39.0)</f>
        <v>39</v>
      </c>
      <c r="AL378" s="129">
        <f>IFERROR(__xludf.DUMMYFUNCTION("""COMPUTED_VALUE"""),39.0)</f>
        <v>39</v>
      </c>
      <c r="AM378" s="99">
        <f>IFERROR(__xludf.DUMMYFUNCTION("""COMPUTED_VALUE"""),34710.0)</f>
        <v>34710</v>
      </c>
    </row>
    <row r="379">
      <c r="V379" s="96">
        <f>IFERROR(__xludf.DUMMYFUNCTION("""COMPUTED_VALUE"""),15.0)</f>
        <v>15</v>
      </c>
      <c r="W379" s="98">
        <f>IFERROR(__xludf.DUMMYFUNCTION("""COMPUTED_VALUE"""),44089.0)</f>
        <v>44089</v>
      </c>
      <c r="X379" s="96" t="str">
        <f>IFERROR(__xludf.DUMMYFUNCTION("""COMPUTED_VALUE""")," MAXWELL AGRO")</f>
        <v> MAXWELL AGRO</v>
      </c>
      <c r="Y379" s="96" t="str">
        <f>IFERROR(__xludf.DUMMYFUNCTION("""COMPUTED_VALUE""")," MAXWELL AGRO15")</f>
        <v> MAXWELL AGRO15</v>
      </c>
      <c r="Z379" s="96">
        <f>IFERROR(__xludf.DUMMYFUNCTION("""COMPUTED_VALUE"""),668.0)</f>
        <v>668</v>
      </c>
      <c r="AA379" s="96">
        <f>IFERROR(__xludf.DUMMYFUNCTION("""COMPUTED_VALUE"""),160.0)</f>
        <v>160</v>
      </c>
      <c r="AB379" s="96"/>
      <c r="AC379" s="96">
        <f>IFERROR(__xludf.DUMMYFUNCTION("""COMPUTED_VALUE"""),10.0)</f>
        <v>10</v>
      </c>
      <c r="AD379" s="96"/>
      <c r="AE379" s="96">
        <f>IFERROR(__xludf.DUMMYFUNCTION("""COMPUTED_VALUE"""),2568.54)</f>
        <v>2568.54</v>
      </c>
      <c r="AF379" s="96"/>
      <c r="AG379" s="99">
        <f>IFERROR(__xludf.DUMMYFUNCTION("""COMPUTED_VALUE"""),-1553968.0)</f>
        <v>-1553968</v>
      </c>
      <c r="AH379" s="96">
        <f>IFERROR(__xludf.DUMMYFUNCTION("""COMPUTED_VALUE"""),16.0)</f>
        <v>16</v>
      </c>
      <c r="AI379" s="96">
        <f>IFERROR(__xludf.DUMMYFUNCTION("""COMPUTED_VALUE"""),53.0)</f>
        <v>53</v>
      </c>
      <c r="AJ379" s="96">
        <f>IFERROR(__xludf.DUMMYFUNCTION("""COMPUTED_VALUE"""),9.0)</f>
        <v>9</v>
      </c>
      <c r="AK379" s="96">
        <f>IFERROR(__xludf.DUMMYFUNCTION("""COMPUTED_VALUE"""),38.0)</f>
        <v>38</v>
      </c>
      <c r="AL379" s="129">
        <f>IFERROR(__xludf.DUMMYFUNCTION("""COMPUTED_VALUE"""),605.0)</f>
        <v>605</v>
      </c>
      <c r="AM379" s="99">
        <f>IFERROR(__xludf.DUMMYFUNCTION("""COMPUTED_VALUE"""),1553968.0)</f>
        <v>1553968</v>
      </c>
    </row>
    <row r="380">
      <c r="V380" s="96">
        <f>IFERROR(__xludf.DUMMYFUNCTION("""COMPUTED_VALUE"""),6.0)</f>
        <v>6</v>
      </c>
      <c r="W380" s="98">
        <f>IFERROR(__xludf.DUMMYFUNCTION("""COMPUTED_VALUE"""),44089.0)</f>
        <v>44089</v>
      </c>
      <c r="X380" s="96" t="str">
        <f>IFERROR(__xludf.DUMMYFUNCTION("""COMPUTED_VALUE"""),"PRINNESS")</f>
        <v>PRINNESS</v>
      </c>
      <c r="Y380" s="96" t="str">
        <f>IFERROR(__xludf.DUMMYFUNCTION("""COMPUTED_VALUE"""),"PRINNESS6")</f>
        <v>PRINNESS6</v>
      </c>
      <c r="Z380" s="96">
        <f>IFERROR(__xludf.DUMMYFUNCTION("""COMPUTED_VALUE"""),324.0)</f>
        <v>324</v>
      </c>
      <c r="AA380" s="96">
        <f>IFERROR(__xludf.DUMMYFUNCTION("""COMPUTED_VALUE"""),57.0)</f>
        <v>57</v>
      </c>
      <c r="AB380" s="96"/>
      <c r="AC380" s="96">
        <f>IFERROR(__xludf.DUMMYFUNCTION("""COMPUTED_VALUE"""),4.0)</f>
        <v>4</v>
      </c>
      <c r="AD380" s="96"/>
      <c r="AE380" s="96">
        <f>IFERROR(__xludf.DUMMYFUNCTION("""COMPUTED_VALUE"""),1766.67)</f>
        <v>1766.67</v>
      </c>
      <c r="AF380" s="96"/>
      <c r="AG380" s="99">
        <f>IFERROR(__xludf.DUMMYFUNCTION("""COMPUTED_VALUE"""),-530000.0)</f>
        <v>-530000</v>
      </c>
      <c r="AH380" s="96">
        <f>IFERROR(__xludf.DUMMYFUNCTION("""COMPUTED_VALUE"""),14.25)</f>
        <v>14.25</v>
      </c>
      <c r="AI380" s="96">
        <f>IFERROR(__xludf.DUMMYFUNCTION("""COMPUTED_VALUE"""),20.0)</f>
        <v>20</v>
      </c>
      <c r="AJ380" s="96">
        <f>IFERROR(__xludf.DUMMYFUNCTION("""COMPUTED_VALUE"""),4.0)</f>
        <v>4</v>
      </c>
      <c r="AK380" s="96">
        <f>IFERROR(__xludf.DUMMYFUNCTION("""COMPUTED_VALUE"""),48.0)</f>
        <v>48</v>
      </c>
      <c r="AL380" s="129">
        <f>IFERROR(__xludf.DUMMYFUNCTION("""COMPUTED_VALUE"""),300.0)</f>
        <v>300</v>
      </c>
      <c r="AM380" s="99">
        <f>IFERROR(__xludf.DUMMYFUNCTION("""COMPUTED_VALUE"""),530000.0)</f>
        <v>530000</v>
      </c>
    </row>
    <row r="381">
      <c r="V381" s="96">
        <f>IFERROR(__xludf.DUMMYFUNCTION("""COMPUTED_VALUE"""),10.0)</f>
        <v>10</v>
      </c>
      <c r="W381" s="98">
        <f>IFERROR(__xludf.DUMMYFUNCTION("""COMPUTED_VALUE"""),44091.0)</f>
        <v>44091</v>
      </c>
      <c r="X381" s="96" t="str">
        <f>IFERROR(__xludf.DUMMYFUNCTION("""COMPUTED_VALUE"""),"ANDRDEW GREAT")</f>
        <v>ANDRDEW GREAT</v>
      </c>
      <c r="Y381" s="96" t="str">
        <f>IFERROR(__xludf.DUMMYFUNCTION("""COMPUTED_VALUE"""),"ANDRDEW GREAT10")</f>
        <v>ANDRDEW GREAT10</v>
      </c>
      <c r="Z381" s="96">
        <f>IFERROR(__xludf.DUMMYFUNCTION("""COMPUTED_VALUE"""),1458.0)</f>
        <v>1458</v>
      </c>
      <c r="AA381" s="96">
        <f>IFERROR(__xludf.DUMMYFUNCTION("""COMPUTED_VALUE"""),228.5)</f>
        <v>228.5</v>
      </c>
      <c r="AB381" s="96"/>
      <c r="AC381" s="96">
        <f>IFERROR(__xludf.DUMMYFUNCTION("""COMPUTED_VALUE"""),19.0)</f>
        <v>19</v>
      </c>
      <c r="AD381" s="96"/>
      <c r="AE381" s="96">
        <f>IFERROR(__xludf.DUMMYFUNCTION("""COMPUTED_VALUE"""),890.0)</f>
        <v>890</v>
      </c>
      <c r="AF381" s="96"/>
      <c r="AG381" s="99">
        <f>IFERROR(__xludf.DUMMYFUNCTION("""COMPUTED_VALUE"""),-1229090.0)</f>
        <v>-1229090</v>
      </c>
      <c r="AH381" s="96">
        <f>IFERROR(__xludf.DUMMYFUNCTION("""COMPUTED_VALUE"""),12.03)</f>
        <v>12.03</v>
      </c>
      <c r="AI381" s="96">
        <f>IFERROR(__xludf.DUMMYFUNCTION("""COMPUTED_VALUE"""),58.0)</f>
        <v>58</v>
      </c>
      <c r="AJ381" s="96">
        <f>IFERROR(__xludf.DUMMYFUNCTION("""COMPUTED_VALUE"""),21.0)</f>
        <v>21</v>
      </c>
      <c r="AK381" s="96">
        <f>IFERROR(__xludf.DUMMYFUNCTION("""COMPUTED_VALUE"""),58.0)</f>
        <v>58</v>
      </c>
      <c r="AL381" s="129">
        <f>IFERROR(__xludf.DUMMYFUNCTION("""COMPUTED_VALUE"""),1381.0)</f>
        <v>1381</v>
      </c>
      <c r="AM381" s="99">
        <f>IFERROR(__xludf.DUMMYFUNCTION("""COMPUTED_VALUE"""),1229090.0)</f>
        <v>1229090</v>
      </c>
    </row>
    <row r="382">
      <c r="V382" s="96">
        <f>IFERROR(__xludf.DUMMYFUNCTION("""COMPUTED_VALUE"""),16.0)</f>
        <v>16</v>
      </c>
      <c r="W382" s="98">
        <f>IFERROR(__xludf.DUMMYFUNCTION("""COMPUTED_VALUE"""),44090.0)</f>
        <v>44090</v>
      </c>
      <c r="X382" s="96" t="str">
        <f>IFERROR(__xludf.DUMMYFUNCTION("""COMPUTED_VALUE""")," MAXWELL AGRO")</f>
        <v> MAXWELL AGRO</v>
      </c>
      <c r="Y382" s="96" t="str">
        <f>IFERROR(__xludf.DUMMYFUNCTION("""COMPUTED_VALUE""")," MAXWELL AGRO16")</f>
        <v> MAXWELL AGRO16</v>
      </c>
      <c r="Z382" s="96"/>
      <c r="AA382" s="96"/>
      <c r="AB382" s="96"/>
      <c r="AC382" s="96"/>
      <c r="AD382" s="96"/>
      <c r="AE382" s="96"/>
      <c r="AF382" s="96">
        <f>IFERROR(__xludf.DUMMYFUNCTION("""COMPUTED_VALUE"""),1553900.0)</f>
        <v>1553900</v>
      </c>
      <c r="AG382" s="99">
        <f>IFERROR(__xludf.DUMMYFUNCTION("""COMPUTED_VALUE"""),1553900.0)</f>
        <v>1553900</v>
      </c>
      <c r="AH382" s="96"/>
      <c r="AI382" s="96">
        <f>IFERROR(__xludf.DUMMYFUNCTION("""COMPUTED_VALUE"""),0.0)</f>
        <v>0</v>
      </c>
      <c r="AJ382" s="96">
        <f>IFERROR(__xludf.DUMMYFUNCTION("""COMPUTED_VALUE"""),0.0)</f>
        <v>0</v>
      </c>
      <c r="AK382" s="96">
        <f>IFERROR(__xludf.DUMMYFUNCTION("""COMPUTED_VALUE"""),0.0)</f>
        <v>0</v>
      </c>
      <c r="AL382" s="129">
        <f>IFERROR(__xludf.DUMMYFUNCTION("""COMPUTED_VALUE"""),0.0)</f>
        <v>0</v>
      </c>
      <c r="AM382" s="99"/>
    </row>
    <row r="383">
      <c r="V383" s="96">
        <f>IFERROR(__xludf.DUMMYFUNCTION("""COMPUTED_VALUE"""),12.0)</f>
        <v>12</v>
      </c>
      <c r="W383" s="98">
        <f>IFERROR(__xludf.DUMMYFUNCTION("""COMPUTED_VALUE"""),44090.0)</f>
        <v>44090</v>
      </c>
      <c r="X383" s="96" t="str">
        <f>IFERROR(__xludf.DUMMYFUNCTION("""COMPUTED_VALUE"""),"ALFRED ALABI")</f>
        <v>ALFRED ALABI</v>
      </c>
      <c r="Y383" s="96" t="str">
        <f>IFERROR(__xludf.DUMMYFUNCTION("""COMPUTED_VALUE"""),"ALFRED ALABI12")</f>
        <v>ALFRED ALABI12</v>
      </c>
      <c r="Z383" s="96"/>
      <c r="AA383" s="96"/>
      <c r="AB383" s="96"/>
      <c r="AC383" s="96"/>
      <c r="AD383" s="96"/>
      <c r="AE383" s="96"/>
      <c r="AF383" s="96">
        <f>IFERROR(__xludf.DUMMYFUNCTION("""COMPUTED_VALUE"""),1161000.0)</f>
        <v>1161000</v>
      </c>
      <c r="AG383" s="99">
        <f>IFERROR(__xludf.DUMMYFUNCTION("""COMPUTED_VALUE"""),1161000.0)</f>
        <v>1161000</v>
      </c>
      <c r="AH383" s="96"/>
      <c r="AI383" s="96">
        <f>IFERROR(__xludf.DUMMYFUNCTION("""COMPUTED_VALUE"""),0.0)</f>
        <v>0</v>
      </c>
      <c r="AJ383" s="96">
        <f>IFERROR(__xludf.DUMMYFUNCTION("""COMPUTED_VALUE"""),0.0)</f>
        <v>0</v>
      </c>
      <c r="AK383" s="96">
        <f>IFERROR(__xludf.DUMMYFUNCTION("""COMPUTED_VALUE"""),0.0)</f>
        <v>0</v>
      </c>
      <c r="AL383" s="129">
        <f>IFERROR(__xludf.DUMMYFUNCTION("""COMPUTED_VALUE"""),0.0)</f>
        <v>0</v>
      </c>
      <c r="AM383" s="99"/>
    </row>
    <row r="384">
      <c r="V384" s="96">
        <f>IFERROR(__xludf.DUMMYFUNCTION("""COMPUTED_VALUE"""),7.0)</f>
        <v>7</v>
      </c>
      <c r="W384" s="98">
        <f>IFERROR(__xludf.DUMMYFUNCTION("""COMPUTED_VALUE"""),44090.0)</f>
        <v>44090</v>
      </c>
      <c r="X384" s="96" t="str">
        <f>IFERROR(__xludf.DUMMYFUNCTION("""COMPUTED_VALUE"""),"AUGUSTINE IGBA")</f>
        <v>AUGUSTINE IGBA</v>
      </c>
      <c r="Y384" s="96" t="str">
        <f>IFERROR(__xludf.DUMMYFUNCTION("""COMPUTED_VALUE"""),"AUGUSTINE IGBA7")</f>
        <v>AUGUSTINE IGBA7</v>
      </c>
      <c r="Z384" s="96"/>
      <c r="AA384" s="96"/>
      <c r="AB384" s="96"/>
      <c r="AC384" s="96"/>
      <c r="AD384" s="96"/>
      <c r="AE384" s="96"/>
      <c r="AF384" s="96">
        <f>IFERROR(__xludf.DUMMYFUNCTION("""COMPUTED_VALUE"""),2000000.0)</f>
        <v>2000000</v>
      </c>
      <c r="AG384" s="99">
        <f>IFERROR(__xludf.DUMMYFUNCTION("""COMPUTED_VALUE"""),2000000.0)</f>
        <v>2000000</v>
      </c>
      <c r="AH384" s="96"/>
      <c r="AI384" s="96">
        <f>IFERROR(__xludf.DUMMYFUNCTION("""COMPUTED_VALUE"""),0.0)</f>
        <v>0</v>
      </c>
      <c r="AJ384" s="96">
        <f>IFERROR(__xludf.DUMMYFUNCTION("""COMPUTED_VALUE"""),0.0)</f>
        <v>0</v>
      </c>
      <c r="AK384" s="96">
        <f>IFERROR(__xludf.DUMMYFUNCTION("""COMPUTED_VALUE"""),0.0)</f>
        <v>0</v>
      </c>
      <c r="AL384" s="129">
        <f>IFERROR(__xludf.DUMMYFUNCTION("""COMPUTED_VALUE"""),0.0)</f>
        <v>0</v>
      </c>
      <c r="AM384" s="99"/>
    </row>
    <row r="385">
      <c r="V385" s="96">
        <f>IFERROR(__xludf.DUMMYFUNCTION("""COMPUTED_VALUE"""),4.0)</f>
        <v>4</v>
      </c>
      <c r="W385" s="98">
        <f>IFERROR(__xludf.DUMMYFUNCTION("""COMPUTED_VALUE"""),44090.0)</f>
        <v>44090</v>
      </c>
      <c r="X385" s="96" t="str">
        <f>IFERROR(__xludf.DUMMYFUNCTION("""COMPUTED_VALUE"""),"NDOMA PRIN")</f>
        <v>NDOMA PRIN</v>
      </c>
      <c r="Y385" s="96" t="str">
        <f>IFERROR(__xludf.DUMMYFUNCTION("""COMPUTED_VALUE"""),"NDOMA PRIN4")</f>
        <v>NDOMA PRIN4</v>
      </c>
      <c r="Z385" s="96"/>
      <c r="AA385" s="96"/>
      <c r="AB385" s="96"/>
      <c r="AC385" s="96"/>
      <c r="AD385" s="96"/>
      <c r="AE385" s="96"/>
      <c r="AF385" s="96">
        <f>IFERROR(__xludf.DUMMYFUNCTION("""COMPUTED_VALUE"""),261700.0)</f>
        <v>261700</v>
      </c>
      <c r="AG385" s="99">
        <f>IFERROR(__xludf.DUMMYFUNCTION("""COMPUTED_VALUE"""),261700.0)</f>
        <v>261700</v>
      </c>
      <c r="AH385" s="96"/>
      <c r="AI385" s="96">
        <f>IFERROR(__xludf.DUMMYFUNCTION("""COMPUTED_VALUE"""),0.0)</f>
        <v>0</v>
      </c>
      <c r="AJ385" s="96">
        <f>IFERROR(__xludf.DUMMYFUNCTION("""COMPUTED_VALUE"""),0.0)</f>
        <v>0</v>
      </c>
      <c r="AK385" s="96">
        <f>IFERROR(__xludf.DUMMYFUNCTION("""COMPUTED_VALUE"""),0.0)</f>
        <v>0</v>
      </c>
      <c r="AL385" s="129">
        <f>IFERROR(__xludf.DUMMYFUNCTION("""COMPUTED_VALUE"""),0.0)</f>
        <v>0</v>
      </c>
      <c r="AM385" s="99"/>
    </row>
    <row r="386">
      <c r="V386" s="96">
        <f>IFERROR(__xludf.DUMMYFUNCTION("""COMPUTED_VALUE"""),7.0)</f>
        <v>7</v>
      </c>
      <c r="W386" s="98">
        <f>IFERROR(__xludf.DUMMYFUNCTION("""COMPUTED_VALUE"""),44090.0)</f>
        <v>44090</v>
      </c>
      <c r="X386" s="96" t="str">
        <f>IFERROR(__xludf.DUMMYFUNCTION("""COMPUTED_VALUE"""),"PRINNESS")</f>
        <v>PRINNESS</v>
      </c>
      <c r="Y386" s="96" t="str">
        <f>IFERROR(__xludf.DUMMYFUNCTION("""COMPUTED_VALUE"""),"PRINNESS7")</f>
        <v>PRINNESS7</v>
      </c>
      <c r="Z386" s="96"/>
      <c r="AA386" s="96"/>
      <c r="AB386" s="96"/>
      <c r="AC386" s="96"/>
      <c r="AD386" s="96"/>
      <c r="AE386" s="96"/>
      <c r="AF386" s="96">
        <f>IFERROR(__xludf.DUMMYFUNCTION("""COMPUTED_VALUE"""),520000.0)</f>
        <v>520000</v>
      </c>
      <c r="AG386" s="99">
        <f>IFERROR(__xludf.DUMMYFUNCTION("""COMPUTED_VALUE"""),520000.0)</f>
        <v>520000</v>
      </c>
      <c r="AH386" s="96"/>
      <c r="AI386" s="96">
        <f>IFERROR(__xludf.DUMMYFUNCTION("""COMPUTED_VALUE"""),0.0)</f>
        <v>0</v>
      </c>
      <c r="AJ386" s="96">
        <f>IFERROR(__xludf.DUMMYFUNCTION("""COMPUTED_VALUE"""),0.0)</f>
        <v>0</v>
      </c>
      <c r="AK386" s="96">
        <f>IFERROR(__xludf.DUMMYFUNCTION("""COMPUTED_VALUE"""),0.0)</f>
        <v>0</v>
      </c>
      <c r="AL386" s="129">
        <f>IFERROR(__xludf.DUMMYFUNCTION("""COMPUTED_VALUE"""),0.0)</f>
        <v>0</v>
      </c>
      <c r="AM386" s="99"/>
    </row>
    <row r="387">
      <c r="V387" s="96">
        <f>IFERROR(__xludf.DUMMYFUNCTION("""COMPUTED_VALUE"""),17.0)</f>
        <v>17</v>
      </c>
      <c r="W387" s="98">
        <f>IFERROR(__xludf.DUMMYFUNCTION("""COMPUTED_VALUE"""),44091.0)</f>
        <v>44091</v>
      </c>
      <c r="X387" s="96" t="str">
        <f>IFERROR(__xludf.DUMMYFUNCTION("""COMPUTED_VALUE"""),"LIVINUS")</f>
        <v>LIVINUS</v>
      </c>
      <c r="Y387" s="96" t="str">
        <f>IFERROR(__xludf.DUMMYFUNCTION("""COMPUTED_VALUE"""),"LIVINUS17")</f>
        <v>LIVINUS17</v>
      </c>
      <c r="Z387" s="96"/>
      <c r="AA387" s="96"/>
      <c r="AB387" s="96"/>
      <c r="AC387" s="96"/>
      <c r="AD387" s="96"/>
      <c r="AE387" s="96"/>
      <c r="AF387" s="96">
        <f>IFERROR(__xludf.DUMMYFUNCTION("""COMPUTED_VALUE"""),1060000.0)</f>
        <v>1060000</v>
      </c>
      <c r="AG387" s="99">
        <f>IFERROR(__xludf.DUMMYFUNCTION("""COMPUTED_VALUE"""),1060000.0)</f>
        <v>1060000</v>
      </c>
      <c r="AH387" s="96"/>
      <c r="AI387" s="96">
        <f>IFERROR(__xludf.DUMMYFUNCTION("""COMPUTED_VALUE"""),0.0)</f>
        <v>0</v>
      </c>
      <c r="AJ387" s="96">
        <f>IFERROR(__xludf.DUMMYFUNCTION("""COMPUTED_VALUE"""),0.0)</f>
        <v>0</v>
      </c>
      <c r="AK387" s="96">
        <f>IFERROR(__xludf.DUMMYFUNCTION("""COMPUTED_VALUE"""),0.0)</f>
        <v>0</v>
      </c>
      <c r="AL387" s="129">
        <f>IFERROR(__xludf.DUMMYFUNCTION("""COMPUTED_VALUE"""),0.0)</f>
        <v>0</v>
      </c>
      <c r="AM387" s="99"/>
    </row>
    <row r="388">
      <c r="V388" s="96">
        <f>IFERROR(__xludf.DUMMYFUNCTION("""COMPUTED_VALUE"""),11.0)</f>
        <v>11</v>
      </c>
      <c r="W388" s="98">
        <f>IFERROR(__xludf.DUMMYFUNCTION("""COMPUTED_VALUE"""),44091.0)</f>
        <v>44091</v>
      </c>
      <c r="X388" s="96" t="str">
        <f>IFERROR(__xludf.DUMMYFUNCTION("""COMPUTED_VALUE"""),"ANDRDEW GREAT")</f>
        <v>ANDRDEW GREAT</v>
      </c>
      <c r="Y388" s="96" t="str">
        <f>IFERROR(__xludf.DUMMYFUNCTION("""COMPUTED_VALUE"""),"ANDRDEW GREAT11")</f>
        <v>ANDRDEW GREAT11</v>
      </c>
      <c r="Z388" s="96"/>
      <c r="AA388" s="96"/>
      <c r="AB388" s="96"/>
      <c r="AC388" s="96"/>
      <c r="AD388" s="96"/>
      <c r="AE388" s="96"/>
      <c r="AF388" s="96">
        <f>IFERROR(__xludf.DUMMYFUNCTION("""COMPUTED_VALUE"""),1229000.0)</f>
        <v>1229000</v>
      </c>
      <c r="AG388" s="99">
        <f>IFERROR(__xludf.DUMMYFUNCTION("""COMPUTED_VALUE"""),1229000.0)</f>
        <v>1229000</v>
      </c>
      <c r="AH388" s="96"/>
      <c r="AI388" s="96">
        <f>IFERROR(__xludf.DUMMYFUNCTION("""COMPUTED_VALUE"""),0.0)</f>
        <v>0</v>
      </c>
      <c r="AJ388" s="96">
        <f>IFERROR(__xludf.DUMMYFUNCTION("""COMPUTED_VALUE"""),0.0)</f>
        <v>0</v>
      </c>
      <c r="AK388" s="96">
        <f>IFERROR(__xludf.DUMMYFUNCTION("""COMPUTED_VALUE"""),0.0)</f>
        <v>0</v>
      </c>
      <c r="AL388" s="129">
        <f>IFERROR(__xludf.DUMMYFUNCTION("""COMPUTED_VALUE"""),0.0)</f>
        <v>0</v>
      </c>
      <c r="AM388" s="99"/>
    </row>
    <row r="389">
      <c r="V389" s="96">
        <f>IFERROR(__xludf.DUMMYFUNCTION("""COMPUTED_VALUE"""),18.0)</f>
        <v>18</v>
      </c>
      <c r="W389" s="98">
        <f>IFERROR(__xludf.DUMMYFUNCTION("""COMPUTED_VALUE"""),44091.0)</f>
        <v>44091</v>
      </c>
      <c r="X389" s="96" t="str">
        <f>IFERROR(__xludf.DUMMYFUNCTION("""COMPUTED_VALUE"""),"CONNECT")</f>
        <v>CONNECT</v>
      </c>
      <c r="Y389" s="96" t="str">
        <f>IFERROR(__xludf.DUMMYFUNCTION("""COMPUTED_VALUE"""),"CONNECT18")</f>
        <v>CONNECT18</v>
      </c>
      <c r="Z389" s="96"/>
      <c r="AA389" s="96"/>
      <c r="AB389" s="96"/>
      <c r="AC389" s="96"/>
      <c r="AD389" s="96"/>
      <c r="AE389" s="96"/>
      <c r="AF389" s="96">
        <f>IFERROR(__xludf.DUMMYFUNCTION("""COMPUTED_VALUE"""),1000000.0)</f>
        <v>1000000</v>
      </c>
      <c r="AG389" s="99">
        <f>IFERROR(__xludf.DUMMYFUNCTION("""COMPUTED_VALUE"""),1000000.0)</f>
        <v>1000000</v>
      </c>
      <c r="AH389" s="96"/>
      <c r="AI389" s="96">
        <f>IFERROR(__xludf.DUMMYFUNCTION("""COMPUTED_VALUE"""),0.0)</f>
        <v>0</v>
      </c>
      <c r="AJ389" s="96">
        <f>IFERROR(__xludf.DUMMYFUNCTION("""COMPUTED_VALUE"""),0.0)</f>
        <v>0</v>
      </c>
      <c r="AK389" s="96">
        <f>IFERROR(__xludf.DUMMYFUNCTION("""COMPUTED_VALUE"""),0.0)</f>
        <v>0</v>
      </c>
      <c r="AL389" s="129">
        <f>IFERROR(__xludf.DUMMYFUNCTION("""COMPUTED_VALUE"""),0.0)</f>
        <v>0</v>
      </c>
      <c r="AM389" s="99"/>
    </row>
    <row r="390">
      <c r="V390" s="96">
        <f>IFERROR(__xludf.DUMMYFUNCTION("""COMPUTED_VALUE"""),26.0)</f>
        <v>26</v>
      </c>
      <c r="W390" s="98">
        <f>IFERROR(__xludf.DUMMYFUNCTION("""COMPUTED_VALUE"""),44092.0)</f>
        <v>44092</v>
      </c>
      <c r="X390" s="96" t="str">
        <f>IFERROR(__xludf.DUMMYFUNCTION("""COMPUTED_VALUE"""),"LYDIA HNSON ")</f>
        <v>LYDIA HNSON </v>
      </c>
      <c r="Y390" s="96" t="str">
        <f>IFERROR(__xludf.DUMMYFUNCTION("""COMPUTED_VALUE"""),"LYDIA HNSON 26")</f>
        <v>LYDIA HNSON 26</v>
      </c>
      <c r="Z390" s="96"/>
      <c r="AA390" s="96"/>
      <c r="AB390" s="96"/>
      <c r="AC390" s="96"/>
      <c r="AD390" s="96"/>
      <c r="AE390" s="96"/>
      <c r="AF390" s="96">
        <f>IFERROR(__xludf.DUMMYFUNCTION("""COMPUTED_VALUE"""),2000000.0)</f>
        <v>2000000</v>
      </c>
      <c r="AG390" s="99">
        <f>IFERROR(__xludf.DUMMYFUNCTION("""COMPUTED_VALUE"""),2000000.0)</f>
        <v>2000000</v>
      </c>
      <c r="AH390" s="96"/>
      <c r="AI390" s="96">
        <f>IFERROR(__xludf.DUMMYFUNCTION("""COMPUTED_VALUE"""),0.0)</f>
        <v>0</v>
      </c>
      <c r="AJ390" s="96">
        <f>IFERROR(__xludf.DUMMYFUNCTION("""COMPUTED_VALUE"""),0.0)</f>
        <v>0</v>
      </c>
      <c r="AK390" s="96">
        <f>IFERROR(__xludf.DUMMYFUNCTION("""COMPUTED_VALUE"""),0.0)</f>
        <v>0</v>
      </c>
      <c r="AL390" s="129">
        <f>IFERROR(__xludf.DUMMYFUNCTION("""COMPUTED_VALUE"""),0.0)</f>
        <v>0</v>
      </c>
      <c r="AM390" s="99"/>
    </row>
    <row r="391">
      <c r="V391" s="96">
        <f>IFERROR(__xludf.DUMMYFUNCTION("""COMPUTED_VALUE"""),27.0)</f>
        <v>27</v>
      </c>
      <c r="W391" s="98">
        <f>IFERROR(__xludf.DUMMYFUNCTION("""COMPUTED_VALUE"""),44092.0)</f>
        <v>44092</v>
      </c>
      <c r="X391" s="96" t="str">
        <f>IFERROR(__xludf.DUMMYFUNCTION("""COMPUTED_VALUE"""),"LYDIA HNSON ")</f>
        <v>LYDIA HNSON </v>
      </c>
      <c r="Y391" s="96" t="str">
        <f>IFERROR(__xludf.DUMMYFUNCTION("""COMPUTED_VALUE"""),"LYDIA HNSON 27")</f>
        <v>LYDIA HNSON 27</v>
      </c>
      <c r="Z391" s="96"/>
      <c r="AA391" s="96"/>
      <c r="AB391" s="96"/>
      <c r="AC391" s="96"/>
      <c r="AD391" s="96"/>
      <c r="AE391" s="96"/>
      <c r="AF391" s="96">
        <f>IFERROR(__xludf.DUMMYFUNCTION("""COMPUTED_VALUE"""),300000.0)</f>
        <v>300000</v>
      </c>
      <c r="AG391" s="99">
        <f>IFERROR(__xludf.DUMMYFUNCTION("""COMPUTED_VALUE"""),300000.0)</f>
        <v>300000</v>
      </c>
      <c r="AH391" s="96"/>
      <c r="AI391" s="96">
        <f>IFERROR(__xludf.DUMMYFUNCTION("""COMPUTED_VALUE"""),0.0)</f>
        <v>0</v>
      </c>
      <c r="AJ391" s="96">
        <f>IFERROR(__xludf.DUMMYFUNCTION("""COMPUTED_VALUE"""),0.0)</f>
        <v>0</v>
      </c>
      <c r="AK391" s="96">
        <f>IFERROR(__xludf.DUMMYFUNCTION("""COMPUTED_VALUE"""),0.0)</f>
        <v>0</v>
      </c>
      <c r="AL391" s="129">
        <f>IFERROR(__xludf.DUMMYFUNCTION("""COMPUTED_VALUE"""),0.0)</f>
        <v>0</v>
      </c>
      <c r="AM391" s="99"/>
    </row>
    <row r="392">
      <c r="V392" s="96">
        <f>IFERROR(__xludf.DUMMYFUNCTION("""COMPUTED_VALUE"""),3.0)</f>
        <v>3</v>
      </c>
      <c r="W392" s="98">
        <f>IFERROR(__xludf.DUMMYFUNCTION("""COMPUTED_VALUE"""),44092.0)</f>
        <v>44092</v>
      </c>
      <c r="X392" s="96" t="str">
        <f>IFERROR(__xludf.DUMMYFUNCTION("""COMPUTED_VALUE"""),"ZULU ")</f>
        <v>ZULU </v>
      </c>
      <c r="Y392" s="96" t="str">
        <f>IFERROR(__xludf.DUMMYFUNCTION("""COMPUTED_VALUE"""),"ZULU 3")</f>
        <v>ZULU 3</v>
      </c>
      <c r="Z392" s="96"/>
      <c r="AA392" s="96"/>
      <c r="AB392" s="96"/>
      <c r="AC392" s="96"/>
      <c r="AD392" s="96"/>
      <c r="AE392" s="96"/>
      <c r="AF392" s="96">
        <f>IFERROR(__xludf.DUMMYFUNCTION("""COMPUTED_VALUE"""),275000.0)</f>
        <v>275000</v>
      </c>
      <c r="AG392" s="99">
        <f>IFERROR(__xludf.DUMMYFUNCTION("""COMPUTED_VALUE"""),275000.0)</f>
        <v>275000</v>
      </c>
      <c r="AH392" s="96"/>
      <c r="AI392" s="96">
        <f>IFERROR(__xludf.DUMMYFUNCTION("""COMPUTED_VALUE"""),0.0)</f>
        <v>0</v>
      </c>
      <c r="AJ392" s="96">
        <f>IFERROR(__xludf.DUMMYFUNCTION("""COMPUTED_VALUE"""),0.0)</f>
        <v>0</v>
      </c>
      <c r="AK392" s="96">
        <f>IFERROR(__xludf.DUMMYFUNCTION("""COMPUTED_VALUE"""),0.0)</f>
        <v>0</v>
      </c>
      <c r="AL392" s="129">
        <f>IFERROR(__xludf.DUMMYFUNCTION("""COMPUTED_VALUE"""),0.0)</f>
        <v>0</v>
      </c>
      <c r="AM392" s="99"/>
    </row>
    <row r="393">
      <c r="V393" s="96">
        <f>IFERROR(__xludf.DUMMYFUNCTION("""COMPUTED_VALUE"""),9.0)</f>
        <v>9</v>
      </c>
      <c r="W393" s="98">
        <f>IFERROR(__xludf.DUMMYFUNCTION("""COMPUTED_VALUE"""),44092.0)</f>
        <v>44092</v>
      </c>
      <c r="X393" s="96" t="str">
        <f>IFERROR(__xludf.DUMMYFUNCTION("""COMPUTED_VALUE"""),"OTU KOKO KEIBO")</f>
        <v>OTU KOKO KEIBO</v>
      </c>
      <c r="Y393" s="96" t="str">
        <f>IFERROR(__xludf.DUMMYFUNCTION("""COMPUTED_VALUE"""),"OTU KOKO KEIBO9")</f>
        <v>OTU KOKO KEIBO9</v>
      </c>
      <c r="Z393" s="96"/>
      <c r="AA393" s="96"/>
      <c r="AB393" s="96"/>
      <c r="AC393" s="96"/>
      <c r="AD393" s="96"/>
      <c r="AE393" s="96"/>
      <c r="AF393" s="96">
        <f>IFERROR(__xludf.DUMMYFUNCTION("""COMPUTED_VALUE"""),20500.0)</f>
        <v>20500</v>
      </c>
      <c r="AG393" s="99">
        <f>IFERROR(__xludf.DUMMYFUNCTION("""COMPUTED_VALUE"""),20500.0)</f>
        <v>20500</v>
      </c>
      <c r="AH393" s="96"/>
      <c r="AI393" s="96">
        <f>IFERROR(__xludf.DUMMYFUNCTION("""COMPUTED_VALUE"""),0.0)</f>
        <v>0</v>
      </c>
      <c r="AJ393" s="96">
        <f>IFERROR(__xludf.DUMMYFUNCTION("""COMPUTED_VALUE"""),0.0)</f>
        <v>0</v>
      </c>
      <c r="AK393" s="96">
        <f>IFERROR(__xludf.DUMMYFUNCTION("""COMPUTED_VALUE"""),0.0)</f>
        <v>0</v>
      </c>
      <c r="AL393" s="129">
        <f>IFERROR(__xludf.DUMMYFUNCTION("""COMPUTED_VALUE"""),0.0)</f>
        <v>0</v>
      </c>
      <c r="AM393" s="99"/>
    </row>
    <row r="394">
      <c r="V394" s="96">
        <f>IFERROR(__xludf.DUMMYFUNCTION("""COMPUTED_VALUE"""),10.0)</f>
        <v>10</v>
      </c>
      <c r="W394" s="98">
        <f>IFERROR(__xludf.DUMMYFUNCTION("""COMPUTED_VALUE"""),44092.0)</f>
        <v>44092</v>
      </c>
      <c r="X394" s="96" t="str">
        <f>IFERROR(__xludf.DUMMYFUNCTION("""COMPUTED_VALUE"""),"OTU KOKO KEIBO")</f>
        <v>OTU KOKO KEIBO</v>
      </c>
      <c r="Y394" s="96" t="str">
        <f>IFERROR(__xludf.DUMMYFUNCTION("""COMPUTED_VALUE"""),"OTU KOKO KEIBO10")</f>
        <v>OTU KOKO KEIBO10</v>
      </c>
      <c r="Z394" s="96"/>
      <c r="AA394" s="96"/>
      <c r="AB394" s="96"/>
      <c r="AC394" s="96"/>
      <c r="AD394" s="96"/>
      <c r="AE394" s="96"/>
      <c r="AF394" s="96">
        <f>IFERROR(__xludf.DUMMYFUNCTION("""COMPUTED_VALUE"""),116000.0)</f>
        <v>116000</v>
      </c>
      <c r="AG394" s="99">
        <f>IFERROR(__xludf.DUMMYFUNCTION("""COMPUTED_VALUE"""),116000.0)</f>
        <v>116000</v>
      </c>
      <c r="AH394" s="96"/>
      <c r="AI394" s="96">
        <f>IFERROR(__xludf.DUMMYFUNCTION("""COMPUTED_VALUE"""),0.0)</f>
        <v>0</v>
      </c>
      <c r="AJ394" s="96">
        <f>IFERROR(__xludf.DUMMYFUNCTION("""COMPUTED_VALUE"""),0.0)</f>
        <v>0</v>
      </c>
      <c r="AK394" s="96">
        <f>IFERROR(__xludf.DUMMYFUNCTION("""COMPUTED_VALUE"""),0.0)</f>
        <v>0</v>
      </c>
      <c r="AL394" s="129">
        <f>IFERROR(__xludf.DUMMYFUNCTION("""COMPUTED_VALUE"""),0.0)</f>
        <v>0</v>
      </c>
      <c r="AM394" s="99"/>
    </row>
    <row r="395">
      <c r="V395" s="96">
        <f>IFERROR(__xludf.DUMMYFUNCTION("""COMPUTED_VALUE"""),3.0)</f>
        <v>3</v>
      </c>
      <c r="W395" s="98">
        <f>IFERROR(__xludf.DUMMYFUNCTION("""COMPUTED_VALUE"""),44092.0)</f>
        <v>44092</v>
      </c>
      <c r="X395" s="96" t="str">
        <f>IFERROR(__xludf.DUMMYFUNCTION("""COMPUTED_VALUE"""),"ABANG. DUNLOP")</f>
        <v>ABANG. DUNLOP</v>
      </c>
      <c r="Y395" s="96" t="str">
        <f>IFERROR(__xludf.DUMMYFUNCTION("""COMPUTED_VALUE"""),"ABANG. DUNLOP3")</f>
        <v>ABANG. DUNLOP3</v>
      </c>
      <c r="Z395" s="96"/>
      <c r="AA395" s="96"/>
      <c r="AB395" s="96"/>
      <c r="AC395" s="96"/>
      <c r="AD395" s="96"/>
      <c r="AE395" s="96"/>
      <c r="AF395" s="96">
        <f>IFERROR(__xludf.DUMMYFUNCTION("""COMPUTED_VALUE"""),500000.0)</f>
        <v>500000</v>
      </c>
      <c r="AG395" s="99">
        <f>IFERROR(__xludf.DUMMYFUNCTION("""COMPUTED_VALUE"""),500000.0)</f>
        <v>500000</v>
      </c>
      <c r="AH395" s="96"/>
      <c r="AI395" s="96">
        <f>IFERROR(__xludf.DUMMYFUNCTION("""COMPUTED_VALUE"""),0.0)</f>
        <v>0</v>
      </c>
      <c r="AJ395" s="96">
        <f>IFERROR(__xludf.DUMMYFUNCTION("""COMPUTED_VALUE"""),0.0)</f>
        <v>0</v>
      </c>
      <c r="AK395" s="96">
        <f>IFERROR(__xludf.DUMMYFUNCTION("""COMPUTED_VALUE"""),0.0)</f>
        <v>0</v>
      </c>
      <c r="AL395" s="129">
        <f>IFERROR(__xludf.DUMMYFUNCTION("""COMPUTED_VALUE"""),0.0)</f>
        <v>0</v>
      </c>
      <c r="AM395" s="99"/>
    </row>
    <row r="396">
      <c r="V396" s="96">
        <f>IFERROR(__xludf.DUMMYFUNCTION("""COMPUTED_VALUE"""),19.0)</f>
        <v>19</v>
      </c>
      <c r="W396" s="98">
        <f>IFERROR(__xludf.DUMMYFUNCTION("""COMPUTED_VALUE"""),44093.0)</f>
        <v>44093</v>
      </c>
      <c r="X396" s="96" t="str">
        <f>IFERROR(__xludf.DUMMYFUNCTION("""COMPUTED_VALUE"""),"CONNECT")</f>
        <v>CONNECT</v>
      </c>
      <c r="Y396" s="96" t="str">
        <f>IFERROR(__xludf.DUMMYFUNCTION("""COMPUTED_VALUE"""),"CONNECT19")</f>
        <v>CONNECT19</v>
      </c>
      <c r="Z396" s="96">
        <f>IFERROR(__xludf.DUMMYFUNCTION("""COMPUTED_VALUE"""),1907.0)</f>
        <v>1907</v>
      </c>
      <c r="AA396" s="96">
        <f>IFERROR(__xludf.DUMMYFUNCTION("""COMPUTED_VALUE"""),232.0)</f>
        <v>232</v>
      </c>
      <c r="AB396" s="96"/>
      <c r="AC396" s="96">
        <f>IFERROR(__xludf.DUMMYFUNCTION("""COMPUTED_VALUE"""),29.0)</f>
        <v>29</v>
      </c>
      <c r="AD396" s="96"/>
      <c r="AE396" s="96">
        <f>IFERROR(__xludf.DUMMYFUNCTION("""COMPUTED_VALUE"""),900.0)</f>
        <v>900</v>
      </c>
      <c r="AF396" s="96"/>
      <c r="AG396" s="99">
        <f>IFERROR(__xludf.DUMMYFUNCTION("""COMPUTED_VALUE"""),-1690200.0)</f>
        <v>-1690200</v>
      </c>
      <c r="AH396" s="96">
        <f>IFERROR(__xludf.DUMMYFUNCTION("""COMPUTED_VALUE"""),8.0)</f>
        <v>8</v>
      </c>
      <c r="AI396" s="96">
        <f>IFERROR(__xludf.DUMMYFUNCTION("""COMPUTED_VALUE"""),0.0)</f>
        <v>0</v>
      </c>
      <c r="AJ396" s="96">
        <f>IFERROR(__xludf.DUMMYFUNCTION("""COMPUTED_VALUE"""),29.0)</f>
        <v>29</v>
      </c>
      <c r="AK396" s="96">
        <f>IFERROR(__xludf.DUMMYFUNCTION("""COMPUTED_VALUE"""),51.0)</f>
        <v>51</v>
      </c>
      <c r="AL396" s="129">
        <f>IFERROR(__xludf.DUMMYFUNCTION("""COMPUTED_VALUE"""),1878.0)</f>
        <v>1878</v>
      </c>
      <c r="AM396" s="99">
        <f>IFERROR(__xludf.DUMMYFUNCTION("""COMPUTED_VALUE"""),1690200.0)</f>
        <v>1690200</v>
      </c>
    </row>
    <row r="397">
      <c r="V397" s="96">
        <f>IFERROR(__xludf.DUMMYFUNCTION("""COMPUTED_VALUE"""),3.0)</f>
        <v>3</v>
      </c>
      <c r="W397" s="98">
        <f>IFERROR(__xludf.DUMMYFUNCTION("""COMPUTED_VALUE"""),44093.0)</f>
        <v>44093</v>
      </c>
      <c r="X397" s="96" t="str">
        <f>IFERROR(__xludf.DUMMYFUNCTION("""COMPUTED_VALUE"""),"OSIM MARIAM")</f>
        <v>OSIM MARIAM</v>
      </c>
      <c r="Y397" s="96" t="str">
        <f>IFERROR(__xludf.DUMMYFUNCTION("""COMPUTED_VALUE"""),"OSIM MARIAM3")</f>
        <v>OSIM MARIAM3</v>
      </c>
      <c r="Z397" s="96"/>
      <c r="AA397" s="96"/>
      <c r="AB397" s="96"/>
      <c r="AC397" s="96"/>
      <c r="AD397" s="96"/>
      <c r="AE397" s="96"/>
      <c r="AF397" s="96">
        <f>IFERROR(__xludf.DUMMYFUNCTION("""COMPUTED_VALUE"""),50000.0)</f>
        <v>50000</v>
      </c>
      <c r="AG397" s="99">
        <f>IFERROR(__xludf.DUMMYFUNCTION("""COMPUTED_VALUE"""),50000.0)</f>
        <v>50000</v>
      </c>
      <c r="AH397" s="96"/>
      <c r="AI397" s="96">
        <f>IFERROR(__xludf.DUMMYFUNCTION("""COMPUTED_VALUE"""),0.0)</f>
        <v>0</v>
      </c>
      <c r="AJ397" s="96">
        <f>IFERROR(__xludf.DUMMYFUNCTION("""COMPUTED_VALUE"""),0.0)</f>
        <v>0</v>
      </c>
      <c r="AK397" s="96">
        <f>IFERROR(__xludf.DUMMYFUNCTION("""COMPUTED_VALUE"""),0.0)</f>
        <v>0</v>
      </c>
      <c r="AL397" s="129">
        <f>IFERROR(__xludf.DUMMYFUNCTION("""COMPUTED_VALUE"""),0.0)</f>
        <v>0</v>
      </c>
      <c r="AM397" s="99"/>
    </row>
    <row r="398">
      <c r="V398" s="96">
        <f>IFERROR(__xludf.DUMMYFUNCTION("""COMPUTED_VALUE"""),4.0)</f>
        <v>4</v>
      </c>
      <c r="W398" s="98">
        <f>IFERROR(__xludf.DUMMYFUNCTION("""COMPUTED_VALUE"""),44095.0)</f>
        <v>44095</v>
      </c>
      <c r="X398" s="96" t="str">
        <f>IFERROR(__xludf.DUMMYFUNCTION("""COMPUTED_VALUE"""),"OSIM MARIAM")</f>
        <v>OSIM MARIAM</v>
      </c>
      <c r="Y398" s="96" t="str">
        <f>IFERROR(__xludf.DUMMYFUNCTION("""COMPUTED_VALUE"""),"OSIM MARIAM4")</f>
        <v>OSIM MARIAM4</v>
      </c>
      <c r="Z398" s="96"/>
      <c r="AA398" s="96"/>
      <c r="AB398" s="96"/>
      <c r="AC398" s="96"/>
      <c r="AD398" s="96"/>
      <c r="AE398" s="96"/>
      <c r="AF398" s="96">
        <f>IFERROR(__xludf.DUMMYFUNCTION("""COMPUTED_VALUE"""),500000.0)</f>
        <v>500000</v>
      </c>
      <c r="AG398" s="99">
        <f>IFERROR(__xludf.DUMMYFUNCTION("""COMPUTED_VALUE"""),500000.0)</f>
        <v>500000</v>
      </c>
      <c r="AH398" s="96"/>
      <c r="AI398" s="96">
        <f>IFERROR(__xludf.DUMMYFUNCTION("""COMPUTED_VALUE"""),0.0)</f>
        <v>0</v>
      </c>
      <c r="AJ398" s="96">
        <f>IFERROR(__xludf.DUMMYFUNCTION("""COMPUTED_VALUE"""),0.0)</f>
        <v>0</v>
      </c>
      <c r="AK398" s="96">
        <f>IFERROR(__xludf.DUMMYFUNCTION("""COMPUTED_VALUE"""),0.0)</f>
        <v>0</v>
      </c>
      <c r="AL398" s="129">
        <f>IFERROR(__xludf.DUMMYFUNCTION("""COMPUTED_VALUE"""),0.0)</f>
        <v>0</v>
      </c>
      <c r="AM398" s="99"/>
    </row>
    <row r="399">
      <c r="V399" s="96">
        <f>IFERROR(__xludf.DUMMYFUNCTION("""COMPUTED_VALUE"""),7.0)</f>
        <v>7</v>
      </c>
      <c r="W399" s="98">
        <f>IFERROR(__xludf.DUMMYFUNCTION("""COMPUTED_VALUE"""),44095.0)</f>
        <v>44095</v>
      </c>
      <c r="X399" s="96" t="str">
        <f>IFERROR(__xludf.DUMMYFUNCTION("""COMPUTED_VALUE"""),"EUGENE")</f>
        <v>EUGENE</v>
      </c>
      <c r="Y399" s="96" t="str">
        <f>IFERROR(__xludf.DUMMYFUNCTION("""COMPUTED_VALUE"""),"EUGENE7")</f>
        <v>EUGENE7</v>
      </c>
      <c r="Z399" s="96"/>
      <c r="AA399" s="96"/>
      <c r="AB399" s="96"/>
      <c r="AC399" s="96"/>
      <c r="AD399" s="96"/>
      <c r="AE399" s="96"/>
      <c r="AF399" s="96">
        <f>IFERROR(__xludf.DUMMYFUNCTION("""COMPUTED_VALUE"""),600000.0)</f>
        <v>600000</v>
      </c>
      <c r="AG399" s="99">
        <f>IFERROR(__xludf.DUMMYFUNCTION("""COMPUTED_VALUE"""),600000.0)</f>
        <v>600000</v>
      </c>
      <c r="AH399" s="96"/>
      <c r="AI399" s="96">
        <f>IFERROR(__xludf.DUMMYFUNCTION("""COMPUTED_VALUE"""),0.0)</f>
        <v>0</v>
      </c>
      <c r="AJ399" s="96">
        <f>IFERROR(__xludf.DUMMYFUNCTION("""COMPUTED_VALUE"""),0.0)</f>
        <v>0</v>
      </c>
      <c r="AK399" s="96">
        <f>IFERROR(__xludf.DUMMYFUNCTION("""COMPUTED_VALUE"""),0.0)</f>
        <v>0</v>
      </c>
      <c r="AL399" s="129">
        <f>IFERROR(__xludf.DUMMYFUNCTION("""COMPUTED_VALUE"""),0.0)</f>
        <v>0</v>
      </c>
      <c r="AM399" s="99"/>
    </row>
    <row r="400">
      <c r="V400" s="96">
        <f>IFERROR(__xludf.DUMMYFUNCTION("""COMPUTED_VALUE"""),11.0)</f>
        <v>11</v>
      </c>
      <c r="W400" s="98">
        <f>IFERROR(__xludf.DUMMYFUNCTION("""COMPUTED_VALUE"""),44095.0)</f>
        <v>44095</v>
      </c>
      <c r="X400" s="96" t="str">
        <f>IFERROR(__xludf.DUMMYFUNCTION("""COMPUTED_VALUE"""),"OTU KOKO KEIBO")</f>
        <v>OTU KOKO KEIBO</v>
      </c>
      <c r="Y400" s="96" t="str">
        <f>IFERROR(__xludf.DUMMYFUNCTION("""COMPUTED_VALUE"""),"OTU KOKO KEIBO11")</f>
        <v>OTU KOKO KEIBO11</v>
      </c>
      <c r="Z400" s="96"/>
      <c r="AA400" s="96"/>
      <c r="AB400" s="96"/>
      <c r="AC400" s="96"/>
      <c r="AD400" s="96"/>
      <c r="AE400" s="96"/>
      <c r="AF400" s="96">
        <f>IFERROR(__xludf.DUMMYFUNCTION("""COMPUTED_VALUE"""),200000.0)</f>
        <v>200000</v>
      </c>
      <c r="AG400" s="99">
        <f>IFERROR(__xludf.DUMMYFUNCTION("""COMPUTED_VALUE"""),200000.0)</f>
        <v>200000</v>
      </c>
      <c r="AH400" s="96"/>
      <c r="AI400" s="96">
        <f>IFERROR(__xludf.DUMMYFUNCTION("""COMPUTED_VALUE"""),0.0)</f>
        <v>0</v>
      </c>
      <c r="AJ400" s="96">
        <f>IFERROR(__xludf.DUMMYFUNCTION("""COMPUTED_VALUE"""),0.0)</f>
        <v>0</v>
      </c>
      <c r="AK400" s="96">
        <f>IFERROR(__xludf.DUMMYFUNCTION("""COMPUTED_VALUE"""),0.0)</f>
        <v>0</v>
      </c>
      <c r="AL400" s="129">
        <f>IFERROR(__xludf.DUMMYFUNCTION("""COMPUTED_VALUE"""),0.0)</f>
        <v>0</v>
      </c>
      <c r="AM400" s="99"/>
    </row>
    <row r="401">
      <c r="V401" s="96">
        <f>IFERROR(__xludf.DUMMYFUNCTION("""COMPUTED_VALUE"""),20.0)</f>
        <v>20</v>
      </c>
      <c r="W401" s="98">
        <f>IFERROR(__xludf.DUMMYFUNCTION("""COMPUTED_VALUE"""),44096.0)</f>
        <v>44096</v>
      </c>
      <c r="X401" s="96" t="str">
        <f>IFERROR(__xludf.DUMMYFUNCTION("""COMPUTED_VALUE"""),"CONNECT")</f>
        <v>CONNECT</v>
      </c>
      <c r="Y401" s="96" t="str">
        <f>IFERROR(__xludf.DUMMYFUNCTION("""COMPUTED_VALUE"""),"CONNECT20")</f>
        <v>CONNECT20</v>
      </c>
      <c r="Z401" s="96"/>
      <c r="AA401" s="96"/>
      <c r="AB401" s="96"/>
      <c r="AC401" s="96"/>
      <c r="AD401" s="96"/>
      <c r="AE401" s="96"/>
      <c r="AF401" s="96">
        <f>IFERROR(__xludf.DUMMYFUNCTION("""COMPUTED_VALUE"""),4000000.0)</f>
        <v>4000000</v>
      </c>
      <c r="AG401" s="99">
        <f>IFERROR(__xludf.DUMMYFUNCTION("""COMPUTED_VALUE"""),4000000.0)</f>
        <v>4000000</v>
      </c>
      <c r="AH401" s="96"/>
      <c r="AI401" s="96">
        <f>IFERROR(__xludf.DUMMYFUNCTION("""COMPUTED_VALUE"""),0.0)</f>
        <v>0</v>
      </c>
      <c r="AJ401" s="96">
        <f>IFERROR(__xludf.DUMMYFUNCTION("""COMPUTED_VALUE"""),0.0)</f>
        <v>0</v>
      </c>
      <c r="AK401" s="96">
        <f>IFERROR(__xludf.DUMMYFUNCTION("""COMPUTED_VALUE"""),0.0)</f>
        <v>0</v>
      </c>
      <c r="AL401" s="129">
        <f>IFERROR(__xludf.DUMMYFUNCTION("""COMPUTED_VALUE"""),0.0)</f>
        <v>0</v>
      </c>
      <c r="AM401" s="99"/>
    </row>
    <row r="402">
      <c r="V402" s="96">
        <f>IFERROR(__xludf.DUMMYFUNCTION("""COMPUTED_VALUE"""),2.0)</f>
        <v>2</v>
      </c>
      <c r="W402" s="98">
        <f>IFERROR(__xludf.DUMMYFUNCTION("""COMPUTED_VALUE"""),44096.0)</f>
        <v>44096</v>
      </c>
      <c r="X402" s="96" t="str">
        <f>IFERROR(__xludf.DUMMYFUNCTION("""COMPUTED_VALUE"""),"COLLABS")</f>
        <v>COLLABS</v>
      </c>
      <c r="Y402" s="96" t="str">
        <f>IFERROR(__xludf.DUMMYFUNCTION("""COMPUTED_VALUE"""),"COLLABS2")</f>
        <v>COLLABS2</v>
      </c>
      <c r="Z402" s="96"/>
      <c r="AA402" s="96"/>
      <c r="AB402" s="96"/>
      <c r="AC402" s="96"/>
      <c r="AD402" s="96"/>
      <c r="AE402" s="96"/>
      <c r="AF402" s="96">
        <f>IFERROR(__xludf.DUMMYFUNCTION("""COMPUTED_VALUE"""),200000.0)</f>
        <v>200000</v>
      </c>
      <c r="AG402" s="99">
        <f>IFERROR(__xludf.DUMMYFUNCTION("""COMPUTED_VALUE"""),200000.0)</f>
        <v>200000</v>
      </c>
      <c r="AH402" s="96"/>
      <c r="AI402" s="96">
        <f>IFERROR(__xludf.DUMMYFUNCTION("""COMPUTED_VALUE"""),0.0)</f>
        <v>0</v>
      </c>
      <c r="AJ402" s="96">
        <f>IFERROR(__xludf.DUMMYFUNCTION("""COMPUTED_VALUE"""),0.0)</f>
        <v>0</v>
      </c>
      <c r="AK402" s="96">
        <f>IFERROR(__xludf.DUMMYFUNCTION("""COMPUTED_VALUE"""),0.0)</f>
        <v>0</v>
      </c>
      <c r="AL402" s="129">
        <f>IFERROR(__xludf.DUMMYFUNCTION("""COMPUTED_VALUE"""),0.0)</f>
        <v>0</v>
      </c>
      <c r="AM402" s="99"/>
    </row>
    <row r="403">
      <c r="V403" s="96">
        <f>IFERROR(__xludf.DUMMYFUNCTION("""COMPUTED_VALUE"""),8.0)</f>
        <v>8</v>
      </c>
      <c r="W403" s="98">
        <f>IFERROR(__xludf.DUMMYFUNCTION("""COMPUTED_VALUE"""),44096.0)</f>
        <v>44096</v>
      </c>
      <c r="X403" s="96" t="str">
        <f>IFERROR(__xludf.DUMMYFUNCTION("""COMPUTED_VALUE"""),"KARIEN EBAN")</f>
        <v>KARIEN EBAN</v>
      </c>
      <c r="Y403" s="96" t="str">
        <f>IFERROR(__xludf.DUMMYFUNCTION("""COMPUTED_VALUE"""),"KARIEN EBAN8")</f>
        <v>KARIEN EBAN8</v>
      </c>
      <c r="Z403" s="96"/>
      <c r="AA403" s="96"/>
      <c r="AB403" s="96"/>
      <c r="AC403" s="96"/>
      <c r="AD403" s="96"/>
      <c r="AE403" s="96"/>
      <c r="AF403" s="96">
        <f>IFERROR(__xludf.DUMMYFUNCTION("""COMPUTED_VALUE"""),5000.0)</f>
        <v>5000</v>
      </c>
      <c r="AG403" s="99">
        <f>IFERROR(__xludf.DUMMYFUNCTION("""COMPUTED_VALUE"""),5000.0)</f>
        <v>5000</v>
      </c>
      <c r="AH403" s="96"/>
      <c r="AI403" s="96">
        <f>IFERROR(__xludf.DUMMYFUNCTION("""COMPUTED_VALUE"""),0.0)</f>
        <v>0</v>
      </c>
      <c r="AJ403" s="96">
        <f>IFERROR(__xludf.DUMMYFUNCTION("""COMPUTED_VALUE"""),0.0)</f>
        <v>0</v>
      </c>
      <c r="AK403" s="96">
        <f>IFERROR(__xludf.DUMMYFUNCTION("""COMPUTED_VALUE"""),0.0)</f>
        <v>0</v>
      </c>
      <c r="AL403" s="129">
        <f>IFERROR(__xludf.DUMMYFUNCTION("""COMPUTED_VALUE"""),0.0)</f>
        <v>0</v>
      </c>
      <c r="AM403" s="99"/>
    </row>
    <row r="404">
      <c r="V404" s="96">
        <f>IFERROR(__xludf.DUMMYFUNCTION("""COMPUTED_VALUE"""),5.0)</f>
        <v>5</v>
      </c>
      <c r="W404" s="98">
        <f>IFERROR(__xludf.DUMMYFUNCTION("""COMPUTED_VALUE"""),44096.0)</f>
        <v>44096</v>
      </c>
      <c r="X404" s="96" t="str">
        <f>IFERROR(__xludf.DUMMYFUNCTION("""COMPUTED_VALUE"""),"NDOMA PRIN")</f>
        <v>NDOMA PRIN</v>
      </c>
      <c r="Y404" s="96" t="str">
        <f>IFERROR(__xludf.DUMMYFUNCTION("""COMPUTED_VALUE"""),"NDOMA PRIN5")</f>
        <v>NDOMA PRIN5</v>
      </c>
      <c r="Z404" s="96"/>
      <c r="AA404" s="96"/>
      <c r="AB404" s="96"/>
      <c r="AC404" s="96"/>
      <c r="AD404" s="96"/>
      <c r="AE404" s="96"/>
      <c r="AF404" s="96">
        <f>IFERROR(__xludf.DUMMYFUNCTION("""COMPUTED_VALUE"""),456000.0)</f>
        <v>456000</v>
      </c>
      <c r="AG404" s="99">
        <f>IFERROR(__xludf.DUMMYFUNCTION("""COMPUTED_VALUE"""),456000.0)</f>
        <v>456000</v>
      </c>
      <c r="AH404" s="96"/>
      <c r="AI404" s="96">
        <f>IFERROR(__xludf.DUMMYFUNCTION("""COMPUTED_VALUE"""),0.0)</f>
        <v>0</v>
      </c>
      <c r="AJ404" s="96">
        <f>IFERROR(__xludf.DUMMYFUNCTION("""COMPUTED_VALUE"""),0.0)</f>
        <v>0</v>
      </c>
      <c r="AK404" s="96">
        <f>IFERROR(__xludf.DUMMYFUNCTION("""COMPUTED_VALUE"""),0.0)</f>
        <v>0</v>
      </c>
      <c r="AL404" s="129">
        <f>IFERROR(__xludf.DUMMYFUNCTION("""COMPUTED_VALUE"""),0.0)</f>
        <v>0</v>
      </c>
      <c r="AM404" s="99"/>
    </row>
    <row r="405">
      <c r="V405" s="96">
        <f>IFERROR(__xludf.DUMMYFUNCTION("""COMPUTED_VALUE"""),3.0)</f>
        <v>3</v>
      </c>
      <c r="W405" s="98">
        <f>IFERROR(__xludf.DUMMYFUNCTION("""COMPUTED_VALUE"""),44096.0)</f>
        <v>44096</v>
      </c>
      <c r="X405" s="96" t="str">
        <f>IFERROR(__xludf.DUMMYFUNCTION("""COMPUTED_VALUE"""),"MAXWELL AGRO PRIN")</f>
        <v>MAXWELL AGRO PRIN</v>
      </c>
      <c r="Y405" s="96" t="str">
        <f>IFERROR(__xludf.DUMMYFUNCTION("""COMPUTED_VALUE"""),"MAXWELL AGRO PRIN3")</f>
        <v>MAXWELL AGRO PRIN3</v>
      </c>
      <c r="Z405" s="96"/>
      <c r="AA405" s="96"/>
      <c r="AB405" s="96"/>
      <c r="AC405" s="96"/>
      <c r="AD405" s="96"/>
      <c r="AE405" s="96"/>
      <c r="AF405" s="96">
        <f>IFERROR(__xludf.DUMMYFUNCTION("""COMPUTED_VALUE"""),10000.0)</f>
        <v>10000</v>
      </c>
      <c r="AG405" s="99">
        <f>IFERROR(__xludf.DUMMYFUNCTION("""COMPUTED_VALUE"""),10000.0)</f>
        <v>10000</v>
      </c>
      <c r="AH405" s="96"/>
      <c r="AI405" s="96">
        <f>IFERROR(__xludf.DUMMYFUNCTION("""COMPUTED_VALUE"""),0.0)</f>
        <v>0</v>
      </c>
      <c r="AJ405" s="96">
        <f>IFERROR(__xludf.DUMMYFUNCTION("""COMPUTED_VALUE"""),0.0)</f>
        <v>0</v>
      </c>
      <c r="AK405" s="96">
        <f>IFERROR(__xludf.DUMMYFUNCTION("""COMPUTED_VALUE"""),0.0)</f>
        <v>0</v>
      </c>
      <c r="AL405" s="129">
        <f>IFERROR(__xludf.DUMMYFUNCTION("""COMPUTED_VALUE"""),0.0)</f>
        <v>0</v>
      </c>
      <c r="AM405" s="99"/>
    </row>
    <row r="406">
      <c r="V406" s="96">
        <f>IFERROR(__xludf.DUMMYFUNCTION("""COMPUTED_VALUE"""),18.0)</f>
        <v>18</v>
      </c>
      <c r="W406" s="98">
        <f>IFERROR(__xludf.DUMMYFUNCTION("""COMPUTED_VALUE"""),44096.0)</f>
        <v>44096</v>
      </c>
      <c r="X406" s="96" t="str">
        <f>IFERROR(__xludf.DUMMYFUNCTION("""COMPUTED_VALUE"""),"LIVINUS")</f>
        <v>LIVINUS</v>
      </c>
      <c r="Y406" s="96" t="str">
        <f>IFERROR(__xludf.DUMMYFUNCTION("""COMPUTED_VALUE"""),"LIVINUS18")</f>
        <v>LIVINUS18</v>
      </c>
      <c r="Z406" s="96"/>
      <c r="AA406" s="96"/>
      <c r="AB406" s="96"/>
      <c r="AC406" s="96"/>
      <c r="AD406" s="96"/>
      <c r="AE406" s="96"/>
      <c r="AF406" s="96">
        <f>IFERROR(__xludf.DUMMYFUNCTION("""COMPUTED_VALUE"""),367000.0)</f>
        <v>367000</v>
      </c>
      <c r="AG406" s="99">
        <f>IFERROR(__xludf.DUMMYFUNCTION("""COMPUTED_VALUE"""),367000.0)</f>
        <v>367000</v>
      </c>
      <c r="AH406" s="96"/>
      <c r="AI406" s="96">
        <f>IFERROR(__xludf.DUMMYFUNCTION("""COMPUTED_VALUE"""),0.0)</f>
        <v>0</v>
      </c>
      <c r="AJ406" s="96">
        <f>IFERROR(__xludf.DUMMYFUNCTION("""COMPUTED_VALUE"""),0.0)</f>
        <v>0</v>
      </c>
      <c r="AK406" s="96">
        <f>IFERROR(__xludf.DUMMYFUNCTION("""COMPUTED_VALUE"""),0.0)</f>
        <v>0</v>
      </c>
      <c r="AL406" s="129">
        <f>IFERROR(__xludf.DUMMYFUNCTION("""COMPUTED_VALUE"""),0.0)</f>
        <v>0</v>
      </c>
      <c r="AM406" s="99"/>
    </row>
    <row r="407">
      <c r="V407" s="96">
        <f>IFERROR(__xludf.DUMMYFUNCTION("""COMPUTED_VALUE"""),13.0)</f>
        <v>13</v>
      </c>
      <c r="W407" s="98">
        <f>IFERROR(__xludf.DUMMYFUNCTION("""COMPUTED_VALUE"""),44096.0)</f>
        <v>44096</v>
      </c>
      <c r="X407" s="96" t="str">
        <f>IFERROR(__xludf.DUMMYFUNCTION("""COMPUTED_VALUE"""),"ETUK EFFI")</f>
        <v>ETUK EFFI</v>
      </c>
      <c r="Y407" s="96" t="str">
        <f>IFERROR(__xludf.DUMMYFUNCTION("""COMPUTED_VALUE"""),"ETUK EFFI13")</f>
        <v>ETUK EFFI13</v>
      </c>
      <c r="Z407" s="96"/>
      <c r="AA407" s="96"/>
      <c r="AB407" s="96"/>
      <c r="AC407" s="96"/>
      <c r="AD407" s="96"/>
      <c r="AE407" s="96"/>
      <c r="AF407" s="96">
        <f>IFERROR(__xludf.DUMMYFUNCTION("""COMPUTED_VALUE"""),1500000.0)</f>
        <v>1500000</v>
      </c>
      <c r="AG407" s="99">
        <f>IFERROR(__xludf.DUMMYFUNCTION("""COMPUTED_VALUE"""),1500000.0)</f>
        <v>1500000</v>
      </c>
      <c r="AH407" s="96"/>
      <c r="AI407" s="96">
        <f>IFERROR(__xludf.DUMMYFUNCTION("""COMPUTED_VALUE"""),0.0)</f>
        <v>0</v>
      </c>
      <c r="AJ407" s="96">
        <f>IFERROR(__xludf.DUMMYFUNCTION("""COMPUTED_VALUE"""),0.0)</f>
        <v>0</v>
      </c>
      <c r="AK407" s="96">
        <f>IFERROR(__xludf.DUMMYFUNCTION("""COMPUTED_VALUE"""),0.0)</f>
        <v>0</v>
      </c>
      <c r="AL407" s="129">
        <f>IFERROR(__xludf.DUMMYFUNCTION("""COMPUTED_VALUE"""),0.0)</f>
        <v>0</v>
      </c>
      <c r="AM407" s="99"/>
    </row>
    <row r="408">
      <c r="V408" s="96">
        <f>IFERROR(__xludf.DUMMYFUNCTION("""COMPUTED_VALUE"""),15.0)</f>
        <v>15</v>
      </c>
      <c r="W408" s="98">
        <f>IFERROR(__xludf.DUMMYFUNCTION("""COMPUTED_VALUE"""),44096.0)</f>
        <v>44096</v>
      </c>
      <c r="X408" s="96" t="str">
        <f>IFERROR(__xludf.DUMMYFUNCTION("""COMPUTED_VALUE"""),"NDOMA BODE I.D")</f>
        <v>NDOMA BODE I.D</v>
      </c>
      <c r="Y408" s="96" t="str">
        <f>IFERROR(__xludf.DUMMYFUNCTION("""COMPUTED_VALUE"""),"NDOMA BODE I.D15")</f>
        <v>NDOMA BODE I.D15</v>
      </c>
      <c r="Z408" s="96"/>
      <c r="AA408" s="96"/>
      <c r="AB408" s="96"/>
      <c r="AC408" s="96"/>
      <c r="AD408" s="96"/>
      <c r="AE408" s="96"/>
      <c r="AF408" s="96">
        <f>IFERROR(__xludf.DUMMYFUNCTION("""COMPUTED_VALUE"""),500000.0)</f>
        <v>500000</v>
      </c>
      <c r="AG408" s="99">
        <f>IFERROR(__xludf.DUMMYFUNCTION("""COMPUTED_VALUE"""),500000.0)</f>
        <v>500000</v>
      </c>
      <c r="AH408" s="96"/>
      <c r="AI408" s="96">
        <f>IFERROR(__xludf.DUMMYFUNCTION("""COMPUTED_VALUE"""),0.0)</f>
        <v>0</v>
      </c>
      <c r="AJ408" s="96">
        <f>IFERROR(__xludf.DUMMYFUNCTION("""COMPUTED_VALUE"""),0.0)</f>
        <v>0</v>
      </c>
      <c r="AK408" s="96">
        <f>IFERROR(__xludf.DUMMYFUNCTION("""COMPUTED_VALUE"""),0.0)</f>
        <v>0</v>
      </c>
      <c r="AL408" s="129">
        <f>IFERROR(__xludf.DUMMYFUNCTION("""COMPUTED_VALUE"""),0.0)</f>
        <v>0</v>
      </c>
      <c r="AM408" s="99"/>
    </row>
    <row r="409">
      <c r="V409" s="96">
        <f>IFERROR(__xludf.DUMMYFUNCTION("""COMPUTED_VALUE"""),10.0)</f>
        <v>10</v>
      </c>
      <c r="W409" s="98">
        <f>IFERROR(__xludf.DUMMYFUNCTION("""COMPUTED_VALUE"""),44097.0)</f>
        <v>44097</v>
      </c>
      <c r="X409" s="96" t="str">
        <f>IFERROR(__xludf.DUMMYFUNCTION("""COMPUTED_VALUE"""),"A. D. FREDERICK")</f>
        <v>A. D. FREDERICK</v>
      </c>
      <c r="Y409" s="96" t="str">
        <f>IFERROR(__xludf.DUMMYFUNCTION("""COMPUTED_VALUE"""),"A. D. FREDERICK10")</f>
        <v>A. D. FREDERICK10</v>
      </c>
      <c r="Z409" s="96"/>
      <c r="AA409" s="96"/>
      <c r="AB409" s="96"/>
      <c r="AC409" s="96"/>
      <c r="AD409" s="96"/>
      <c r="AE409" s="96"/>
      <c r="AF409" s="96">
        <f>IFERROR(__xludf.DUMMYFUNCTION("""COMPUTED_VALUE"""),1824000.0)</f>
        <v>1824000</v>
      </c>
      <c r="AG409" s="99">
        <f>IFERROR(__xludf.DUMMYFUNCTION("""COMPUTED_VALUE"""),1824000.0)</f>
        <v>1824000</v>
      </c>
      <c r="AH409" s="96"/>
      <c r="AI409" s="96">
        <f>IFERROR(__xludf.DUMMYFUNCTION("""COMPUTED_VALUE"""),0.0)</f>
        <v>0</v>
      </c>
      <c r="AJ409" s="96">
        <f>IFERROR(__xludf.DUMMYFUNCTION("""COMPUTED_VALUE"""),0.0)</f>
        <v>0</v>
      </c>
      <c r="AK409" s="96">
        <f>IFERROR(__xludf.DUMMYFUNCTION("""COMPUTED_VALUE"""),0.0)</f>
        <v>0</v>
      </c>
      <c r="AL409" s="129">
        <f>IFERROR(__xludf.DUMMYFUNCTION("""COMPUTED_VALUE"""),0.0)</f>
        <v>0</v>
      </c>
      <c r="AM409" s="99"/>
    </row>
    <row r="410">
      <c r="V410" s="96">
        <f>IFERROR(__xludf.DUMMYFUNCTION("""COMPUTED_VALUE"""),5.0)</f>
        <v>5</v>
      </c>
      <c r="W410" s="98">
        <f>IFERROR(__xludf.DUMMYFUNCTION("""COMPUTED_VALUE"""),44097.0)</f>
        <v>44097</v>
      </c>
      <c r="X410" s="96" t="str">
        <f>IFERROR(__xludf.DUMMYFUNCTION("""COMPUTED_VALUE"""),"MATIAT LOVE")</f>
        <v>MATIAT LOVE</v>
      </c>
      <c r="Y410" s="96" t="str">
        <f>IFERROR(__xludf.DUMMYFUNCTION("""COMPUTED_VALUE"""),"MATIAT LOVE5")</f>
        <v>MATIAT LOVE5</v>
      </c>
      <c r="Z410" s="96"/>
      <c r="AA410" s="96"/>
      <c r="AB410" s="96"/>
      <c r="AC410" s="96"/>
      <c r="AD410" s="96"/>
      <c r="AE410" s="96"/>
      <c r="AF410" s="96">
        <f>IFERROR(__xludf.DUMMYFUNCTION("""COMPUTED_VALUE"""),20000.0)</f>
        <v>20000</v>
      </c>
      <c r="AG410" s="99">
        <f>IFERROR(__xludf.DUMMYFUNCTION("""COMPUTED_VALUE"""),20000.0)</f>
        <v>20000</v>
      </c>
      <c r="AH410" s="96"/>
      <c r="AI410" s="96">
        <f>IFERROR(__xludf.DUMMYFUNCTION("""COMPUTED_VALUE"""),0.0)</f>
        <v>0</v>
      </c>
      <c r="AJ410" s="96">
        <f>IFERROR(__xludf.DUMMYFUNCTION("""COMPUTED_VALUE"""),0.0)</f>
        <v>0</v>
      </c>
      <c r="AK410" s="96">
        <f>IFERROR(__xludf.DUMMYFUNCTION("""COMPUTED_VALUE"""),0.0)</f>
        <v>0</v>
      </c>
      <c r="AL410" s="129">
        <f>IFERROR(__xludf.DUMMYFUNCTION("""COMPUTED_VALUE"""),0.0)</f>
        <v>0</v>
      </c>
      <c r="AM410" s="99"/>
    </row>
    <row r="411">
      <c r="V411" s="96">
        <f>IFERROR(__xludf.DUMMYFUNCTION("""COMPUTED_VALUE"""),12.0)</f>
        <v>12</v>
      </c>
      <c r="W411" s="98">
        <f>IFERROR(__xludf.DUMMYFUNCTION("""COMPUTED_VALUE"""),44097.0)</f>
        <v>44097</v>
      </c>
      <c r="X411" s="96" t="str">
        <f>IFERROR(__xludf.DUMMYFUNCTION("""COMPUTED_VALUE"""),"OTU KOKO KEIBO")</f>
        <v>OTU KOKO KEIBO</v>
      </c>
      <c r="Y411" s="96" t="str">
        <f>IFERROR(__xludf.DUMMYFUNCTION("""COMPUTED_VALUE"""),"OTU KOKO KEIBO12")</f>
        <v>OTU KOKO KEIBO12</v>
      </c>
      <c r="Z411" s="96"/>
      <c r="AA411" s="96"/>
      <c r="AB411" s="96"/>
      <c r="AC411" s="96"/>
      <c r="AD411" s="96"/>
      <c r="AE411" s="96"/>
      <c r="AF411" s="96">
        <f>IFERROR(__xludf.DUMMYFUNCTION("""COMPUTED_VALUE"""),1600000.0)</f>
        <v>1600000</v>
      </c>
      <c r="AG411" s="99">
        <f>IFERROR(__xludf.DUMMYFUNCTION("""COMPUTED_VALUE"""),1600000.0)</f>
        <v>1600000</v>
      </c>
      <c r="AH411" s="96"/>
      <c r="AI411" s="96">
        <f>IFERROR(__xludf.DUMMYFUNCTION("""COMPUTED_VALUE"""),0.0)</f>
        <v>0</v>
      </c>
      <c r="AJ411" s="96">
        <f>IFERROR(__xludf.DUMMYFUNCTION("""COMPUTED_VALUE"""),0.0)</f>
        <v>0</v>
      </c>
      <c r="AK411" s="96">
        <f>IFERROR(__xludf.DUMMYFUNCTION("""COMPUTED_VALUE"""),0.0)</f>
        <v>0</v>
      </c>
      <c r="AL411" s="129">
        <f>IFERROR(__xludf.DUMMYFUNCTION("""COMPUTED_VALUE"""),0.0)</f>
        <v>0</v>
      </c>
      <c r="AM411" s="99"/>
    </row>
    <row r="412">
      <c r="V412" s="96">
        <f>IFERROR(__xludf.DUMMYFUNCTION("""COMPUTED_VALUE"""),11.0)</f>
        <v>11</v>
      </c>
      <c r="W412" s="98">
        <f>IFERROR(__xludf.DUMMYFUNCTION("""COMPUTED_VALUE"""),44097.0)</f>
        <v>44097</v>
      </c>
      <c r="X412" s="96" t="str">
        <f>IFERROR(__xludf.DUMMYFUNCTION("""COMPUTED_VALUE"""),"A. D. FREDERICK")</f>
        <v>A. D. FREDERICK</v>
      </c>
      <c r="Y412" s="96" t="str">
        <f>IFERROR(__xludf.DUMMYFUNCTION("""COMPUTED_VALUE"""),"A. D. FREDERICK11")</f>
        <v>A. D. FREDERICK11</v>
      </c>
      <c r="Z412" s="96">
        <f>IFERROR(__xludf.DUMMYFUNCTION("""COMPUTED_VALUE"""),1960.0)</f>
        <v>1960</v>
      </c>
      <c r="AA412" s="96">
        <f>IFERROR(__xludf.DUMMYFUNCTION("""COMPUTED_VALUE"""),269.0)</f>
        <v>269</v>
      </c>
      <c r="AB412" s="96"/>
      <c r="AC412" s="96">
        <f>IFERROR(__xludf.DUMMYFUNCTION("""COMPUTED_VALUE"""),29.0)</f>
        <v>29</v>
      </c>
      <c r="AD412" s="96"/>
      <c r="AE412" s="96">
        <f>IFERROR(__xludf.DUMMYFUNCTION("""COMPUTED_VALUE"""),935.68)</f>
        <v>935.68</v>
      </c>
      <c r="AF412" s="96"/>
      <c r="AG412" s="99">
        <f>IFERROR(__xludf.DUMMYFUNCTION("""COMPUTED_VALUE"""),-1783410.0)</f>
        <v>-1783410</v>
      </c>
      <c r="AH412" s="96">
        <f>IFERROR(__xludf.DUMMYFUNCTION("""COMPUTED_VALUE"""),9.28)</f>
        <v>9.28</v>
      </c>
      <c r="AI412" s="96">
        <f>IFERROR(__xludf.DUMMYFUNCTION("""COMPUTED_VALUE"""),25.0)</f>
        <v>25</v>
      </c>
      <c r="AJ412" s="96">
        <f>IFERROR(__xludf.DUMMYFUNCTION("""COMPUTED_VALUE"""),30.0)</f>
        <v>30</v>
      </c>
      <c r="AK412" s="96">
        <f>IFERROR(__xludf.DUMMYFUNCTION("""COMPUTED_VALUE"""),15.0)</f>
        <v>15</v>
      </c>
      <c r="AL412" s="129">
        <f>IFERROR(__xludf.DUMMYFUNCTION("""COMPUTED_VALUE"""),1906.0)</f>
        <v>1906</v>
      </c>
      <c r="AM412" s="99">
        <f>IFERROR(__xludf.DUMMYFUNCTION("""COMPUTED_VALUE"""),1783410.0)</f>
        <v>1783410</v>
      </c>
    </row>
    <row r="413">
      <c r="V413" s="96">
        <f>IFERROR(__xludf.DUMMYFUNCTION("""COMPUTED_VALUE"""),14.0)</f>
        <v>14</v>
      </c>
      <c r="W413" s="98">
        <f>IFERROR(__xludf.DUMMYFUNCTION("""COMPUTED_VALUE"""),44097.0)</f>
        <v>44097</v>
      </c>
      <c r="X413" s="96" t="str">
        <f>IFERROR(__xludf.DUMMYFUNCTION("""COMPUTED_VALUE"""),"ETUK EFFI")</f>
        <v>ETUK EFFI</v>
      </c>
      <c r="Y413" s="96" t="str">
        <f>IFERROR(__xludf.DUMMYFUNCTION("""COMPUTED_VALUE"""),"ETUK EFFI14")</f>
        <v>ETUK EFFI14</v>
      </c>
      <c r="Z413" s="96">
        <f>IFERROR(__xludf.DUMMYFUNCTION("""COMPUTED_VALUE"""),1697.0)</f>
        <v>1697</v>
      </c>
      <c r="AA413" s="96">
        <f>IFERROR(__xludf.DUMMYFUNCTION("""COMPUTED_VALUE"""),208.0)</f>
        <v>208</v>
      </c>
      <c r="AB413" s="96"/>
      <c r="AC413" s="96">
        <f>IFERROR(__xludf.DUMMYFUNCTION("""COMPUTED_VALUE"""),26.0)</f>
        <v>26</v>
      </c>
      <c r="AD413" s="96"/>
      <c r="AE413" s="96">
        <f>IFERROR(__xludf.DUMMYFUNCTION("""COMPUTED_VALUE"""),900.0)</f>
        <v>900</v>
      </c>
      <c r="AF413" s="96"/>
      <c r="AG413" s="99">
        <f>IFERROR(__xludf.DUMMYFUNCTION("""COMPUTED_VALUE"""),-1503900.0)</f>
        <v>-1503900</v>
      </c>
      <c r="AH413" s="96">
        <f>IFERROR(__xludf.DUMMYFUNCTION("""COMPUTED_VALUE"""),8.0)</f>
        <v>8</v>
      </c>
      <c r="AI413" s="96">
        <f>IFERROR(__xludf.DUMMYFUNCTION("""COMPUTED_VALUE"""),0.0)</f>
        <v>0</v>
      </c>
      <c r="AJ413" s="96">
        <f>IFERROR(__xludf.DUMMYFUNCTION("""COMPUTED_VALUE"""),26.0)</f>
        <v>26</v>
      </c>
      <c r="AK413" s="96">
        <f>IFERROR(__xludf.DUMMYFUNCTION("""COMPUTED_VALUE"""),33.0)</f>
        <v>33</v>
      </c>
      <c r="AL413" s="129">
        <f>IFERROR(__xludf.DUMMYFUNCTION("""COMPUTED_VALUE"""),1671.0)</f>
        <v>1671</v>
      </c>
      <c r="AM413" s="99">
        <f>IFERROR(__xludf.DUMMYFUNCTION("""COMPUTED_VALUE"""),1503900.0)</f>
        <v>1503900</v>
      </c>
    </row>
    <row r="414">
      <c r="V414" s="96">
        <f>IFERROR(__xludf.DUMMYFUNCTION("""COMPUTED_VALUE"""),9.0)</f>
        <v>9</v>
      </c>
      <c r="W414" s="98">
        <f>IFERROR(__xludf.DUMMYFUNCTION("""COMPUTED_VALUE"""),44088.0)</f>
        <v>44088</v>
      </c>
      <c r="X414" s="96" t="str">
        <f>IFERROR(__xludf.DUMMYFUNCTION("""COMPUTED_VALUE"""),"KARIEN EBAN")</f>
        <v>KARIEN EBAN</v>
      </c>
      <c r="Y414" s="96" t="str">
        <f>IFERROR(__xludf.DUMMYFUNCTION("""COMPUTED_VALUE"""),"KARIEN EBAN9")</f>
        <v>KARIEN EBAN9</v>
      </c>
      <c r="Z414" s="96">
        <f>IFERROR(__xludf.DUMMYFUNCTION("""COMPUTED_VALUE"""),1412.0)</f>
        <v>1412</v>
      </c>
      <c r="AA414" s="96">
        <f>IFERROR(__xludf.DUMMYFUNCTION("""COMPUTED_VALUE"""),200.5)</f>
        <v>200.5</v>
      </c>
      <c r="AB414" s="96"/>
      <c r="AC414" s="96">
        <f>IFERROR(__xludf.DUMMYFUNCTION("""COMPUTED_VALUE"""),22.0)</f>
        <v>22</v>
      </c>
      <c r="AD414" s="96"/>
      <c r="AE414" s="96">
        <f>IFERROR(__xludf.DUMMYFUNCTION("""COMPUTED_VALUE"""),900.0)</f>
        <v>900</v>
      </c>
      <c r="AF414" s="96"/>
      <c r="AG414" s="99">
        <f>IFERROR(__xludf.DUMMYFUNCTION("""COMPUTED_VALUE"""),-1237500.0)</f>
        <v>-1237500</v>
      </c>
      <c r="AH414" s="96">
        <f>IFERROR(__xludf.DUMMYFUNCTION("""COMPUTED_VALUE"""),9.11)</f>
        <v>9.11</v>
      </c>
      <c r="AI414" s="96">
        <f>IFERROR(__xludf.DUMMYFUNCTION("""COMPUTED_VALUE"""),15.0)</f>
        <v>15</v>
      </c>
      <c r="AJ414" s="96">
        <f>IFERROR(__xludf.DUMMYFUNCTION("""COMPUTED_VALUE"""),21.0)</f>
        <v>21</v>
      </c>
      <c r="AK414" s="96">
        <f>IFERROR(__xludf.DUMMYFUNCTION("""COMPUTED_VALUE"""),52.0)</f>
        <v>52</v>
      </c>
      <c r="AL414" s="129">
        <f>IFERROR(__xludf.DUMMYFUNCTION("""COMPUTED_VALUE"""),1375.0)</f>
        <v>1375</v>
      </c>
      <c r="AM414" s="99">
        <f>IFERROR(__xludf.DUMMYFUNCTION("""COMPUTED_VALUE"""),1237500.0)</f>
        <v>1237500</v>
      </c>
    </row>
    <row r="415">
      <c r="V415" s="96">
        <f>IFERROR(__xludf.DUMMYFUNCTION("""COMPUTED_VALUE"""),10.0)</f>
        <v>10</v>
      </c>
      <c r="W415" s="98">
        <f>IFERROR(__xludf.DUMMYFUNCTION("""COMPUTED_VALUE"""),44097.0)</f>
        <v>44097</v>
      </c>
      <c r="X415" s="96" t="str">
        <f>IFERROR(__xludf.DUMMYFUNCTION("""COMPUTED_VALUE"""),"KARIEN EBAN")</f>
        <v>KARIEN EBAN</v>
      </c>
      <c r="Y415" s="96" t="str">
        <f>IFERROR(__xludf.DUMMYFUNCTION("""COMPUTED_VALUE"""),"KARIEN EBAN10")</f>
        <v>KARIEN EBAN10</v>
      </c>
      <c r="Z415" s="96">
        <f>IFERROR(__xludf.DUMMYFUNCTION("""COMPUTED_VALUE"""),398.0)</f>
        <v>398</v>
      </c>
      <c r="AA415" s="96">
        <f>IFERROR(__xludf.DUMMYFUNCTION("""COMPUTED_VALUE"""),55.0)</f>
        <v>55</v>
      </c>
      <c r="AB415" s="96"/>
      <c r="AC415" s="96">
        <f>IFERROR(__xludf.DUMMYFUNCTION("""COMPUTED_VALUE"""),6.0)</f>
        <v>6</v>
      </c>
      <c r="AD415" s="96"/>
      <c r="AE415" s="96">
        <f>IFERROR(__xludf.DUMMYFUNCTION("""COMPUTED_VALUE"""),940.0)</f>
        <v>940</v>
      </c>
      <c r="AF415" s="96"/>
      <c r="AG415" s="99">
        <f>IFERROR(__xludf.DUMMYFUNCTION("""COMPUTED_VALUE"""),-363780.0)</f>
        <v>-363780</v>
      </c>
      <c r="AH415" s="96">
        <f>IFERROR(__xludf.DUMMYFUNCTION("""COMPUTED_VALUE"""),9.17)</f>
        <v>9.17</v>
      </c>
      <c r="AI415" s="96">
        <f>IFERROR(__xludf.DUMMYFUNCTION("""COMPUTED_VALUE"""),5.0)</f>
        <v>5</v>
      </c>
      <c r="AJ415" s="96">
        <f>IFERROR(__xludf.DUMMYFUNCTION("""COMPUTED_VALUE"""),6.0)</f>
        <v>6</v>
      </c>
      <c r="AK415" s="96">
        <f>IFERROR(__xludf.DUMMYFUNCTION("""COMPUTED_VALUE"""),9.0)</f>
        <v>9</v>
      </c>
      <c r="AL415" s="129">
        <f>IFERROR(__xludf.DUMMYFUNCTION("""COMPUTED_VALUE"""),387.0)</f>
        <v>387</v>
      </c>
      <c r="AM415" s="99">
        <f>IFERROR(__xludf.DUMMYFUNCTION("""COMPUTED_VALUE"""),363780.0)</f>
        <v>363780</v>
      </c>
    </row>
    <row r="416">
      <c r="V416" s="96">
        <f>IFERROR(__xludf.DUMMYFUNCTION("""COMPUTED_VALUE"""),8.0)</f>
        <v>8</v>
      </c>
      <c r="W416" s="98">
        <f>IFERROR(__xludf.DUMMYFUNCTION("""COMPUTED_VALUE"""),44083.0)</f>
        <v>44083</v>
      </c>
      <c r="X416" s="96" t="str">
        <f>IFERROR(__xludf.DUMMYFUNCTION("""COMPUTED_VALUE"""),"AUGUSTINE IGBA")</f>
        <v>AUGUSTINE IGBA</v>
      </c>
      <c r="Y416" s="96" t="str">
        <f>IFERROR(__xludf.DUMMYFUNCTION("""COMPUTED_VALUE"""),"AUGUSTINE IGBA8")</f>
        <v>AUGUSTINE IGBA8</v>
      </c>
      <c r="Z416" s="96">
        <f>IFERROR(__xludf.DUMMYFUNCTION("""COMPUTED_VALUE"""),2828.0)</f>
        <v>2828</v>
      </c>
      <c r="AA416" s="96">
        <f>IFERROR(__xludf.DUMMYFUNCTION("""COMPUTED_VALUE"""),328.0)</f>
        <v>328</v>
      </c>
      <c r="AB416" s="96"/>
      <c r="AC416" s="96">
        <f>IFERROR(__xludf.DUMMYFUNCTION("""COMPUTED_VALUE"""),41.0)</f>
        <v>41</v>
      </c>
      <c r="AD416" s="96"/>
      <c r="AE416" s="96">
        <f>IFERROR(__xludf.DUMMYFUNCTION("""COMPUTED_VALUE"""),900.0)</f>
        <v>900</v>
      </c>
      <c r="AF416" s="96"/>
      <c r="AG416" s="99">
        <f>IFERROR(__xludf.DUMMYFUNCTION("""COMPUTED_VALUE"""),-2508300.0)</f>
        <v>-2508300</v>
      </c>
      <c r="AH416" s="96">
        <f>IFERROR(__xludf.DUMMYFUNCTION("""COMPUTED_VALUE"""),8.0)</f>
        <v>8</v>
      </c>
      <c r="AI416" s="96">
        <f>IFERROR(__xludf.DUMMYFUNCTION("""COMPUTED_VALUE"""),0.0)</f>
        <v>0</v>
      </c>
      <c r="AJ416" s="96">
        <f>IFERROR(__xludf.DUMMYFUNCTION("""COMPUTED_VALUE"""),44.0)</f>
        <v>44</v>
      </c>
      <c r="AK416" s="96">
        <f>IFERROR(__xludf.DUMMYFUNCTION("""COMPUTED_VALUE"""),15.0)</f>
        <v>15</v>
      </c>
      <c r="AL416" s="129">
        <f>IFERROR(__xludf.DUMMYFUNCTION("""COMPUTED_VALUE"""),2787.0)</f>
        <v>2787</v>
      </c>
      <c r="AM416" s="99">
        <f>IFERROR(__xludf.DUMMYFUNCTION("""COMPUTED_VALUE"""),2508300.0)</f>
        <v>2508300</v>
      </c>
    </row>
    <row r="417">
      <c r="V417" s="96">
        <f>IFERROR(__xludf.DUMMYFUNCTION("""COMPUTED_VALUE"""),9.0)</f>
        <v>9</v>
      </c>
      <c r="W417" s="98">
        <f>IFERROR(__xludf.DUMMYFUNCTION("""COMPUTED_VALUE"""),44088.0)</f>
        <v>44088</v>
      </c>
      <c r="X417" s="96" t="str">
        <f>IFERROR(__xludf.DUMMYFUNCTION("""COMPUTED_VALUE"""),"AUGUSTINE IGBA")</f>
        <v>AUGUSTINE IGBA</v>
      </c>
      <c r="Y417" s="96" t="str">
        <f>IFERROR(__xludf.DUMMYFUNCTION("""COMPUTED_VALUE"""),"AUGUSTINE IGBA9")</f>
        <v>AUGUSTINE IGBA9</v>
      </c>
      <c r="Z417" s="96">
        <f>IFERROR(__xludf.DUMMYFUNCTION("""COMPUTED_VALUE"""),2070.0)</f>
        <v>2070</v>
      </c>
      <c r="AA417" s="96">
        <f>IFERROR(__xludf.DUMMYFUNCTION("""COMPUTED_VALUE"""),348.0)</f>
        <v>348</v>
      </c>
      <c r="AB417" s="96"/>
      <c r="AC417" s="96">
        <f>IFERROR(__xludf.DUMMYFUNCTION("""COMPUTED_VALUE"""),33.0)</f>
        <v>33</v>
      </c>
      <c r="AD417" s="96"/>
      <c r="AE417" s="96">
        <f>IFERROR(__xludf.DUMMYFUNCTION("""COMPUTED_VALUE"""),900.0)</f>
        <v>900</v>
      </c>
      <c r="AF417" s="96"/>
      <c r="AG417" s="99">
        <f>IFERROR(__xludf.DUMMYFUNCTION("""COMPUTED_VALUE"""),-1786500.0)</f>
        <v>-1786500</v>
      </c>
      <c r="AH417" s="96">
        <f>IFERROR(__xludf.DUMMYFUNCTION("""COMPUTED_VALUE"""),10.55)</f>
        <v>10.55</v>
      </c>
      <c r="AI417" s="96">
        <f>IFERROR(__xludf.DUMMYFUNCTION("""COMPUTED_VALUE"""),52.0)</f>
        <v>52</v>
      </c>
      <c r="AJ417" s="96">
        <f>IFERROR(__xludf.DUMMYFUNCTION("""COMPUTED_VALUE"""),31.0)</f>
        <v>31</v>
      </c>
      <c r="AK417" s="96">
        <f>IFERROR(__xludf.DUMMYFUNCTION("""COMPUTED_VALUE"""),32.0)</f>
        <v>32</v>
      </c>
      <c r="AL417" s="129">
        <f>IFERROR(__xludf.DUMMYFUNCTION("""COMPUTED_VALUE"""),1985.0)</f>
        <v>1985</v>
      </c>
      <c r="AM417" s="99">
        <f>IFERROR(__xludf.DUMMYFUNCTION("""COMPUTED_VALUE"""),1786500.0)</f>
        <v>1786500</v>
      </c>
    </row>
    <row r="418">
      <c r="V418" s="96">
        <f>IFERROR(__xludf.DUMMYFUNCTION("""COMPUTED_VALUE"""),10.0)</f>
        <v>10</v>
      </c>
      <c r="W418" s="98">
        <f>IFERROR(__xludf.DUMMYFUNCTION("""COMPUTED_VALUE"""),44093.0)</f>
        <v>44093</v>
      </c>
      <c r="X418" s="96" t="str">
        <f>IFERROR(__xludf.DUMMYFUNCTION("""COMPUTED_VALUE"""),"AUGUSTINE IGBA")</f>
        <v>AUGUSTINE IGBA</v>
      </c>
      <c r="Y418" s="96" t="str">
        <f>IFERROR(__xludf.DUMMYFUNCTION("""COMPUTED_VALUE"""),"AUGUSTINE IGBA10")</f>
        <v>AUGUSTINE IGBA10</v>
      </c>
      <c r="Z418" s="96">
        <f>IFERROR(__xludf.DUMMYFUNCTION("""COMPUTED_VALUE"""),1509.0)</f>
        <v>1509</v>
      </c>
      <c r="AA418" s="96">
        <f>IFERROR(__xludf.DUMMYFUNCTION("""COMPUTED_VALUE"""),325.5)</f>
        <v>325.5</v>
      </c>
      <c r="AB418" s="96"/>
      <c r="AC418" s="96">
        <f>IFERROR(__xludf.DUMMYFUNCTION("""COMPUTED_VALUE"""),24.0)</f>
        <v>24</v>
      </c>
      <c r="AD418" s="96"/>
      <c r="AE418" s="96">
        <f>IFERROR(__xludf.DUMMYFUNCTION("""COMPUTED_VALUE"""),900.0)</f>
        <v>900</v>
      </c>
      <c r="AF418" s="96"/>
      <c r="AG418" s="99">
        <f>IFERROR(__xludf.DUMMYFUNCTION("""COMPUTED_VALUE"""),-1261800.0)</f>
        <v>-1261800</v>
      </c>
      <c r="AH418" s="96">
        <f>IFERROR(__xludf.DUMMYFUNCTION("""COMPUTED_VALUE"""),13.56)</f>
        <v>13.56</v>
      </c>
      <c r="AI418" s="96">
        <f>IFERROR(__xludf.DUMMYFUNCTION("""COMPUTED_VALUE"""),83.0)</f>
        <v>83</v>
      </c>
      <c r="AJ418" s="96">
        <f>IFERROR(__xludf.DUMMYFUNCTION("""COMPUTED_VALUE"""),22.0)</f>
        <v>22</v>
      </c>
      <c r="AK418" s="96">
        <f>IFERROR(__xludf.DUMMYFUNCTION("""COMPUTED_VALUE"""),15.0)</f>
        <v>15</v>
      </c>
      <c r="AL418" s="129">
        <f>IFERROR(__xludf.DUMMYFUNCTION("""COMPUTED_VALUE"""),1402.0)</f>
        <v>1402</v>
      </c>
      <c r="AM418" s="99">
        <f>IFERROR(__xludf.DUMMYFUNCTION("""COMPUTED_VALUE"""),1261800.0)</f>
        <v>1261800</v>
      </c>
    </row>
    <row r="419">
      <c r="V419" s="96">
        <f>IFERROR(__xludf.DUMMYFUNCTION("""COMPUTED_VALUE"""),1.0)</f>
        <v>1</v>
      </c>
      <c r="W419" s="98">
        <f>IFERROR(__xludf.DUMMYFUNCTION("""COMPUTED_VALUE"""),44099.0)</f>
        <v>44099</v>
      </c>
      <c r="X419" s="96" t="str">
        <f>IFERROR(__xludf.DUMMYFUNCTION("""COMPUTED_VALUE"""),"ABANG. MOSES")</f>
        <v>ABANG. MOSES</v>
      </c>
      <c r="Y419" s="96" t="str">
        <f>IFERROR(__xludf.DUMMYFUNCTION("""COMPUTED_VALUE"""),"ABANG. MOSES1")</f>
        <v>ABANG. MOSES1</v>
      </c>
      <c r="Z419" s="96"/>
      <c r="AA419" s="96"/>
      <c r="AB419" s="96"/>
      <c r="AC419" s="96"/>
      <c r="AD419" s="96"/>
      <c r="AE419" s="96"/>
      <c r="AF419" s="96">
        <f>IFERROR(__xludf.DUMMYFUNCTION("""COMPUTED_VALUE"""),1000000.0)</f>
        <v>1000000</v>
      </c>
      <c r="AG419" s="99">
        <f>IFERROR(__xludf.DUMMYFUNCTION("""COMPUTED_VALUE"""),1000000.0)</f>
        <v>1000000</v>
      </c>
      <c r="AH419" s="96"/>
      <c r="AI419" s="96">
        <f>IFERROR(__xludf.DUMMYFUNCTION("""COMPUTED_VALUE"""),0.0)</f>
        <v>0</v>
      </c>
      <c r="AJ419" s="96">
        <f>IFERROR(__xludf.DUMMYFUNCTION("""COMPUTED_VALUE"""),0.0)</f>
        <v>0</v>
      </c>
      <c r="AK419" s="96">
        <f>IFERROR(__xludf.DUMMYFUNCTION("""COMPUTED_VALUE"""),0.0)</f>
        <v>0</v>
      </c>
      <c r="AL419" s="129">
        <f>IFERROR(__xludf.DUMMYFUNCTION("""COMPUTED_VALUE"""),0.0)</f>
        <v>0</v>
      </c>
      <c r="AM419" s="99"/>
    </row>
    <row r="420">
      <c r="V420" s="96">
        <f>IFERROR(__xludf.DUMMYFUNCTION("""COMPUTED_VALUE"""),12.0)</f>
        <v>12</v>
      </c>
      <c r="W420" s="98">
        <f>IFERROR(__xludf.DUMMYFUNCTION("""COMPUTED_VALUE"""),44102.0)</f>
        <v>44102</v>
      </c>
      <c r="X420" s="96" t="str">
        <f>IFERROR(__xludf.DUMMYFUNCTION("""COMPUTED_VALUE"""),"ANDRDEW GREAT")</f>
        <v>ANDRDEW GREAT</v>
      </c>
      <c r="Y420" s="96" t="str">
        <f>IFERROR(__xludf.DUMMYFUNCTION("""COMPUTED_VALUE"""),"ANDRDEW GREAT12")</f>
        <v>ANDRDEW GREAT12</v>
      </c>
      <c r="Z420" s="96">
        <f>IFERROR(__xludf.DUMMYFUNCTION("""COMPUTED_VALUE"""),1689.0)</f>
        <v>1689</v>
      </c>
      <c r="AA420" s="96">
        <f>IFERROR(__xludf.DUMMYFUNCTION("""COMPUTED_VALUE"""),164.0)</f>
        <v>164</v>
      </c>
      <c r="AB420" s="96"/>
      <c r="AC420" s="96">
        <f>IFERROR(__xludf.DUMMYFUNCTION("""COMPUTED_VALUE"""),16.0)</f>
        <v>16</v>
      </c>
      <c r="AD420" s="96"/>
      <c r="AE420" s="96">
        <f>IFERROR(__xludf.DUMMYFUNCTION("""COMPUTED_VALUE"""),950.0)</f>
        <v>950</v>
      </c>
      <c r="AF420" s="96"/>
      <c r="AG420" s="99">
        <f>IFERROR(__xludf.DUMMYFUNCTION("""COMPUTED_VALUE"""),-1553250.0)</f>
        <v>-1553250</v>
      </c>
      <c r="AH420" s="96">
        <f>IFERROR(__xludf.DUMMYFUNCTION("""COMPUTED_VALUE"""),10.25)</f>
        <v>10.25</v>
      </c>
      <c r="AI420" s="96">
        <f>IFERROR(__xludf.DUMMYFUNCTION("""COMPUTED_VALUE"""),38.0)</f>
        <v>38</v>
      </c>
      <c r="AJ420" s="96">
        <f>IFERROR(__xludf.DUMMYFUNCTION("""COMPUTED_VALUE"""),25.0)</f>
        <v>25</v>
      </c>
      <c r="AK420" s="96">
        <f>IFERROR(__xludf.DUMMYFUNCTION("""COMPUTED_VALUE"""),60.0)</f>
        <v>60</v>
      </c>
      <c r="AL420" s="129">
        <f>IFERROR(__xludf.DUMMYFUNCTION("""COMPUTED_VALUE"""),1635.0)</f>
        <v>1635</v>
      </c>
      <c r="AM420" s="99">
        <f>IFERROR(__xludf.DUMMYFUNCTION("""COMPUTED_VALUE"""),1553250.0)</f>
        <v>1553250</v>
      </c>
    </row>
    <row r="421">
      <c r="V421" s="96">
        <f>IFERROR(__xludf.DUMMYFUNCTION("""COMPUTED_VALUE"""),2.0)</f>
        <v>2</v>
      </c>
      <c r="W421" s="98">
        <f>IFERROR(__xludf.DUMMYFUNCTION("""COMPUTED_VALUE"""),44100.0)</f>
        <v>44100</v>
      </c>
      <c r="X421" s="96" t="str">
        <f>IFERROR(__xludf.DUMMYFUNCTION("""COMPUTED_VALUE""")," OP OCHICHIE")</f>
        <v> OP OCHICHIE</v>
      </c>
      <c r="Y421" s="96" t="str">
        <f>IFERROR(__xludf.DUMMYFUNCTION("""COMPUTED_VALUE""")," OP OCHICHIE2")</f>
        <v> OP OCHICHIE2</v>
      </c>
      <c r="Z421" s="96"/>
      <c r="AA421" s="96"/>
      <c r="AB421" s="96"/>
      <c r="AC421" s="96"/>
      <c r="AD421" s="96"/>
      <c r="AE421" s="96"/>
      <c r="AF421" s="96">
        <f>IFERROR(__xludf.DUMMYFUNCTION("""COMPUTED_VALUE"""),10000.0)</f>
        <v>10000</v>
      </c>
      <c r="AG421" s="99">
        <f>IFERROR(__xludf.DUMMYFUNCTION("""COMPUTED_VALUE"""),10000.0)</f>
        <v>10000</v>
      </c>
      <c r="AH421" s="96"/>
      <c r="AI421" s="96">
        <f>IFERROR(__xludf.DUMMYFUNCTION("""COMPUTED_VALUE"""),0.0)</f>
        <v>0</v>
      </c>
      <c r="AJ421" s="96">
        <f>IFERROR(__xludf.DUMMYFUNCTION("""COMPUTED_VALUE"""),0.0)</f>
        <v>0</v>
      </c>
      <c r="AK421" s="96">
        <f>IFERROR(__xludf.DUMMYFUNCTION("""COMPUTED_VALUE"""),0.0)</f>
        <v>0</v>
      </c>
      <c r="AL421" s="129">
        <f>IFERROR(__xludf.DUMMYFUNCTION("""COMPUTED_VALUE"""),0.0)</f>
        <v>0</v>
      </c>
      <c r="AM421" s="99"/>
    </row>
    <row r="422">
      <c r="V422" s="96">
        <f>IFERROR(__xludf.DUMMYFUNCTION("""COMPUTED_VALUE"""),3.0)</f>
        <v>3</v>
      </c>
      <c r="W422" s="98">
        <f>IFERROR(__xludf.DUMMYFUNCTION("""COMPUTED_VALUE"""),44100.0)</f>
        <v>44100</v>
      </c>
      <c r="X422" s="96" t="str">
        <f>IFERROR(__xludf.DUMMYFUNCTION("""COMPUTED_VALUE"""),"R.  MAXWELL AGRO")</f>
        <v>R.  MAXWELL AGRO</v>
      </c>
      <c r="Y422" s="96" t="str">
        <f>IFERROR(__xludf.DUMMYFUNCTION("""COMPUTED_VALUE"""),"R.  MAXWELL AGRO3")</f>
        <v>R.  MAXWELL AGRO3</v>
      </c>
      <c r="Z422" s="96"/>
      <c r="AA422" s="96"/>
      <c r="AB422" s="96"/>
      <c r="AC422" s="96"/>
      <c r="AD422" s="96"/>
      <c r="AE422" s="96"/>
      <c r="AF422" s="96">
        <f>IFERROR(__xludf.DUMMYFUNCTION("""COMPUTED_VALUE"""),7980000.0)</f>
        <v>7980000</v>
      </c>
      <c r="AG422" s="99">
        <f>IFERROR(__xludf.DUMMYFUNCTION("""COMPUTED_VALUE"""),7980000.0)</f>
        <v>7980000</v>
      </c>
      <c r="AH422" s="96"/>
      <c r="AI422" s="96">
        <f>IFERROR(__xludf.DUMMYFUNCTION("""COMPUTED_VALUE"""),0.0)</f>
        <v>0</v>
      </c>
      <c r="AJ422" s="96">
        <f>IFERROR(__xludf.DUMMYFUNCTION("""COMPUTED_VALUE"""),0.0)</f>
        <v>0</v>
      </c>
      <c r="AK422" s="96">
        <f>IFERROR(__xludf.DUMMYFUNCTION("""COMPUTED_VALUE"""),0.0)</f>
        <v>0</v>
      </c>
      <c r="AL422" s="129">
        <f>IFERROR(__xludf.DUMMYFUNCTION("""COMPUTED_VALUE"""),0.0)</f>
        <v>0</v>
      </c>
      <c r="AM422" s="99"/>
    </row>
    <row r="423">
      <c r="V423" s="96">
        <f>IFERROR(__xludf.DUMMYFUNCTION("""COMPUTED_VALUE"""),13.0)</f>
        <v>13</v>
      </c>
      <c r="W423" s="98">
        <f>IFERROR(__xludf.DUMMYFUNCTION("""COMPUTED_VALUE"""),44102.0)</f>
        <v>44102</v>
      </c>
      <c r="X423" s="96" t="str">
        <f>IFERROR(__xludf.DUMMYFUNCTION("""COMPUTED_VALUE"""),"EDWARD OKO")</f>
        <v>EDWARD OKO</v>
      </c>
      <c r="Y423" s="96" t="str">
        <f>IFERROR(__xludf.DUMMYFUNCTION("""COMPUTED_VALUE"""),"EDWARD OKO13")</f>
        <v>EDWARD OKO13</v>
      </c>
      <c r="Z423" s="96"/>
      <c r="AA423" s="96"/>
      <c r="AB423" s="96"/>
      <c r="AC423" s="96"/>
      <c r="AD423" s="96"/>
      <c r="AE423" s="96"/>
      <c r="AF423" s="96">
        <f>IFERROR(__xludf.DUMMYFUNCTION("""COMPUTED_VALUE"""),3000000.0)</f>
        <v>3000000</v>
      </c>
      <c r="AG423" s="99">
        <f>IFERROR(__xludf.DUMMYFUNCTION("""COMPUTED_VALUE"""),3000000.0)</f>
        <v>3000000</v>
      </c>
      <c r="AH423" s="96"/>
      <c r="AI423" s="96">
        <f>IFERROR(__xludf.DUMMYFUNCTION("""COMPUTED_VALUE"""),0.0)</f>
        <v>0</v>
      </c>
      <c r="AJ423" s="96">
        <f>IFERROR(__xludf.DUMMYFUNCTION("""COMPUTED_VALUE"""),0.0)</f>
        <v>0</v>
      </c>
      <c r="AK423" s="96">
        <f>IFERROR(__xludf.DUMMYFUNCTION("""COMPUTED_VALUE"""),0.0)</f>
        <v>0</v>
      </c>
      <c r="AL423" s="129">
        <f>IFERROR(__xludf.DUMMYFUNCTION("""COMPUTED_VALUE"""),0.0)</f>
        <v>0</v>
      </c>
      <c r="AM423" s="99"/>
    </row>
    <row r="424">
      <c r="V424" s="96">
        <f>IFERROR(__xludf.DUMMYFUNCTION("""COMPUTED_VALUE"""),13.0)</f>
        <v>13</v>
      </c>
      <c r="W424" s="98">
        <f>IFERROR(__xludf.DUMMYFUNCTION("""COMPUTED_VALUE"""),44102.0)</f>
        <v>44102</v>
      </c>
      <c r="X424" s="96" t="str">
        <f>IFERROR(__xludf.DUMMYFUNCTION("""COMPUTED_VALUE"""),"ANDRDEW GREAT")</f>
        <v>ANDRDEW GREAT</v>
      </c>
      <c r="Y424" s="96" t="str">
        <f>IFERROR(__xludf.DUMMYFUNCTION("""COMPUTED_VALUE"""),"ANDRDEW GREAT13")</f>
        <v>ANDRDEW GREAT13</v>
      </c>
      <c r="Z424" s="96"/>
      <c r="AA424" s="96"/>
      <c r="AB424" s="96"/>
      <c r="AC424" s="96"/>
      <c r="AD424" s="96"/>
      <c r="AE424" s="96"/>
      <c r="AF424" s="96">
        <f>IFERROR(__xludf.DUMMYFUNCTION("""COMPUTED_VALUE"""),1050000.0)</f>
        <v>1050000</v>
      </c>
      <c r="AG424" s="99">
        <f>IFERROR(__xludf.DUMMYFUNCTION("""COMPUTED_VALUE"""),1050000.0)</f>
        <v>1050000</v>
      </c>
      <c r="AH424" s="96"/>
      <c r="AI424" s="96">
        <f>IFERROR(__xludf.DUMMYFUNCTION("""COMPUTED_VALUE"""),0.0)</f>
        <v>0</v>
      </c>
      <c r="AJ424" s="96">
        <f>IFERROR(__xludf.DUMMYFUNCTION("""COMPUTED_VALUE"""),0.0)</f>
        <v>0</v>
      </c>
      <c r="AK424" s="96">
        <f>IFERROR(__xludf.DUMMYFUNCTION("""COMPUTED_VALUE"""),0.0)</f>
        <v>0</v>
      </c>
      <c r="AL424" s="129">
        <f>IFERROR(__xludf.DUMMYFUNCTION("""COMPUTED_VALUE"""),0.0)</f>
        <v>0</v>
      </c>
      <c r="AM424" s="99"/>
    </row>
    <row r="425">
      <c r="V425" s="96">
        <f>IFERROR(__xludf.DUMMYFUNCTION("""COMPUTED_VALUE"""),14.0)</f>
        <v>14</v>
      </c>
      <c r="W425" s="98">
        <f>IFERROR(__xludf.DUMMYFUNCTION("""COMPUTED_VALUE"""),44102.0)</f>
        <v>44102</v>
      </c>
      <c r="X425" s="96" t="str">
        <f>IFERROR(__xludf.DUMMYFUNCTION("""COMPUTED_VALUE"""),"ANDRDEW GREAT")</f>
        <v>ANDRDEW GREAT</v>
      </c>
      <c r="Y425" s="96" t="str">
        <f>IFERROR(__xludf.DUMMYFUNCTION("""COMPUTED_VALUE"""),"ANDRDEW GREAT14")</f>
        <v>ANDRDEW GREAT14</v>
      </c>
      <c r="Z425" s="96"/>
      <c r="AA425" s="96"/>
      <c r="AB425" s="96"/>
      <c r="AC425" s="96"/>
      <c r="AD425" s="96"/>
      <c r="AE425" s="96"/>
      <c r="AF425" s="96">
        <f>IFERROR(__xludf.DUMMYFUNCTION("""COMPUTED_VALUE"""),1553250.0)</f>
        <v>1553250</v>
      </c>
      <c r="AG425" s="99">
        <f>IFERROR(__xludf.DUMMYFUNCTION("""COMPUTED_VALUE"""),1553250.0)</f>
        <v>1553250</v>
      </c>
      <c r="AH425" s="96"/>
      <c r="AI425" s="96">
        <f>IFERROR(__xludf.DUMMYFUNCTION("""COMPUTED_VALUE"""),0.0)</f>
        <v>0</v>
      </c>
      <c r="AJ425" s="96">
        <f>IFERROR(__xludf.DUMMYFUNCTION("""COMPUTED_VALUE"""),0.0)</f>
        <v>0</v>
      </c>
      <c r="AK425" s="96">
        <f>IFERROR(__xludf.DUMMYFUNCTION("""COMPUTED_VALUE"""),0.0)</f>
        <v>0</v>
      </c>
      <c r="AL425" s="129">
        <f>IFERROR(__xludf.DUMMYFUNCTION("""COMPUTED_VALUE"""),0.0)</f>
        <v>0</v>
      </c>
      <c r="AM425" s="99"/>
    </row>
    <row r="426">
      <c r="V426" s="96">
        <f>IFERROR(__xludf.DUMMYFUNCTION("""COMPUTED_VALUE"""),20.0)</f>
        <v>20</v>
      </c>
      <c r="W426" s="98">
        <f>IFERROR(__xludf.DUMMYFUNCTION("""COMPUTED_VALUE"""),44102.0)</f>
        <v>44102</v>
      </c>
      <c r="X426" s="96" t="str">
        <f>IFERROR(__xludf.DUMMYFUNCTION("""COMPUTED_VALUE"""),"BOSURU  BOSURU")</f>
        <v>BOSURU  BOSURU</v>
      </c>
      <c r="Y426" s="96" t="str">
        <f>IFERROR(__xludf.DUMMYFUNCTION("""COMPUTED_VALUE"""),"BOSURU  BOSURU20")</f>
        <v>BOSURU  BOSURU20</v>
      </c>
      <c r="Z426" s="96"/>
      <c r="AA426" s="96"/>
      <c r="AB426" s="96"/>
      <c r="AC426" s="96"/>
      <c r="AD426" s="96"/>
      <c r="AE426" s="96"/>
      <c r="AF426" s="96">
        <f>IFERROR(__xludf.DUMMYFUNCTION("""COMPUTED_VALUE"""),500000.0)</f>
        <v>500000</v>
      </c>
      <c r="AG426" s="99">
        <f>IFERROR(__xludf.DUMMYFUNCTION("""COMPUTED_VALUE"""),500000.0)</f>
        <v>500000</v>
      </c>
      <c r="AH426" s="96"/>
      <c r="AI426" s="96">
        <f>IFERROR(__xludf.DUMMYFUNCTION("""COMPUTED_VALUE"""),0.0)</f>
        <v>0</v>
      </c>
      <c r="AJ426" s="96">
        <f>IFERROR(__xludf.DUMMYFUNCTION("""COMPUTED_VALUE"""),0.0)</f>
        <v>0</v>
      </c>
      <c r="AK426" s="96">
        <f>IFERROR(__xludf.DUMMYFUNCTION("""COMPUTED_VALUE"""),0.0)</f>
        <v>0</v>
      </c>
      <c r="AL426" s="129">
        <f>IFERROR(__xludf.DUMMYFUNCTION("""COMPUTED_VALUE"""),0.0)</f>
        <v>0</v>
      </c>
      <c r="AM426" s="99"/>
    </row>
    <row r="427">
      <c r="V427" s="96">
        <f>IFERROR(__xludf.DUMMYFUNCTION("""COMPUTED_VALUE"""),4.0)</f>
        <v>4</v>
      </c>
      <c r="W427" s="98">
        <f>IFERROR(__xludf.DUMMYFUNCTION("""COMPUTED_VALUE"""),44102.0)</f>
        <v>44102</v>
      </c>
      <c r="X427" s="96" t="str">
        <f>IFERROR(__xludf.DUMMYFUNCTION("""COMPUTED_VALUE"""),"R.  MAXWELL AGRO")</f>
        <v>R.  MAXWELL AGRO</v>
      </c>
      <c r="Y427" s="96" t="str">
        <f>IFERROR(__xludf.DUMMYFUNCTION("""COMPUTED_VALUE"""),"R.  MAXWELL AGRO4")</f>
        <v>R.  MAXWELL AGRO4</v>
      </c>
      <c r="Z427" s="96"/>
      <c r="AA427" s="96"/>
      <c r="AB427" s="96"/>
      <c r="AC427" s="96"/>
      <c r="AD427" s="96"/>
      <c r="AE427" s="96"/>
      <c r="AF427" s="96">
        <f>IFERROR(__xludf.DUMMYFUNCTION("""COMPUTED_VALUE"""),1.17E7)</f>
        <v>11700000</v>
      </c>
      <c r="AG427" s="99">
        <f>IFERROR(__xludf.DUMMYFUNCTION("""COMPUTED_VALUE"""),1.17E7)</f>
        <v>11700000</v>
      </c>
      <c r="AH427" s="96"/>
      <c r="AI427" s="96">
        <f>IFERROR(__xludf.DUMMYFUNCTION("""COMPUTED_VALUE"""),0.0)</f>
        <v>0</v>
      </c>
      <c r="AJ427" s="96">
        <f>IFERROR(__xludf.DUMMYFUNCTION("""COMPUTED_VALUE"""),0.0)</f>
        <v>0</v>
      </c>
      <c r="AK427" s="96">
        <f>IFERROR(__xludf.DUMMYFUNCTION("""COMPUTED_VALUE"""),0.0)</f>
        <v>0</v>
      </c>
      <c r="AL427" s="129">
        <f>IFERROR(__xludf.DUMMYFUNCTION("""COMPUTED_VALUE"""),0.0)</f>
        <v>0</v>
      </c>
      <c r="AM427" s="99"/>
    </row>
    <row r="428">
      <c r="V428" s="96">
        <f>IFERROR(__xludf.DUMMYFUNCTION("""COMPUTED_VALUE"""),1.0)</f>
        <v>1</v>
      </c>
      <c r="W428" s="98">
        <f>IFERROR(__xludf.DUMMYFUNCTION("""COMPUTED_VALUE"""),44102.0)</f>
        <v>44102</v>
      </c>
      <c r="X428" s="96" t="str">
        <f>IFERROR(__xludf.DUMMYFUNCTION("""COMPUTED_VALUE"""),"PRIN M. BOSURU")</f>
        <v>PRIN M. BOSURU</v>
      </c>
      <c r="Y428" s="96" t="str">
        <f>IFERROR(__xludf.DUMMYFUNCTION("""COMPUTED_VALUE"""),"PRIN M. BOSURU1")</f>
        <v>PRIN M. BOSURU1</v>
      </c>
      <c r="Z428" s="96"/>
      <c r="AA428" s="96"/>
      <c r="AB428" s="96"/>
      <c r="AC428" s="96"/>
      <c r="AD428" s="96"/>
      <c r="AE428" s="96"/>
      <c r="AF428" s="96">
        <f>IFERROR(__xludf.DUMMYFUNCTION("""COMPUTED_VALUE"""),1120000.0)</f>
        <v>1120000</v>
      </c>
      <c r="AG428" s="99">
        <f>IFERROR(__xludf.DUMMYFUNCTION("""COMPUTED_VALUE"""),1120000.0)</f>
        <v>1120000</v>
      </c>
      <c r="AH428" s="96"/>
      <c r="AI428" s="96">
        <f>IFERROR(__xludf.DUMMYFUNCTION("""COMPUTED_VALUE"""),0.0)</f>
        <v>0</v>
      </c>
      <c r="AJ428" s="96">
        <f>IFERROR(__xludf.DUMMYFUNCTION("""COMPUTED_VALUE"""),0.0)</f>
        <v>0</v>
      </c>
      <c r="AK428" s="96">
        <f>IFERROR(__xludf.DUMMYFUNCTION("""COMPUTED_VALUE"""),0.0)</f>
        <v>0</v>
      </c>
      <c r="AL428" s="129">
        <f>IFERROR(__xludf.DUMMYFUNCTION("""COMPUTED_VALUE"""),0.0)</f>
        <v>0</v>
      </c>
      <c r="AM428" s="99"/>
    </row>
    <row r="429">
      <c r="V429" s="96">
        <f>IFERROR(__xludf.DUMMYFUNCTION("""COMPUTED_VALUE"""),21.0)</f>
        <v>21</v>
      </c>
      <c r="W429" s="98">
        <f>IFERROR(__xludf.DUMMYFUNCTION("""COMPUTED_VALUE"""),44104.0)</f>
        <v>44104</v>
      </c>
      <c r="X429" s="96" t="str">
        <f>IFERROR(__xludf.DUMMYFUNCTION("""COMPUTED_VALUE"""),"CONNECT")</f>
        <v>CONNECT</v>
      </c>
      <c r="Y429" s="96" t="str">
        <f>IFERROR(__xludf.DUMMYFUNCTION("""COMPUTED_VALUE"""),"CONNECT21")</f>
        <v>CONNECT21</v>
      </c>
      <c r="Z429" s="96">
        <f>IFERROR(__xludf.DUMMYFUNCTION("""COMPUTED_VALUE"""),482.0)</f>
        <v>482</v>
      </c>
      <c r="AA429" s="96">
        <f>IFERROR(__xludf.DUMMYFUNCTION("""COMPUTED_VALUE"""),78.0)</f>
        <v>78</v>
      </c>
      <c r="AB429" s="96"/>
      <c r="AC429" s="96">
        <f>IFERROR(__xludf.DUMMYFUNCTION("""COMPUTED_VALUE"""),7.0)</f>
        <v>7</v>
      </c>
      <c r="AD429" s="96"/>
      <c r="AE429" s="96">
        <f>IFERROR(__xludf.DUMMYFUNCTION("""COMPUTED_VALUE"""),940.0)</f>
        <v>940</v>
      </c>
      <c r="AF429" s="96"/>
      <c r="AG429" s="99">
        <f>IFERROR(__xludf.DUMMYFUNCTION("""COMPUTED_VALUE"""),-432400.0)</f>
        <v>-432400</v>
      </c>
      <c r="AH429" s="96">
        <f>IFERROR(__xludf.DUMMYFUNCTION("""COMPUTED_VALUE"""),11.14)</f>
        <v>11.14</v>
      </c>
      <c r="AI429" s="96">
        <f>IFERROR(__xludf.DUMMYFUNCTION("""COMPUTED_VALUE"""),15.0)</f>
        <v>15</v>
      </c>
      <c r="AJ429" s="96">
        <f>IFERROR(__xludf.DUMMYFUNCTION("""COMPUTED_VALUE"""),7.0)</f>
        <v>7</v>
      </c>
      <c r="AK429" s="96">
        <f>IFERROR(__xludf.DUMMYFUNCTION("""COMPUTED_VALUE"""),19.0)</f>
        <v>19</v>
      </c>
      <c r="AL429" s="129">
        <f>IFERROR(__xludf.DUMMYFUNCTION("""COMPUTED_VALUE"""),460.0)</f>
        <v>460</v>
      </c>
      <c r="AM429" s="99">
        <f>IFERROR(__xludf.DUMMYFUNCTION("""COMPUTED_VALUE"""),432400.0)</f>
        <v>432400</v>
      </c>
    </row>
    <row r="430">
      <c r="V430" s="96">
        <f>IFERROR(__xludf.DUMMYFUNCTION("""COMPUTED_VALUE"""),6.0)</f>
        <v>6</v>
      </c>
      <c r="W430" s="98">
        <f>IFERROR(__xludf.DUMMYFUNCTION("""COMPUTED_VALUE"""),44104.0)</f>
        <v>44104</v>
      </c>
      <c r="X430" s="96" t="str">
        <f>IFERROR(__xludf.DUMMYFUNCTION("""COMPUTED_VALUE"""),"CONFIDENCE")</f>
        <v>CONFIDENCE</v>
      </c>
      <c r="Y430" s="96" t="str">
        <f>IFERROR(__xludf.DUMMYFUNCTION("""COMPUTED_VALUE"""),"CONFIDENCE6")</f>
        <v>CONFIDENCE6</v>
      </c>
      <c r="Z430" s="96">
        <f>IFERROR(__xludf.DUMMYFUNCTION("""COMPUTED_VALUE"""),512.0)</f>
        <v>512</v>
      </c>
      <c r="AA430" s="96">
        <f>IFERROR(__xludf.DUMMYFUNCTION("""COMPUTED_VALUE"""),89.0)</f>
        <v>89</v>
      </c>
      <c r="AB430" s="96"/>
      <c r="AC430" s="96">
        <f>IFERROR(__xludf.DUMMYFUNCTION("""COMPUTED_VALUE"""),8.0)</f>
        <v>8</v>
      </c>
      <c r="AD430" s="96"/>
      <c r="AE430" s="96">
        <f>IFERROR(__xludf.DUMMYFUNCTION("""COMPUTED_VALUE"""),927.95)</f>
        <v>927.95</v>
      </c>
      <c r="AF430" s="96"/>
      <c r="AG430" s="99">
        <f>IFERROR(__xludf.DUMMYFUNCTION("""COMPUTED_VALUE"""),-452840.0)</f>
        <v>-452840</v>
      </c>
      <c r="AH430" s="96">
        <f>IFERROR(__xludf.DUMMYFUNCTION("""COMPUTED_VALUE"""),11.13)</f>
        <v>11.13</v>
      </c>
      <c r="AI430" s="96">
        <f>IFERROR(__xludf.DUMMYFUNCTION("""COMPUTED_VALUE"""),16.0)</f>
        <v>16</v>
      </c>
      <c r="AJ430" s="96">
        <f>IFERROR(__xludf.DUMMYFUNCTION("""COMPUTED_VALUE"""),7.0)</f>
        <v>7</v>
      </c>
      <c r="AK430" s="96">
        <f>IFERROR(__xludf.DUMMYFUNCTION("""COMPUTED_VALUE"""),47.0)</f>
        <v>47</v>
      </c>
      <c r="AL430" s="129">
        <f>IFERROR(__xludf.DUMMYFUNCTION("""COMPUTED_VALUE"""),488.0)</f>
        <v>488</v>
      </c>
      <c r="AM430" s="99">
        <f>IFERROR(__xludf.DUMMYFUNCTION("""COMPUTED_VALUE"""),452840.0)</f>
        <v>452840</v>
      </c>
    </row>
    <row r="431">
      <c r="V431" s="96">
        <f>IFERROR(__xludf.DUMMYFUNCTION("""COMPUTED_VALUE"""),3.0)</f>
        <v>3</v>
      </c>
      <c r="W431" s="98">
        <f>IFERROR(__xludf.DUMMYFUNCTION("""COMPUTED_VALUE"""),44103.0)</f>
        <v>44103</v>
      </c>
      <c r="X431" s="96" t="str">
        <f>IFERROR(__xludf.DUMMYFUNCTION("""COMPUTED_VALUE"""),"CHINWE CHIDI")</f>
        <v>CHINWE CHIDI</v>
      </c>
      <c r="Y431" s="96" t="str">
        <f>IFERROR(__xludf.DUMMYFUNCTION("""COMPUTED_VALUE"""),"CHINWE CHIDI3")</f>
        <v>CHINWE CHIDI3</v>
      </c>
      <c r="Z431" s="96"/>
      <c r="AA431" s="96"/>
      <c r="AB431" s="96"/>
      <c r="AC431" s="96"/>
      <c r="AD431" s="96"/>
      <c r="AE431" s="96"/>
      <c r="AF431" s="96">
        <f>IFERROR(__xludf.DUMMYFUNCTION("""COMPUTED_VALUE"""),200000.0)</f>
        <v>200000</v>
      </c>
      <c r="AG431" s="99">
        <f>IFERROR(__xludf.DUMMYFUNCTION("""COMPUTED_VALUE"""),200000.0)</f>
        <v>200000</v>
      </c>
      <c r="AH431" s="96"/>
      <c r="AI431" s="96">
        <f>IFERROR(__xludf.DUMMYFUNCTION("""COMPUTED_VALUE"""),0.0)</f>
        <v>0</v>
      </c>
      <c r="AJ431" s="96">
        <f>IFERROR(__xludf.DUMMYFUNCTION("""COMPUTED_VALUE"""),0.0)</f>
        <v>0</v>
      </c>
      <c r="AK431" s="96">
        <f>IFERROR(__xludf.DUMMYFUNCTION("""COMPUTED_VALUE"""),0.0)</f>
        <v>0</v>
      </c>
      <c r="AL431" s="129">
        <f>IFERROR(__xludf.DUMMYFUNCTION("""COMPUTED_VALUE"""),0.0)</f>
        <v>0</v>
      </c>
      <c r="AM431" s="99"/>
    </row>
    <row r="432">
      <c r="V432" s="96">
        <f>IFERROR(__xludf.DUMMYFUNCTION("""COMPUTED_VALUE"""),7.0)</f>
        <v>7</v>
      </c>
      <c r="W432" s="98">
        <f>IFERROR(__xludf.DUMMYFUNCTION("""COMPUTED_VALUE"""),44103.0)</f>
        <v>44103</v>
      </c>
      <c r="X432" s="96" t="str">
        <f>IFERROR(__xludf.DUMMYFUNCTION("""COMPUTED_VALUE"""),"CONFIDENCE")</f>
        <v>CONFIDENCE</v>
      </c>
      <c r="Y432" s="96" t="str">
        <f>IFERROR(__xludf.DUMMYFUNCTION("""COMPUTED_VALUE"""),"CONFIDENCE7")</f>
        <v>CONFIDENCE7</v>
      </c>
      <c r="Z432" s="96"/>
      <c r="AA432" s="96"/>
      <c r="AB432" s="96"/>
      <c r="AC432" s="96"/>
      <c r="AD432" s="96"/>
      <c r="AE432" s="96"/>
      <c r="AF432" s="96">
        <f>IFERROR(__xludf.DUMMYFUNCTION("""COMPUTED_VALUE"""),150000.0)</f>
        <v>150000</v>
      </c>
      <c r="AG432" s="99">
        <f>IFERROR(__xludf.DUMMYFUNCTION("""COMPUTED_VALUE"""),150000.0)</f>
        <v>150000</v>
      </c>
      <c r="AH432" s="96"/>
      <c r="AI432" s="96">
        <f>IFERROR(__xludf.DUMMYFUNCTION("""COMPUTED_VALUE"""),0.0)</f>
        <v>0</v>
      </c>
      <c r="AJ432" s="96">
        <f>IFERROR(__xludf.DUMMYFUNCTION("""COMPUTED_VALUE"""),0.0)</f>
        <v>0</v>
      </c>
      <c r="AK432" s="96">
        <f>IFERROR(__xludf.DUMMYFUNCTION("""COMPUTED_VALUE"""),0.0)</f>
        <v>0</v>
      </c>
      <c r="AL432" s="129">
        <f>IFERROR(__xludf.DUMMYFUNCTION("""COMPUTED_VALUE"""),0.0)</f>
        <v>0</v>
      </c>
      <c r="AM432" s="99"/>
    </row>
    <row r="433">
      <c r="V433" s="96">
        <f>IFERROR(__xludf.DUMMYFUNCTION("""COMPUTED_VALUE"""),8.0)</f>
        <v>8</v>
      </c>
      <c r="W433" s="98">
        <f>IFERROR(__xludf.DUMMYFUNCTION("""COMPUTED_VALUE"""),44103.0)</f>
        <v>44103</v>
      </c>
      <c r="X433" s="96" t="str">
        <f>IFERROR(__xludf.DUMMYFUNCTION("""COMPUTED_VALUE"""),"EMMANUEL OKO ")</f>
        <v>EMMANUEL OKO </v>
      </c>
      <c r="Y433" s="96" t="str">
        <f>IFERROR(__xludf.DUMMYFUNCTION("""COMPUTED_VALUE"""),"EMMANUEL OKO 8")</f>
        <v>EMMANUEL OKO 8</v>
      </c>
      <c r="Z433" s="96"/>
      <c r="AA433" s="96"/>
      <c r="AB433" s="96"/>
      <c r="AC433" s="96"/>
      <c r="AD433" s="96"/>
      <c r="AE433" s="96"/>
      <c r="AF433" s="96">
        <f>IFERROR(__xludf.DUMMYFUNCTION("""COMPUTED_VALUE"""),50000.0)</f>
        <v>50000</v>
      </c>
      <c r="AG433" s="99">
        <f>IFERROR(__xludf.DUMMYFUNCTION("""COMPUTED_VALUE"""),50000.0)</f>
        <v>50000</v>
      </c>
      <c r="AH433" s="96"/>
      <c r="AI433" s="96">
        <f>IFERROR(__xludf.DUMMYFUNCTION("""COMPUTED_VALUE"""),0.0)</f>
        <v>0</v>
      </c>
      <c r="AJ433" s="96">
        <f>IFERROR(__xludf.DUMMYFUNCTION("""COMPUTED_VALUE"""),0.0)</f>
        <v>0</v>
      </c>
      <c r="AK433" s="96">
        <f>IFERROR(__xludf.DUMMYFUNCTION("""COMPUTED_VALUE"""),0.0)</f>
        <v>0</v>
      </c>
      <c r="AL433" s="129">
        <f>IFERROR(__xludf.DUMMYFUNCTION("""COMPUTED_VALUE"""),0.0)</f>
        <v>0</v>
      </c>
      <c r="AM433" s="99"/>
    </row>
    <row r="434">
      <c r="V434" s="96">
        <f>IFERROR(__xludf.DUMMYFUNCTION("""COMPUTED_VALUE"""),17.0)</f>
        <v>17</v>
      </c>
      <c r="W434" s="98">
        <f>IFERROR(__xludf.DUMMYFUNCTION("""COMPUTED_VALUE"""),44103.0)</f>
        <v>44103</v>
      </c>
      <c r="X434" s="96" t="str">
        <f>IFERROR(__xludf.DUMMYFUNCTION("""COMPUTED_VALUE""")," MAXWELL AGRO")</f>
        <v> MAXWELL AGRO</v>
      </c>
      <c r="Y434" s="96" t="str">
        <f>IFERROR(__xludf.DUMMYFUNCTION("""COMPUTED_VALUE""")," MAXWELL AGRO17")</f>
        <v> MAXWELL AGRO17</v>
      </c>
      <c r="Z434" s="96"/>
      <c r="AA434" s="96"/>
      <c r="AB434" s="96"/>
      <c r="AC434" s="96"/>
      <c r="AD434" s="96"/>
      <c r="AE434" s="96"/>
      <c r="AF434" s="96">
        <f>IFERROR(__xludf.DUMMYFUNCTION("""COMPUTED_VALUE"""),100000.0)</f>
        <v>100000</v>
      </c>
      <c r="AG434" s="99">
        <f>IFERROR(__xludf.DUMMYFUNCTION("""COMPUTED_VALUE"""),100000.0)</f>
        <v>100000</v>
      </c>
      <c r="AH434" s="96"/>
      <c r="AI434" s="96">
        <f>IFERROR(__xludf.DUMMYFUNCTION("""COMPUTED_VALUE"""),0.0)</f>
        <v>0</v>
      </c>
      <c r="AJ434" s="96">
        <f>IFERROR(__xludf.DUMMYFUNCTION("""COMPUTED_VALUE"""),0.0)</f>
        <v>0</v>
      </c>
      <c r="AK434" s="96">
        <f>IFERROR(__xludf.DUMMYFUNCTION("""COMPUTED_VALUE"""),0.0)</f>
        <v>0</v>
      </c>
      <c r="AL434" s="129">
        <f>IFERROR(__xludf.DUMMYFUNCTION("""COMPUTED_VALUE"""),0.0)</f>
        <v>0</v>
      </c>
      <c r="AM434" s="99"/>
    </row>
    <row r="435">
      <c r="V435" s="96">
        <f>IFERROR(__xludf.DUMMYFUNCTION("""COMPUTED_VALUE"""),1.0)</f>
        <v>1</v>
      </c>
      <c r="W435" s="98">
        <f>IFERROR(__xludf.DUMMYFUNCTION("""COMPUTED_VALUE"""),44103.0)</f>
        <v>44103</v>
      </c>
      <c r="X435" s="96" t="str">
        <f>IFERROR(__xludf.DUMMYFUNCTION("""COMPUTED_VALUE"""),"UNCLE BIGGIE")</f>
        <v>UNCLE BIGGIE</v>
      </c>
      <c r="Y435" s="96" t="str">
        <f>IFERROR(__xludf.DUMMYFUNCTION("""COMPUTED_VALUE"""),"UNCLE BIGGIE1")</f>
        <v>UNCLE BIGGIE1</v>
      </c>
      <c r="Z435" s="96"/>
      <c r="AA435" s="96"/>
      <c r="AB435" s="96"/>
      <c r="AC435" s="96"/>
      <c r="AD435" s="96"/>
      <c r="AE435" s="96"/>
      <c r="AF435" s="96">
        <f>IFERROR(__xludf.DUMMYFUNCTION("""COMPUTED_VALUE"""),40000.0)</f>
        <v>40000</v>
      </c>
      <c r="AG435" s="99">
        <f>IFERROR(__xludf.DUMMYFUNCTION("""COMPUTED_VALUE"""),40000.0)</f>
        <v>40000</v>
      </c>
      <c r="AH435" s="96"/>
      <c r="AI435" s="96">
        <f>IFERROR(__xludf.DUMMYFUNCTION("""COMPUTED_VALUE"""),0.0)</f>
        <v>0</v>
      </c>
      <c r="AJ435" s="96">
        <f>IFERROR(__xludf.DUMMYFUNCTION("""COMPUTED_VALUE"""),0.0)</f>
        <v>0</v>
      </c>
      <c r="AK435" s="96">
        <f>IFERROR(__xludf.DUMMYFUNCTION("""COMPUTED_VALUE"""),0.0)</f>
        <v>0</v>
      </c>
      <c r="AL435" s="129">
        <f>IFERROR(__xludf.DUMMYFUNCTION("""COMPUTED_VALUE"""),0.0)</f>
        <v>0</v>
      </c>
      <c r="AM435" s="99"/>
    </row>
    <row r="436">
      <c r="V436" s="96">
        <f>IFERROR(__xludf.DUMMYFUNCTION("""COMPUTED_VALUE"""),15.0)</f>
        <v>15</v>
      </c>
      <c r="W436" s="98">
        <f>IFERROR(__xludf.DUMMYFUNCTION("""COMPUTED_VALUE"""),44104.0)</f>
        <v>44104</v>
      </c>
      <c r="X436" s="96" t="str">
        <f>IFERROR(__xludf.DUMMYFUNCTION("""COMPUTED_VALUE"""),"ETUK EFFI")</f>
        <v>ETUK EFFI</v>
      </c>
      <c r="Y436" s="96" t="str">
        <f>IFERROR(__xludf.DUMMYFUNCTION("""COMPUTED_VALUE"""),"ETUK EFFI15")</f>
        <v>ETUK EFFI15</v>
      </c>
      <c r="Z436" s="96"/>
      <c r="AA436" s="96"/>
      <c r="AB436" s="96"/>
      <c r="AC436" s="96"/>
      <c r="AD436" s="96"/>
      <c r="AE436" s="96"/>
      <c r="AF436" s="96">
        <f>IFERROR(__xludf.DUMMYFUNCTION("""COMPUTED_VALUE"""),100000.0)</f>
        <v>100000</v>
      </c>
      <c r="AG436" s="99">
        <f>IFERROR(__xludf.DUMMYFUNCTION("""COMPUTED_VALUE"""),100000.0)</f>
        <v>100000</v>
      </c>
      <c r="AH436" s="96"/>
      <c r="AI436" s="96">
        <f>IFERROR(__xludf.DUMMYFUNCTION("""COMPUTED_VALUE"""),0.0)</f>
        <v>0</v>
      </c>
      <c r="AJ436" s="96">
        <f>IFERROR(__xludf.DUMMYFUNCTION("""COMPUTED_VALUE"""),0.0)</f>
        <v>0</v>
      </c>
      <c r="AK436" s="96">
        <f>IFERROR(__xludf.DUMMYFUNCTION("""COMPUTED_VALUE"""),0.0)</f>
        <v>0</v>
      </c>
      <c r="AL436" s="129">
        <f>IFERROR(__xludf.DUMMYFUNCTION("""COMPUTED_VALUE"""),0.0)</f>
        <v>0</v>
      </c>
      <c r="AM436" s="99"/>
    </row>
    <row r="437">
      <c r="V437" s="96">
        <f>IFERROR(__xludf.DUMMYFUNCTION("""COMPUTED_VALUE"""),16.0)</f>
        <v>16</v>
      </c>
      <c r="W437" s="98">
        <f>IFERROR(__xludf.DUMMYFUNCTION("""COMPUTED_VALUE"""),44104.0)</f>
        <v>44104</v>
      </c>
      <c r="X437" s="96" t="str">
        <f>IFERROR(__xludf.DUMMYFUNCTION("""COMPUTED_VALUE"""),"ETUK EFFI")</f>
        <v>ETUK EFFI</v>
      </c>
      <c r="Y437" s="96" t="str">
        <f>IFERROR(__xludf.DUMMYFUNCTION("""COMPUTED_VALUE"""),"ETUK EFFI16")</f>
        <v>ETUK EFFI16</v>
      </c>
      <c r="Z437" s="96"/>
      <c r="AA437" s="96"/>
      <c r="AB437" s="96"/>
      <c r="AC437" s="96"/>
      <c r="AD437" s="96"/>
      <c r="AE437" s="96"/>
      <c r="AF437" s="96">
        <f>IFERROR(__xludf.DUMMYFUNCTION("""COMPUTED_VALUE"""),304000.0)</f>
        <v>304000</v>
      </c>
      <c r="AG437" s="99">
        <f>IFERROR(__xludf.DUMMYFUNCTION("""COMPUTED_VALUE"""),304000.0)</f>
        <v>304000</v>
      </c>
      <c r="AH437" s="96"/>
      <c r="AI437" s="96">
        <f>IFERROR(__xludf.DUMMYFUNCTION("""COMPUTED_VALUE"""),0.0)</f>
        <v>0</v>
      </c>
      <c r="AJ437" s="96">
        <f>IFERROR(__xludf.DUMMYFUNCTION("""COMPUTED_VALUE"""),0.0)</f>
        <v>0</v>
      </c>
      <c r="AK437" s="96">
        <f>IFERROR(__xludf.DUMMYFUNCTION("""COMPUTED_VALUE"""),0.0)</f>
        <v>0</v>
      </c>
      <c r="AL437" s="129">
        <f>IFERROR(__xludf.DUMMYFUNCTION("""COMPUTED_VALUE"""),0.0)</f>
        <v>0</v>
      </c>
      <c r="AM437" s="99"/>
    </row>
    <row r="438">
      <c r="V438" s="96">
        <f>IFERROR(__xludf.DUMMYFUNCTION("""COMPUTED_VALUE"""),2.0)</f>
        <v>2</v>
      </c>
      <c r="W438" s="98">
        <f>IFERROR(__xludf.DUMMYFUNCTION("""COMPUTED_VALUE"""),44104.0)</f>
        <v>44104</v>
      </c>
      <c r="X438" s="96" t="str">
        <f>IFERROR(__xludf.DUMMYFUNCTION("""COMPUTED_VALUE"""),"PRIN M. BOSURU")</f>
        <v>PRIN M. BOSURU</v>
      </c>
      <c r="Y438" s="96" t="str">
        <f>IFERROR(__xludf.DUMMYFUNCTION("""COMPUTED_VALUE"""),"PRIN M. BOSURU2")</f>
        <v>PRIN M. BOSURU2</v>
      </c>
      <c r="Z438" s="96"/>
      <c r="AA438" s="96"/>
      <c r="AB438" s="96"/>
      <c r="AC438" s="96"/>
      <c r="AD438" s="96"/>
      <c r="AE438" s="96"/>
      <c r="AF438" s="96">
        <f>IFERROR(__xludf.DUMMYFUNCTION("""COMPUTED_VALUE"""),672000.0)</f>
        <v>672000</v>
      </c>
      <c r="AG438" s="99">
        <f>IFERROR(__xludf.DUMMYFUNCTION("""COMPUTED_VALUE"""),672000.0)</f>
        <v>672000</v>
      </c>
      <c r="AH438" s="96"/>
      <c r="AI438" s="96">
        <f>IFERROR(__xludf.DUMMYFUNCTION("""COMPUTED_VALUE"""),0.0)</f>
        <v>0</v>
      </c>
      <c r="AJ438" s="96">
        <f>IFERROR(__xludf.DUMMYFUNCTION("""COMPUTED_VALUE"""),0.0)</f>
        <v>0</v>
      </c>
      <c r="AK438" s="96">
        <f>IFERROR(__xludf.DUMMYFUNCTION("""COMPUTED_VALUE"""),0.0)</f>
        <v>0</v>
      </c>
      <c r="AL438" s="129">
        <f>IFERROR(__xludf.DUMMYFUNCTION("""COMPUTED_VALUE"""),0.0)</f>
        <v>0</v>
      </c>
      <c r="AM438" s="99"/>
    </row>
    <row r="439">
      <c r="V439" s="96">
        <f>IFERROR(__xludf.DUMMYFUNCTION("""COMPUTED_VALUE"""),8.0)</f>
        <v>8</v>
      </c>
      <c r="W439" s="98">
        <f>IFERROR(__xludf.DUMMYFUNCTION("""COMPUTED_VALUE"""),44104.0)</f>
        <v>44104</v>
      </c>
      <c r="X439" s="96" t="str">
        <f>IFERROR(__xludf.DUMMYFUNCTION("""COMPUTED_VALUE"""),"CONFIDENCE")</f>
        <v>CONFIDENCE</v>
      </c>
      <c r="Y439" s="96" t="str">
        <f>IFERROR(__xludf.DUMMYFUNCTION("""COMPUTED_VALUE"""),"CONFIDENCE8")</f>
        <v>CONFIDENCE8</v>
      </c>
      <c r="Z439" s="96"/>
      <c r="AA439" s="96"/>
      <c r="AB439" s="96"/>
      <c r="AC439" s="96"/>
      <c r="AD439" s="96"/>
      <c r="AE439" s="96"/>
      <c r="AF439" s="96">
        <f>IFERROR(__xludf.DUMMYFUNCTION("""COMPUTED_VALUE"""),302800.0)</f>
        <v>302800</v>
      </c>
      <c r="AG439" s="99">
        <f>IFERROR(__xludf.DUMMYFUNCTION("""COMPUTED_VALUE"""),302800.0)</f>
        <v>302800</v>
      </c>
      <c r="AH439" s="96"/>
      <c r="AI439" s="96">
        <f>IFERROR(__xludf.DUMMYFUNCTION("""COMPUTED_VALUE"""),0.0)</f>
        <v>0</v>
      </c>
      <c r="AJ439" s="96">
        <f>IFERROR(__xludf.DUMMYFUNCTION("""COMPUTED_VALUE"""),0.0)</f>
        <v>0</v>
      </c>
      <c r="AK439" s="96">
        <f>IFERROR(__xludf.DUMMYFUNCTION("""COMPUTED_VALUE"""),0.0)</f>
        <v>0</v>
      </c>
      <c r="AL439" s="129">
        <f>IFERROR(__xludf.DUMMYFUNCTION("""COMPUTED_VALUE"""),0.0)</f>
        <v>0</v>
      </c>
      <c r="AM439" s="99"/>
    </row>
    <row r="440">
      <c r="V440" s="96">
        <f>IFERROR(__xludf.DUMMYFUNCTION("""COMPUTED_VALUE"""),9.0)</f>
        <v>9</v>
      </c>
      <c r="W440" s="98">
        <f>IFERROR(__xludf.DUMMYFUNCTION("""COMPUTED_VALUE"""),44104.0)</f>
        <v>44104</v>
      </c>
      <c r="X440" s="96" t="str">
        <f>IFERROR(__xludf.DUMMYFUNCTION("""COMPUTED_VALUE"""),"EMMANUEL OKO ")</f>
        <v>EMMANUEL OKO </v>
      </c>
      <c r="Y440" s="96" t="str">
        <f>IFERROR(__xludf.DUMMYFUNCTION("""COMPUTED_VALUE"""),"EMMANUEL OKO 9")</f>
        <v>EMMANUEL OKO 9</v>
      </c>
      <c r="Z440" s="96"/>
      <c r="AA440" s="96"/>
      <c r="AB440" s="96"/>
      <c r="AC440" s="96"/>
      <c r="AD440" s="96"/>
      <c r="AE440" s="96"/>
      <c r="AF440" s="96">
        <f>IFERROR(__xludf.DUMMYFUNCTION("""COMPUTED_VALUE"""),450000.0)</f>
        <v>450000</v>
      </c>
      <c r="AG440" s="99">
        <f>IFERROR(__xludf.DUMMYFUNCTION("""COMPUTED_VALUE"""),450000.0)</f>
        <v>450000</v>
      </c>
      <c r="AH440" s="96"/>
      <c r="AI440" s="96">
        <f>IFERROR(__xludf.DUMMYFUNCTION("""COMPUTED_VALUE"""),0.0)</f>
        <v>0</v>
      </c>
      <c r="AJ440" s="96">
        <f>IFERROR(__xludf.DUMMYFUNCTION("""COMPUTED_VALUE"""),0.0)</f>
        <v>0</v>
      </c>
      <c r="AK440" s="96">
        <f>IFERROR(__xludf.DUMMYFUNCTION("""COMPUTED_VALUE"""),0.0)</f>
        <v>0</v>
      </c>
      <c r="AL440" s="129">
        <f>IFERROR(__xludf.DUMMYFUNCTION("""COMPUTED_VALUE"""),0.0)</f>
        <v>0</v>
      </c>
      <c r="AM440" s="99"/>
    </row>
    <row r="441">
      <c r="V441" s="96">
        <f>IFERROR(__xludf.DUMMYFUNCTION("""COMPUTED_VALUE"""),2.0)</f>
        <v>2</v>
      </c>
      <c r="W441" s="98">
        <f>IFERROR(__xludf.DUMMYFUNCTION("""COMPUTED_VALUE"""),44104.0)</f>
        <v>44104</v>
      </c>
      <c r="X441" s="96" t="str">
        <f>IFERROR(__xludf.DUMMYFUNCTION("""COMPUTED_VALUE"""),"UNCLE BIGGIE")</f>
        <v>UNCLE BIGGIE</v>
      </c>
      <c r="Y441" s="96" t="str">
        <f>IFERROR(__xludf.DUMMYFUNCTION("""COMPUTED_VALUE"""),"UNCLE BIGGIE2")</f>
        <v>UNCLE BIGGIE2</v>
      </c>
      <c r="Z441" s="96"/>
      <c r="AA441" s="96"/>
      <c r="AB441" s="96"/>
      <c r="AC441" s="96"/>
      <c r="AD441" s="96"/>
      <c r="AE441" s="96"/>
      <c r="AF441" s="96">
        <f>IFERROR(__xludf.DUMMYFUNCTION("""COMPUTED_VALUE"""),300000.0)</f>
        <v>300000</v>
      </c>
      <c r="AG441" s="99">
        <f>IFERROR(__xludf.DUMMYFUNCTION("""COMPUTED_VALUE"""),300000.0)</f>
        <v>300000</v>
      </c>
      <c r="AH441" s="96"/>
      <c r="AI441" s="96">
        <f>IFERROR(__xludf.DUMMYFUNCTION("""COMPUTED_VALUE"""),0.0)</f>
        <v>0</v>
      </c>
      <c r="AJ441" s="96">
        <f>IFERROR(__xludf.DUMMYFUNCTION("""COMPUTED_VALUE"""),0.0)</f>
        <v>0</v>
      </c>
      <c r="AK441" s="96">
        <f>IFERROR(__xludf.DUMMYFUNCTION("""COMPUTED_VALUE"""),0.0)</f>
        <v>0</v>
      </c>
      <c r="AL441" s="129">
        <f>IFERROR(__xludf.DUMMYFUNCTION("""COMPUTED_VALUE"""),0.0)</f>
        <v>0</v>
      </c>
      <c r="AM441" s="99"/>
    </row>
    <row r="442">
      <c r="V442" s="96">
        <f>IFERROR(__xludf.DUMMYFUNCTION("""COMPUTED_VALUE"""),22.0)</f>
        <v>22</v>
      </c>
      <c r="W442" s="98">
        <f>IFERROR(__xludf.DUMMYFUNCTION("""COMPUTED_VALUE"""),44104.0)</f>
        <v>44104</v>
      </c>
      <c r="X442" s="96" t="str">
        <f>IFERROR(__xludf.DUMMYFUNCTION("""COMPUTED_VALUE"""),"CONNECT")</f>
        <v>CONNECT</v>
      </c>
      <c r="Y442" s="96" t="str">
        <f>IFERROR(__xludf.DUMMYFUNCTION("""COMPUTED_VALUE"""),"CONNECT22")</f>
        <v>CONNECT22</v>
      </c>
      <c r="Z442" s="96"/>
      <c r="AA442" s="96"/>
      <c r="AB442" s="96"/>
      <c r="AC442" s="96"/>
      <c r="AD442" s="96"/>
      <c r="AE442" s="96"/>
      <c r="AF442" s="96">
        <f>IFERROR(__xludf.DUMMYFUNCTION("""COMPUTED_VALUE"""),432400.0)</f>
        <v>432400</v>
      </c>
      <c r="AG442" s="99">
        <f>IFERROR(__xludf.DUMMYFUNCTION("""COMPUTED_VALUE"""),432400.0)</f>
        <v>432400</v>
      </c>
      <c r="AH442" s="96"/>
      <c r="AI442" s="96">
        <f>IFERROR(__xludf.DUMMYFUNCTION("""COMPUTED_VALUE"""),0.0)</f>
        <v>0</v>
      </c>
      <c r="AJ442" s="96">
        <f>IFERROR(__xludf.DUMMYFUNCTION("""COMPUTED_VALUE"""),0.0)</f>
        <v>0</v>
      </c>
      <c r="AK442" s="96">
        <f>IFERROR(__xludf.DUMMYFUNCTION("""COMPUTED_VALUE"""),0.0)</f>
        <v>0</v>
      </c>
      <c r="AL442" s="129">
        <f>IFERROR(__xludf.DUMMYFUNCTION("""COMPUTED_VALUE"""),0.0)</f>
        <v>0</v>
      </c>
      <c r="AM442" s="99"/>
    </row>
    <row r="443">
      <c r="V443" s="96">
        <f>IFERROR(__xludf.DUMMYFUNCTION("""COMPUTED_VALUE"""),15.0)</f>
        <v>15</v>
      </c>
      <c r="W443" s="98">
        <f>IFERROR(__xludf.DUMMYFUNCTION("""COMPUTED_VALUE"""),44106.0)</f>
        <v>44106</v>
      </c>
      <c r="X443" s="96" t="str">
        <f>IFERROR(__xludf.DUMMYFUNCTION("""COMPUTED_VALUE"""),"EDWARD OKO")</f>
        <v>EDWARD OKO</v>
      </c>
      <c r="Y443" s="96" t="str">
        <f>IFERROR(__xludf.DUMMYFUNCTION("""COMPUTED_VALUE"""),"EDWARD OKO15")</f>
        <v>EDWARD OKO15</v>
      </c>
      <c r="Z443" s="96"/>
      <c r="AA443" s="96"/>
      <c r="AB443" s="96"/>
      <c r="AC443" s="96"/>
      <c r="AD443" s="96"/>
      <c r="AE443" s="96"/>
      <c r="AF443" s="96">
        <f>IFERROR(__xludf.DUMMYFUNCTION("""COMPUTED_VALUE"""),3000000.0)</f>
        <v>3000000</v>
      </c>
      <c r="AG443" s="99">
        <f>IFERROR(__xludf.DUMMYFUNCTION("""COMPUTED_VALUE"""),3000000.0)</f>
        <v>3000000</v>
      </c>
      <c r="AH443" s="96"/>
      <c r="AI443" s="96">
        <f>IFERROR(__xludf.DUMMYFUNCTION("""COMPUTED_VALUE"""),0.0)</f>
        <v>0</v>
      </c>
      <c r="AJ443" s="96">
        <f>IFERROR(__xludf.DUMMYFUNCTION("""COMPUTED_VALUE"""),0.0)</f>
        <v>0</v>
      </c>
      <c r="AK443" s="96">
        <f>IFERROR(__xludf.DUMMYFUNCTION("""COMPUTED_VALUE"""),0.0)</f>
        <v>0</v>
      </c>
      <c r="AL443" s="129">
        <f>IFERROR(__xludf.DUMMYFUNCTION("""COMPUTED_VALUE"""),0.0)</f>
        <v>0</v>
      </c>
      <c r="AM443" s="99"/>
    </row>
    <row r="444">
      <c r="V444" s="96">
        <f>IFERROR(__xludf.DUMMYFUNCTION("""COMPUTED_VALUE"""),4.0)</f>
        <v>4</v>
      </c>
      <c r="W444" s="98">
        <f>IFERROR(__xludf.DUMMYFUNCTION("""COMPUTED_VALUE"""),44105.0)</f>
        <v>44105</v>
      </c>
      <c r="X444" s="96" t="str">
        <f>IFERROR(__xludf.DUMMYFUNCTION("""COMPUTED_VALUE"""),"UNCLE BIGGIE")</f>
        <v>UNCLE BIGGIE</v>
      </c>
      <c r="Y444" s="96" t="str">
        <f>IFERROR(__xludf.DUMMYFUNCTION("""COMPUTED_VALUE"""),"UNCLE BIGGIE4")</f>
        <v>UNCLE BIGGIE4</v>
      </c>
      <c r="Z444" s="96"/>
      <c r="AA444" s="96"/>
      <c r="AB444" s="96"/>
      <c r="AC444" s="96"/>
      <c r="AD444" s="96"/>
      <c r="AE444" s="96"/>
      <c r="AF444" s="96">
        <f>IFERROR(__xludf.DUMMYFUNCTION("""COMPUTED_VALUE"""),200000.0)</f>
        <v>200000</v>
      </c>
      <c r="AG444" s="99">
        <f>IFERROR(__xludf.DUMMYFUNCTION("""COMPUTED_VALUE"""),200000.0)</f>
        <v>200000</v>
      </c>
      <c r="AH444" s="96"/>
      <c r="AI444" s="96">
        <f>IFERROR(__xludf.DUMMYFUNCTION("""COMPUTED_VALUE"""),0.0)</f>
        <v>0</v>
      </c>
      <c r="AJ444" s="96">
        <f>IFERROR(__xludf.DUMMYFUNCTION("""COMPUTED_VALUE"""),0.0)</f>
        <v>0</v>
      </c>
      <c r="AK444" s="96">
        <f>IFERROR(__xludf.DUMMYFUNCTION("""COMPUTED_VALUE"""),0.0)</f>
        <v>0</v>
      </c>
      <c r="AL444" s="129">
        <f>IFERROR(__xludf.DUMMYFUNCTION("""COMPUTED_VALUE"""),0.0)</f>
        <v>0</v>
      </c>
      <c r="AM444" s="99"/>
    </row>
    <row r="445">
      <c r="V445" s="96">
        <f>IFERROR(__xludf.DUMMYFUNCTION("""COMPUTED_VALUE"""),11.0)</f>
        <v>11</v>
      </c>
      <c r="W445" s="98">
        <f>IFERROR(__xludf.DUMMYFUNCTION("""COMPUTED_VALUE"""),44105.0)</f>
        <v>44105</v>
      </c>
      <c r="X445" s="96" t="str">
        <f>IFERROR(__xludf.DUMMYFUNCTION("""COMPUTED_VALUE"""),"AUGUSTINE IGBA")</f>
        <v>AUGUSTINE IGBA</v>
      </c>
      <c r="Y445" s="96" t="str">
        <f>IFERROR(__xludf.DUMMYFUNCTION("""COMPUTED_VALUE"""),"AUGUSTINE IGBA11")</f>
        <v>AUGUSTINE IGBA11</v>
      </c>
      <c r="Z445" s="96"/>
      <c r="AA445" s="96"/>
      <c r="AB445" s="96"/>
      <c r="AC445" s="96"/>
      <c r="AD445" s="96"/>
      <c r="AE445" s="96"/>
      <c r="AF445" s="96">
        <f>IFERROR(__xludf.DUMMYFUNCTION("""COMPUTED_VALUE"""),10000.0)</f>
        <v>10000</v>
      </c>
      <c r="AG445" s="99">
        <f>IFERROR(__xludf.DUMMYFUNCTION("""COMPUTED_VALUE"""),10000.0)</f>
        <v>10000</v>
      </c>
      <c r="AH445" s="96"/>
      <c r="AI445" s="96">
        <f>IFERROR(__xludf.DUMMYFUNCTION("""COMPUTED_VALUE"""),0.0)</f>
        <v>0</v>
      </c>
      <c r="AJ445" s="96">
        <f>IFERROR(__xludf.DUMMYFUNCTION("""COMPUTED_VALUE"""),0.0)</f>
        <v>0</v>
      </c>
      <c r="AK445" s="96">
        <f>IFERROR(__xludf.DUMMYFUNCTION("""COMPUTED_VALUE"""),0.0)</f>
        <v>0</v>
      </c>
      <c r="AL445" s="129">
        <f>IFERROR(__xludf.DUMMYFUNCTION("""COMPUTED_VALUE"""),0.0)</f>
        <v>0</v>
      </c>
      <c r="AM445" s="99"/>
    </row>
    <row r="446">
      <c r="V446" s="96">
        <f>IFERROR(__xludf.DUMMYFUNCTION("""COMPUTED_VALUE"""),18.0)</f>
        <v>18</v>
      </c>
      <c r="W446" s="98">
        <f>IFERROR(__xludf.DUMMYFUNCTION("""COMPUTED_VALUE"""),44106.0)</f>
        <v>44106</v>
      </c>
      <c r="X446" s="96" t="str">
        <f>IFERROR(__xludf.DUMMYFUNCTION("""COMPUTED_VALUE""")," MAXWELL AGRO")</f>
        <v> MAXWELL AGRO</v>
      </c>
      <c r="Y446" s="96" t="str">
        <f>IFERROR(__xludf.DUMMYFUNCTION("""COMPUTED_VALUE""")," MAXWELL AGRO18")</f>
        <v> MAXWELL AGRO18</v>
      </c>
      <c r="Z446" s="96"/>
      <c r="AA446" s="96"/>
      <c r="AB446" s="96"/>
      <c r="AC446" s="96"/>
      <c r="AD446" s="96"/>
      <c r="AE446" s="96"/>
      <c r="AF446" s="96">
        <f>IFERROR(__xludf.DUMMYFUNCTION("""COMPUTED_VALUE"""),1000000.0)</f>
        <v>1000000</v>
      </c>
      <c r="AG446" s="99">
        <f>IFERROR(__xludf.DUMMYFUNCTION("""COMPUTED_VALUE"""),1000000.0)</f>
        <v>1000000</v>
      </c>
      <c r="AH446" s="96"/>
      <c r="AI446" s="96">
        <f>IFERROR(__xludf.DUMMYFUNCTION("""COMPUTED_VALUE"""),0.0)</f>
        <v>0</v>
      </c>
      <c r="AJ446" s="96">
        <f>IFERROR(__xludf.DUMMYFUNCTION("""COMPUTED_VALUE"""),0.0)</f>
        <v>0</v>
      </c>
      <c r="AK446" s="96">
        <f>IFERROR(__xludf.DUMMYFUNCTION("""COMPUTED_VALUE"""),0.0)</f>
        <v>0</v>
      </c>
      <c r="AL446" s="129">
        <f>IFERROR(__xludf.DUMMYFUNCTION("""COMPUTED_VALUE"""),0.0)</f>
        <v>0</v>
      </c>
      <c r="AM446" s="99"/>
    </row>
    <row r="447">
      <c r="V447" s="96">
        <f>IFERROR(__xludf.DUMMYFUNCTION("""COMPUTED_VALUE"""),17.0)</f>
        <v>17</v>
      </c>
      <c r="W447" s="98">
        <f>IFERROR(__xludf.DUMMYFUNCTION("""COMPUTED_VALUE"""),44106.0)</f>
        <v>44106</v>
      </c>
      <c r="X447" s="96" t="str">
        <f>IFERROR(__xludf.DUMMYFUNCTION("""COMPUTED_VALUE"""),"ETUK EFFI")</f>
        <v>ETUK EFFI</v>
      </c>
      <c r="Y447" s="96" t="str">
        <f>IFERROR(__xludf.DUMMYFUNCTION("""COMPUTED_VALUE"""),"ETUK EFFI17")</f>
        <v>ETUK EFFI17</v>
      </c>
      <c r="Z447" s="96"/>
      <c r="AA447" s="96"/>
      <c r="AB447" s="96"/>
      <c r="AC447" s="96"/>
      <c r="AD447" s="96"/>
      <c r="AE447" s="96"/>
      <c r="AF447" s="96">
        <f>IFERROR(__xludf.DUMMYFUNCTION("""COMPUTED_VALUE"""),1000000.0)</f>
        <v>1000000</v>
      </c>
      <c r="AG447" s="99">
        <f>IFERROR(__xludf.DUMMYFUNCTION("""COMPUTED_VALUE"""),1000000.0)</f>
        <v>1000000</v>
      </c>
      <c r="AH447" s="96"/>
      <c r="AI447" s="96">
        <f>IFERROR(__xludf.DUMMYFUNCTION("""COMPUTED_VALUE"""),0.0)</f>
        <v>0</v>
      </c>
      <c r="AJ447" s="96">
        <f>IFERROR(__xludf.DUMMYFUNCTION("""COMPUTED_VALUE"""),0.0)</f>
        <v>0</v>
      </c>
      <c r="AK447" s="96">
        <f>IFERROR(__xludf.DUMMYFUNCTION("""COMPUTED_VALUE"""),0.0)</f>
        <v>0</v>
      </c>
      <c r="AL447" s="129">
        <f>IFERROR(__xludf.DUMMYFUNCTION("""COMPUTED_VALUE"""),0.0)</f>
        <v>0</v>
      </c>
      <c r="AM447" s="99"/>
    </row>
    <row r="448">
      <c r="V448" s="96">
        <f>IFERROR(__xludf.DUMMYFUNCTION("""COMPUTED_VALUE"""),4.0)</f>
        <v>4</v>
      </c>
      <c r="W448" s="98">
        <f>IFERROR(__xludf.DUMMYFUNCTION("""COMPUTED_VALUE"""),44106.0)</f>
        <v>44106</v>
      </c>
      <c r="X448" s="96" t="str">
        <f>IFERROR(__xludf.DUMMYFUNCTION("""COMPUTED_VALUE"""),"NAOMI")</f>
        <v>NAOMI</v>
      </c>
      <c r="Y448" s="96" t="str">
        <f>IFERROR(__xludf.DUMMYFUNCTION("""COMPUTED_VALUE"""),"NAOMI4")</f>
        <v>NAOMI4</v>
      </c>
      <c r="Z448" s="96"/>
      <c r="AA448" s="96"/>
      <c r="AB448" s="96"/>
      <c r="AC448" s="96"/>
      <c r="AD448" s="96"/>
      <c r="AE448" s="96"/>
      <c r="AF448" s="96">
        <f>IFERROR(__xludf.DUMMYFUNCTION("""COMPUTED_VALUE"""),20000.0)</f>
        <v>20000</v>
      </c>
      <c r="AG448" s="99">
        <f>IFERROR(__xludf.DUMMYFUNCTION("""COMPUTED_VALUE"""),20000.0)</f>
        <v>20000</v>
      </c>
      <c r="AH448" s="96"/>
      <c r="AI448" s="96">
        <f>IFERROR(__xludf.DUMMYFUNCTION("""COMPUTED_VALUE"""),0.0)</f>
        <v>0</v>
      </c>
      <c r="AJ448" s="96">
        <f>IFERROR(__xludf.DUMMYFUNCTION("""COMPUTED_VALUE"""),0.0)</f>
        <v>0</v>
      </c>
      <c r="AK448" s="96">
        <f>IFERROR(__xludf.DUMMYFUNCTION("""COMPUTED_VALUE"""),0.0)</f>
        <v>0</v>
      </c>
      <c r="AL448" s="129">
        <f>IFERROR(__xludf.DUMMYFUNCTION("""COMPUTED_VALUE"""),0.0)</f>
        <v>0</v>
      </c>
      <c r="AM448" s="99"/>
    </row>
    <row r="449">
      <c r="V449" s="96">
        <f>IFERROR(__xludf.DUMMYFUNCTION("""COMPUTED_VALUE"""),2.0)</f>
        <v>2</v>
      </c>
      <c r="W449" s="98">
        <f>IFERROR(__xludf.DUMMYFUNCTION("""COMPUTED_VALUE"""),44106.0)</f>
        <v>44106</v>
      </c>
      <c r="X449" s="96" t="str">
        <f>IFERROR(__xludf.DUMMYFUNCTION("""COMPUTED_VALUE"""),"ABANG. ORU")</f>
        <v>ABANG. ORU</v>
      </c>
      <c r="Y449" s="96" t="str">
        <f>IFERROR(__xludf.DUMMYFUNCTION("""COMPUTED_VALUE"""),"ABANG. ORU2")</f>
        <v>ABANG. ORU2</v>
      </c>
      <c r="Z449" s="96"/>
      <c r="AA449" s="96"/>
      <c r="AB449" s="96"/>
      <c r="AC449" s="96"/>
      <c r="AD449" s="96"/>
      <c r="AE449" s="96"/>
      <c r="AF449" s="96">
        <f>IFERROR(__xludf.DUMMYFUNCTION("""COMPUTED_VALUE"""),20000.0)</f>
        <v>20000</v>
      </c>
      <c r="AG449" s="99">
        <f>IFERROR(__xludf.DUMMYFUNCTION("""COMPUTED_VALUE"""),20000.0)</f>
        <v>20000</v>
      </c>
      <c r="AH449" s="96"/>
      <c r="AI449" s="96">
        <f>IFERROR(__xludf.DUMMYFUNCTION("""COMPUTED_VALUE"""),0.0)</f>
        <v>0</v>
      </c>
      <c r="AJ449" s="96">
        <f>IFERROR(__xludf.DUMMYFUNCTION("""COMPUTED_VALUE"""),0.0)</f>
        <v>0</v>
      </c>
      <c r="AK449" s="96">
        <f>IFERROR(__xludf.DUMMYFUNCTION("""COMPUTED_VALUE"""),0.0)</f>
        <v>0</v>
      </c>
      <c r="AL449" s="129">
        <f>IFERROR(__xludf.DUMMYFUNCTION("""COMPUTED_VALUE"""),0.0)</f>
        <v>0</v>
      </c>
      <c r="AM449" s="99"/>
    </row>
    <row r="450">
      <c r="V450" s="96">
        <f>IFERROR(__xludf.DUMMYFUNCTION("""COMPUTED_VALUE"""),23.0)</f>
        <v>23</v>
      </c>
      <c r="W450" s="98">
        <f>IFERROR(__xludf.DUMMYFUNCTION("""COMPUTED_VALUE"""),44107.0)</f>
        <v>44107</v>
      </c>
      <c r="X450" s="96" t="str">
        <f>IFERROR(__xludf.DUMMYFUNCTION("""COMPUTED_VALUE"""),"CONNECT")</f>
        <v>CONNECT</v>
      </c>
      <c r="Y450" s="96" t="str">
        <f>IFERROR(__xludf.DUMMYFUNCTION("""COMPUTED_VALUE"""),"CONNECT23")</f>
        <v>CONNECT23</v>
      </c>
      <c r="Z450" s="96"/>
      <c r="AA450" s="96"/>
      <c r="AB450" s="96"/>
      <c r="AC450" s="96"/>
      <c r="AD450" s="96"/>
      <c r="AE450" s="96"/>
      <c r="AF450" s="96">
        <f>IFERROR(__xludf.DUMMYFUNCTION("""COMPUTED_VALUE"""),1000000.0)</f>
        <v>1000000</v>
      </c>
      <c r="AG450" s="99">
        <f>IFERROR(__xludf.DUMMYFUNCTION("""COMPUTED_VALUE"""),1000000.0)</f>
        <v>1000000</v>
      </c>
      <c r="AH450" s="96"/>
      <c r="AI450" s="96">
        <f>IFERROR(__xludf.DUMMYFUNCTION("""COMPUTED_VALUE"""),0.0)</f>
        <v>0</v>
      </c>
      <c r="AJ450" s="96">
        <f>IFERROR(__xludf.DUMMYFUNCTION("""COMPUTED_VALUE"""),0.0)</f>
        <v>0</v>
      </c>
      <c r="AK450" s="96">
        <f>IFERROR(__xludf.DUMMYFUNCTION("""COMPUTED_VALUE"""),0.0)</f>
        <v>0</v>
      </c>
      <c r="AL450" s="129">
        <f>IFERROR(__xludf.DUMMYFUNCTION("""COMPUTED_VALUE"""),0.0)</f>
        <v>0</v>
      </c>
      <c r="AM450" s="99"/>
    </row>
    <row r="451">
      <c r="V451" s="96">
        <f>IFERROR(__xludf.DUMMYFUNCTION("""COMPUTED_VALUE"""),28.0)</f>
        <v>28</v>
      </c>
      <c r="W451" s="98">
        <f>IFERROR(__xludf.DUMMYFUNCTION("""COMPUTED_VALUE"""),44107.0)</f>
        <v>44107</v>
      </c>
      <c r="X451" s="96" t="str">
        <f>IFERROR(__xludf.DUMMYFUNCTION("""COMPUTED_VALUE"""),"LYDIA HNSON ")</f>
        <v>LYDIA HNSON </v>
      </c>
      <c r="Y451" s="96" t="str">
        <f>IFERROR(__xludf.DUMMYFUNCTION("""COMPUTED_VALUE"""),"LYDIA HNSON 28")</f>
        <v>LYDIA HNSON 28</v>
      </c>
      <c r="Z451" s="96"/>
      <c r="AA451" s="96"/>
      <c r="AB451" s="96"/>
      <c r="AC451" s="96"/>
      <c r="AD451" s="96"/>
      <c r="AE451" s="96"/>
      <c r="AF451" s="96">
        <f>IFERROR(__xludf.DUMMYFUNCTION("""COMPUTED_VALUE"""),400000.0)</f>
        <v>400000</v>
      </c>
      <c r="AG451" s="99">
        <f>IFERROR(__xludf.DUMMYFUNCTION("""COMPUTED_VALUE"""),400000.0)</f>
        <v>400000</v>
      </c>
      <c r="AH451" s="96"/>
      <c r="AI451" s="96">
        <f>IFERROR(__xludf.DUMMYFUNCTION("""COMPUTED_VALUE"""),0.0)</f>
        <v>0</v>
      </c>
      <c r="AJ451" s="96">
        <f>IFERROR(__xludf.DUMMYFUNCTION("""COMPUTED_VALUE"""),0.0)</f>
        <v>0</v>
      </c>
      <c r="AK451" s="96">
        <f>IFERROR(__xludf.DUMMYFUNCTION("""COMPUTED_VALUE"""),0.0)</f>
        <v>0</v>
      </c>
      <c r="AL451" s="129">
        <f>IFERROR(__xludf.DUMMYFUNCTION("""COMPUTED_VALUE"""),0.0)</f>
        <v>0</v>
      </c>
      <c r="AM451" s="99"/>
    </row>
    <row r="452">
      <c r="V452" s="96">
        <f>IFERROR(__xludf.DUMMYFUNCTION("""COMPUTED_VALUE"""),24.0)</f>
        <v>24</v>
      </c>
      <c r="W452" s="98">
        <f>IFERROR(__xludf.DUMMYFUNCTION("""COMPUTED_VALUE"""),44109.0)</f>
        <v>44109</v>
      </c>
      <c r="X452" s="96" t="str">
        <f>IFERROR(__xludf.DUMMYFUNCTION("""COMPUTED_VALUE"""),"CONNECT")</f>
        <v>CONNECT</v>
      </c>
      <c r="Y452" s="96" t="str">
        <f>IFERROR(__xludf.DUMMYFUNCTION("""COMPUTED_VALUE"""),"CONNECT24")</f>
        <v>CONNECT24</v>
      </c>
      <c r="Z452" s="96">
        <f>IFERROR(__xludf.DUMMYFUNCTION("""COMPUTED_VALUE"""),6468.0)</f>
        <v>6468</v>
      </c>
      <c r="AA452" s="96">
        <f>IFERROR(__xludf.DUMMYFUNCTION("""COMPUTED_VALUE"""),999.5)</f>
        <v>999.5</v>
      </c>
      <c r="AB452" s="96"/>
      <c r="AC452" s="96">
        <f>IFERROR(__xludf.DUMMYFUNCTION("""COMPUTED_VALUE"""),100.0)</f>
        <v>100</v>
      </c>
      <c r="AD452" s="96"/>
      <c r="AE452" s="96">
        <f>IFERROR(__xludf.DUMMYFUNCTION("""COMPUTED_VALUE"""),960.0)</f>
        <v>960</v>
      </c>
      <c r="AF452" s="96"/>
      <c r="AG452" s="99">
        <f>IFERROR(__xludf.DUMMYFUNCTION("""COMPUTED_VALUE"""),-5991360.0)</f>
        <v>-5991360</v>
      </c>
      <c r="AH452" s="96">
        <f>IFERROR(__xludf.DUMMYFUNCTION("""COMPUTED_VALUE"""),10.0)</f>
        <v>10</v>
      </c>
      <c r="AI452" s="96">
        <f>IFERROR(__xludf.DUMMYFUNCTION("""COMPUTED_VALUE"""),127.0)</f>
        <v>127</v>
      </c>
      <c r="AJ452" s="96">
        <f>IFERROR(__xludf.DUMMYFUNCTION("""COMPUTED_VALUE"""),99.0)</f>
        <v>99</v>
      </c>
      <c r="AK452" s="96">
        <f>IFERROR(__xludf.DUMMYFUNCTION("""COMPUTED_VALUE"""),3.0)</f>
        <v>3</v>
      </c>
      <c r="AL452" s="129">
        <f>IFERROR(__xludf.DUMMYFUNCTION("""COMPUTED_VALUE"""),6241.0)</f>
        <v>6241</v>
      </c>
      <c r="AM452" s="99">
        <f>IFERROR(__xludf.DUMMYFUNCTION("""COMPUTED_VALUE"""),5991360.0)</f>
        <v>5991360</v>
      </c>
    </row>
    <row r="453">
      <c r="V453" s="96">
        <f>IFERROR(__xludf.DUMMYFUNCTION("""COMPUTED_VALUE"""),15.0)</f>
        <v>15</v>
      </c>
      <c r="W453" s="98">
        <f>IFERROR(__xludf.DUMMYFUNCTION("""COMPUTED_VALUE"""),44109.0)</f>
        <v>44109</v>
      </c>
      <c r="X453" s="96" t="str">
        <f>IFERROR(__xludf.DUMMYFUNCTION("""COMPUTED_VALUE"""),"ANDRDEW GREAT")</f>
        <v>ANDRDEW GREAT</v>
      </c>
      <c r="Y453" s="96" t="str">
        <f>IFERROR(__xludf.DUMMYFUNCTION("""COMPUTED_VALUE"""),"ANDRDEW GREAT15")</f>
        <v>ANDRDEW GREAT15</v>
      </c>
      <c r="Z453" s="96"/>
      <c r="AA453" s="96"/>
      <c r="AB453" s="96"/>
      <c r="AC453" s="96"/>
      <c r="AD453" s="96"/>
      <c r="AE453" s="96"/>
      <c r="AF453" s="96">
        <f>IFERROR(__xludf.DUMMYFUNCTION("""COMPUTED_VALUE"""),200000.0)</f>
        <v>200000</v>
      </c>
      <c r="AG453" s="99">
        <f>IFERROR(__xludf.DUMMYFUNCTION("""COMPUTED_VALUE"""),200000.0)</f>
        <v>200000</v>
      </c>
      <c r="AH453" s="96"/>
      <c r="AI453" s="96">
        <f>IFERROR(__xludf.DUMMYFUNCTION("""COMPUTED_VALUE"""),0.0)</f>
        <v>0</v>
      </c>
      <c r="AJ453" s="96">
        <f>IFERROR(__xludf.DUMMYFUNCTION("""COMPUTED_VALUE"""),0.0)</f>
        <v>0</v>
      </c>
      <c r="AK453" s="96">
        <f>IFERROR(__xludf.DUMMYFUNCTION("""COMPUTED_VALUE"""),0.0)</f>
        <v>0</v>
      </c>
      <c r="AL453" s="129">
        <f>IFERROR(__xludf.DUMMYFUNCTION("""COMPUTED_VALUE"""),0.0)</f>
        <v>0</v>
      </c>
      <c r="AM453" s="99"/>
    </row>
    <row r="454">
      <c r="V454" s="96">
        <f>IFERROR(__xludf.DUMMYFUNCTION("""COMPUTED_VALUE"""),18.0)</f>
        <v>18</v>
      </c>
      <c r="W454" s="98">
        <f>IFERROR(__xludf.DUMMYFUNCTION("""COMPUTED_VALUE"""),44109.0)</f>
        <v>44109</v>
      </c>
      <c r="X454" s="96" t="str">
        <f>IFERROR(__xludf.DUMMYFUNCTION("""COMPUTED_VALUE"""),"ETUK EFFI")</f>
        <v>ETUK EFFI</v>
      </c>
      <c r="Y454" s="96" t="str">
        <f>IFERROR(__xludf.DUMMYFUNCTION("""COMPUTED_VALUE"""),"ETUK EFFI18")</f>
        <v>ETUK EFFI18</v>
      </c>
      <c r="Z454" s="96"/>
      <c r="AA454" s="96"/>
      <c r="AB454" s="96"/>
      <c r="AC454" s="96"/>
      <c r="AD454" s="96"/>
      <c r="AE454" s="96"/>
      <c r="AF454" s="96">
        <f>IFERROR(__xludf.DUMMYFUNCTION("""COMPUTED_VALUE"""),1000000.0)</f>
        <v>1000000</v>
      </c>
      <c r="AG454" s="99">
        <f>IFERROR(__xludf.DUMMYFUNCTION("""COMPUTED_VALUE"""),1000000.0)</f>
        <v>1000000</v>
      </c>
      <c r="AH454" s="96"/>
      <c r="AI454" s="96">
        <f>IFERROR(__xludf.DUMMYFUNCTION("""COMPUTED_VALUE"""),0.0)</f>
        <v>0</v>
      </c>
      <c r="AJ454" s="96">
        <f>IFERROR(__xludf.DUMMYFUNCTION("""COMPUTED_VALUE"""),0.0)</f>
        <v>0</v>
      </c>
      <c r="AK454" s="96">
        <f>IFERROR(__xludf.DUMMYFUNCTION("""COMPUTED_VALUE"""),0.0)</f>
        <v>0</v>
      </c>
      <c r="AL454" s="129">
        <f>IFERROR(__xludf.DUMMYFUNCTION("""COMPUTED_VALUE"""),0.0)</f>
        <v>0</v>
      </c>
      <c r="AM454" s="99"/>
    </row>
    <row r="455">
      <c r="V455" s="96">
        <f>IFERROR(__xludf.DUMMYFUNCTION("""COMPUTED_VALUE"""),1.0)</f>
        <v>1</v>
      </c>
      <c r="W455" s="98">
        <f>IFERROR(__xludf.DUMMYFUNCTION("""COMPUTED_VALUE"""),44109.0)</f>
        <v>44109</v>
      </c>
      <c r="X455" s="96" t="str">
        <f>IFERROR(__xludf.DUMMYFUNCTION("""COMPUTED_VALUE"""),"GIFT GABRIEL")</f>
        <v>GIFT GABRIEL</v>
      </c>
      <c r="Y455" s="96" t="str">
        <f>IFERROR(__xludf.DUMMYFUNCTION("""COMPUTED_VALUE"""),"GIFT GABRIEL1")</f>
        <v>GIFT GABRIEL1</v>
      </c>
      <c r="Z455" s="96"/>
      <c r="AA455" s="96"/>
      <c r="AB455" s="96"/>
      <c r="AC455" s="96"/>
      <c r="AD455" s="96"/>
      <c r="AE455" s="96"/>
      <c r="AF455" s="96">
        <f>IFERROR(__xludf.DUMMYFUNCTION("""COMPUTED_VALUE"""),1000000.0)</f>
        <v>1000000</v>
      </c>
      <c r="AG455" s="99">
        <f>IFERROR(__xludf.DUMMYFUNCTION("""COMPUTED_VALUE"""),1000000.0)</f>
        <v>1000000</v>
      </c>
      <c r="AH455" s="96"/>
      <c r="AI455" s="96">
        <f>IFERROR(__xludf.DUMMYFUNCTION("""COMPUTED_VALUE"""),0.0)</f>
        <v>0</v>
      </c>
      <c r="AJ455" s="96">
        <f>IFERROR(__xludf.DUMMYFUNCTION("""COMPUTED_VALUE"""),0.0)</f>
        <v>0</v>
      </c>
      <c r="AK455" s="96">
        <f>IFERROR(__xludf.DUMMYFUNCTION("""COMPUTED_VALUE"""),0.0)</f>
        <v>0</v>
      </c>
      <c r="AL455" s="129">
        <f>IFERROR(__xludf.DUMMYFUNCTION("""COMPUTED_VALUE"""),0.0)</f>
        <v>0</v>
      </c>
      <c r="AM455" s="99"/>
    </row>
    <row r="456">
      <c r="V456" s="96">
        <f>IFERROR(__xludf.DUMMYFUNCTION("""COMPUTED_VALUE"""),19.0)</f>
        <v>19</v>
      </c>
      <c r="W456" s="98">
        <f>IFERROR(__xludf.DUMMYFUNCTION("""COMPUTED_VALUE"""),44109.0)</f>
        <v>44109</v>
      </c>
      <c r="X456" s="96" t="str">
        <f>IFERROR(__xludf.DUMMYFUNCTION("""COMPUTED_VALUE""")," MAXWELL AGRO")</f>
        <v> MAXWELL AGRO</v>
      </c>
      <c r="Y456" s="96" t="str">
        <f>IFERROR(__xludf.DUMMYFUNCTION("""COMPUTED_VALUE""")," MAXWELL AGRO19")</f>
        <v> MAXWELL AGRO19</v>
      </c>
      <c r="Z456" s="96"/>
      <c r="AA456" s="96"/>
      <c r="AB456" s="96"/>
      <c r="AC456" s="96"/>
      <c r="AD456" s="96"/>
      <c r="AE456" s="96"/>
      <c r="AF456" s="96">
        <f>IFERROR(__xludf.DUMMYFUNCTION("""COMPUTED_VALUE"""),900000.0)</f>
        <v>900000</v>
      </c>
      <c r="AG456" s="99">
        <f>IFERROR(__xludf.DUMMYFUNCTION("""COMPUTED_VALUE"""),900000.0)</f>
        <v>900000</v>
      </c>
      <c r="AH456" s="96"/>
      <c r="AI456" s="96">
        <f>IFERROR(__xludf.DUMMYFUNCTION("""COMPUTED_VALUE"""),0.0)</f>
        <v>0</v>
      </c>
      <c r="AJ456" s="96">
        <f>IFERROR(__xludf.DUMMYFUNCTION("""COMPUTED_VALUE"""),0.0)</f>
        <v>0</v>
      </c>
      <c r="AK456" s="96">
        <f>IFERROR(__xludf.DUMMYFUNCTION("""COMPUTED_VALUE"""),0.0)</f>
        <v>0</v>
      </c>
      <c r="AL456" s="129">
        <f>IFERROR(__xludf.DUMMYFUNCTION("""COMPUTED_VALUE"""),0.0)</f>
        <v>0</v>
      </c>
      <c r="AM456" s="99"/>
    </row>
    <row r="457">
      <c r="V457" s="96">
        <f>IFERROR(__xludf.DUMMYFUNCTION("""COMPUTED_VALUE"""),5.0)</f>
        <v>5</v>
      </c>
      <c r="W457" s="98">
        <f>IFERROR(__xludf.DUMMYFUNCTION("""COMPUTED_VALUE"""),44109.0)</f>
        <v>44109</v>
      </c>
      <c r="X457" s="96" t="str">
        <f>IFERROR(__xludf.DUMMYFUNCTION("""COMPUTED_VALUE"""),"OSIM MARIAM")</f>
        <v>OSIM MARIAM</v>
      </c>
      <c r="Y457" s="96" t="str">
        <f>IFERROR(__xludf.DUMMYFUNCTION("""COMPUTED_VALUE"""),"OSIM MARIAM5")</f>
        <v>OSIM MARIAM5</v>
      </c>
      <c r="Z457" s="96"/>
      <c r="AA457" s="96"/>
      <c r="AB457" s="96"/>
      <c r="AC457" s="96"/>
      <c r="AD457" s="96"/>
      <c r="AE457" s="96"/>
      <c r="AF457" s="96">
        <f>IFERROR(__xludf.DUMMYFUNCTION("""COMPUTED_VALUE"""),50000.0)</f>
        <v>50000</v>
      </c>
      <c r="AG457" s="99">
        <f>IFERROR(__xludf.DUMMYFUNCTION("""COMPUTED_VALUE"""),50000.0)</f>
        <v>50000</v>
      </c>
      <c r="AH457" s="96"/>
      <c r="AI457" s="96">
        <f>IFERROR(__xludf.DUMMYFUNCTION("""COMPUTED_VALUE"""),0.0)</f>
        <v>0</v>
      </c>
      <c r="AJ457" s="96">
        <f>IFERROR(__xludf.DUMMYFUNCTION("""COMPUTED_VALUE"""),0.0)</f>
        <v>0</v>
      </c>
      <c r="AK457" s="96">
        <f>IFERROR(__xludf.DUMMYFUNCTION("""COMPUTED_VALUE"""),0.0)</f>
        <v>0</v>
      </c>
      <c r="AL457" s="129">
        <f>IFERROR(__xludf.DUMMYFUNCTION("""COMPUTED_VALUE"""),0.0)</f>
        <v>0</v>
      </c>
      <c r="AM457" s="99"/>
    </row>
    <row r="458">
      <c r="V458" s="96">
        <f>IFERROR(__xludf.DUMMYFUNCTION("""COMPUTED_VALUE"""),16.0)</f>
        <v>16</v>
      </c>
      <c r="W458" s="98">
        <f>IFERROR(__xludf.DUMMYFUNCTION("""COMPUTED_VALUE"""),44112.0)</f>
        <v>44112</v>
      </c>
      <c r="X458" s="96" t="str">
        <f>IFERROR(__xludf.DUMMYFUNCTION("""COMPUTED_VALUE"""),"NDOMA BODE I.D")</f>
        <v>NDOMA BODE I.D</v>
      </c>
      <c r="Y458" s="96" t="str">
        <f>IFERROR(__xludf.DUMMYFUNCTION("""COMPUTED_VALUE"""),"NDOMA BODE I.D16")</f>
        <v>NDOMA BODE I.D16</v>
      </c>
      <c r="Z458" s="96">
        <f>IFERROR(__xludf.DUMMYFUNCTION("""COMPUTED_VALUE"""),1583.0)</f>
        <v>1583</v>
      </c>
      <c r="AA458" s="96">
        <f>IFERROR(__xludf.DUMMYFUNCTION("""COMPUTED_VALUE"""),200.0)</f>
        <v>200</v>
      </c>
      <c r="AB458" s="96"/>
      <c r="AC458" s="96">
        <f>IFERROR(__xludf.DUMMYFUNCTION("""COMPUTED_VALUE"""),25.0)</f>
        <v>25</v>
      </c>
      <c r="AD458" s="96">
        <f>IFERROR(__xludf.DUMMYFUNCTION("""COMPUTED_VALUE"""),0.0)</f>
        <v>0</v>
      </c>
      <c r="AE458" s="96">
        <f>IFERROR(__xludf.DUMMYFUNCTION("""COMPUTED_VALUE"""),950.0)</f>
        <v>950</v>
      </c>
      <c r="AF458" s="96"/>
      <c r="AG458" s="99">
        <f>IFERROR(__xludf.DUMMYFUNCTION("""COMPUTED_VALUE"""),-1480100.0)</f>
        <v>-1480100</v>
      </c>
      <c r="AH458" s="96">
        <f>IFERROR(__xludf.DUMMYFUNCTION("""COMPUTED_VALUE"""),8.0)</f>
        <v>8</v>
      </c>
      <c r="AI458" s="96">
        <f>IFERROR(__xludf.DUMMYFUNCTION("""COMPUTED_VALUE"""),0.0)</f>
        <v>0</v>
      </c>
      <c r="AJ458" s="96">
        <f>IFERROR(__xludf.DUMMYFUNCTION("""COMPUTED_VALUE"""),24.0)</f>
        <v>24</v>
      </c>
      <c r="AK458" s="96">
        <f>IFERROR(__xludf.DUMMYFUNCTION("""COMPUTED_VALUE"""),46.0)</f>
        <v>46</v>
      </c>
      <c r="AL458" s="129">
        <f>IFERROR(__xludf.DUMMYFUNCTION("""COMPUTED_VALUE"""),1558.0)</f>
        <v>1558</v>
      </c>
      <c r="AM458" s="99">
        <f>IFERROR(__xludf.DUMMYFUNCTION("""COMPUTED_VALUE"""),1480100.0)</f>
        <v>1480100</v>
      </c>
    </row>
    <row r="459">
      <c r="V459" s="96">
        <f>IFERROR(__xludf.DUMMYFUNCTION("""COMPUTED_VALUE"""),3.0)</f>
        <v>3</v>
      </c>
      <c r="W459" s="98">
        <f>IFERROR(__xludf.DUMMYFUNCTION("""COMPUTED_VALUE"""),44112.0)</f>
        <v>44112</v>
      </c>
      <c r="X459" s="96" t="str">
        <f>IFERROR(__xludf.DUMMYFUNCTION("""COMPUTED_VALUE"""),"ABANG. ORU")</f>
        <v>ABANG. ORU</v>
      </c>
      <c r="Y459" s="96" t="str">
        <f>IFERROR(__xludf.DUMMYFUNCTION("""COMPUTED_VALUE"""),"ABANG. ORU3")</f>
        <v>ABANG. ORU3</v>
      </c>
      <c r="Z459" s="96">
        <f>IFERROR(__xludf.DUMMYFUNCTION("""COMPUTED_VALUE"""),74.0)</f>
        <v>74</v>
      </c>
      <c r="AA459" s="96">
        <f>IFERROR(__xludf.DUMMYFUNCTION("""COMPUTED_VALUE"""),11.5)</f>
        <v>11.5</v>
      </c>
      <c r="AB459" s="96"/>
      <c r="AC459" s="96">
        <f>IFERROR(__xludf.DUMMYFUNCTION("""COMPUTED_VALUE"""),1.0)</f>
        <v>1</v>
      </c>
      <c r="AD459" s="96"/>
      <c r="AE459" s="96">
        <f>IFERROR(__xludf.DUMMYFUNCTION("""COMPUTED_VALUE"""),950.0)</f>
        <v>950</v>
      </c>
      <c r="AF459" s="96"/>
      <c r="AG459" s="99">
        <f>IFERROR(__xludf.DUMMYFUNCTION("""COMPUTED_VALUE"""),-66500.0)</f>
        <v>-66500</v>
      </c>
      <c r="AH459" s="96">
        <f>IFERROR(__xludf.DUMMYFUNCTION("""COMPUTED_VALUE"""),11.5)</f>
        <v>11.5</v>
      </c>
      <c r="AI459" s="96">
        <f>IFERROR(__xludf.DUMMYFUNCTION("""COMPUTED_VALUE"""),3.0)</f>
        <v>3</v>
      </c>
      <c r="AJ459" s="96">
        <f>IFERROR(__xludf.DUMMYFUNCTION("""COMPUTED_VALUE"""),1.0)</f>
        <v>1</v>
      </c>
      <c r="AK459" s="96">
        <f>IFERROR(__xludf.DUMMYFUNCTION("""COMPUTED_VALUE"""),7.0)</f>
        <v>7</v>
      </c>
      <c r="AL459" s="129">
        <f>IFERROR(__xludf.DUMMYFUNCTION("""COMPUTED_VALUE"""),70.0)</f>
        <v>70</v>
      </c>
      <c r="AM459" s="99">
        <f>IFERROR(__xludf.DUMMYFUNCTION("""COMPUTED_VALUE"""),66500.0)</f>
        <v>66500</v>
      </c>
    </row>
    <row r="460">
      <c r="V460" s="96">
        <f>IFERROR(__xludf.DUMMYFUNCTION("""COMPUTED_VALUE"""),1.0)</f>
        <v>1</v>
      </c>
      <c r="W460" s="98">
        <f>IFERROR(__xludf.DUMMYFUNCTION("""COMPUTED_VALUE"""),44100.0)</f>
        <v>44100</v>
      </c>
      <c r="X460" s="96" t="str">
        <f>IFERROR(__xludf.DUMMYFUNCTION("""COMPUTED_VALUE"""),"BLESSING CHAPMAN")</f>
        <v>BLESSING CHAPMAN</v>
      </c>
      <c r="Y460" s="96" t="str">
        <f>IFERROR(__xludf.DUMMYFUNCTION("""COMPUTED_VALUE"""),"BLESSING CHAPMAN1")</f>
        <v>BLESSING CHAPMAN1</v>
      </c>
      <c r="Z460" s="96"/>
      <c r="AA460" s="96"/>
      <c r="AB460" s="96"/>
      <c r="AC460" s="96"/>
      <c r="AD460" s="96"/>
      <c r="AE460" s="96"/>
      <c r="AF460" s="96">
        <f>IFERROR(__xludf.DUMMYFUNCTION("""COMPUTED_VALUE"""),-1040700.0)</f>
        <v>-1040700</v>
      </c>
      <c r="AG460" s="99">
        <f>IFERROR(__xludf.DUMMYFUNCTION("""COMPUTED_VALUE"""),-1040700.0)</f>
        <v>-1040700</v>
      </c>
      <c r="AH460" s="96"/>
      <c r="AI460" s="96">
        <f>IFERROR(__xludf.DUMMYFUNCTION("""COMPUTED_VALUE"""),0.0)</f>
        <v>0</v>
      </c>
      <c r="AJ460" s="96">
        <f>IFERROR(__xludf.DUMMYFUNCTION("""COMPUTED_VALUE"""),0.0)</f>
        <v>0</v>
      </c>
      <c r="AK460" s="96">
        <f>IFERROR(__xludf.DUMMYFUNCTION("""COMPUTED_VALUE"""),0.0)</f>
        <v>0</v>
      </c>
      <c r="AL460" s="129">
        <f>IFERROR(__xludf.DUMMYFUNCTION("""COMPUTED_VALUE"""),0.0)</f>
        <v>0</v>
      </c>
      <c r="AM460" s="99"/>
    </row>
    <row r="461">
      <c r="V461" s="96">
        <f>IFERROR(__xludf.DUMMYFUNCTION("""COMPUTED_VALUE"""),13.0)</f>
        <v>13</v>
      </c>
      <c r="W461" s="98">
        <f>IFERROR(__xludf.DUMMYFUNCTION("""COMPUTED_VALUE"""),44110.0)</f>
        <v>44110</v>
      </c>
      <c r="X461" s="96" t="str">
        <f>IFERROR(__xludf.DUMMYFUNCTION("""COMPUTED_VALUE"""),"OTU KOKO KEIBO")</f>
        <v>OTU KOKO KEIBO</v>
      </c>
      <c r="Y461" s="96" t="str">
        <f>IFERROR(__xludf.DUMMYFUNCTION("""COMPUTED_VALUE"""),"OTU KOKO KEIBO13")</f>
        <v>OTU KOKO KEIBO13</v>
      </c>
      <c r="Z461" s="96"/>
      <c r="AA461" s="96"/>
      <c r="AB461" s="96"/>
      <c r="AC461" s="96"/>
      <c r="AD461" s="96"/>
      <c r="AE461" s="96"/>
      <c r="AF461" s="96">
        <f>IFERROR(__xludf.DUMMYFUNCTION("""COMPUTED_VALUE"""),112000.0)</f>
        <v>112000</v>
      </c>
      <c r="AG461" s="99">
        <f>IFERROR(__xludf.DUMMYFUNCTION("""COMPUTED_VALUE"""),112000.0)</f>
        <v>112000</v>
      </c>
      <c r="AH461" s="96"/>
      <c r="AI461" s="96">
        <f>IFERROR(__xludf.DUMMYFUNCTION("""COMPUTED_VALUE"""),0.0)</f>
        <v>0</v>
      </c>
      <c r="AJ461" s="96">
        <f>IFERROR(__xludf.DUMMYFUNCTION("""COMPUTED_VALUE"""),0.0)</f>
        <v>0</v>
      </c>
      <c r="AK461" s="96">
        <f>IFERROR(__xludf.DUMMYFUNCTION("""COMPUTED_VALUE"""),0.0)</f>
        <v>0</v>
      </c>
      <c r="AL461" s="129">
        <f>IFERROR(__xludf.DUMMYFUNCTION("""COMPUTED_VALUE"""),0.0)</f>
        <v>0</v>
      </c>
      <c r="AM461" s="99"/>
    </row>
    <row r="462">
      <c r="V462" s="96">
        <f>IFERROR(__xludf.DUMMYFUNCTION("""COMPUTED_VALUE"""),9.0)</f>
        <v>9</v>
      </c>
      <c r="W462" s="98">
        <f>IFERROR(__xludf.DUMMYFUNCTION("""COMPUTED_VALUE"""),44110.0)</f>
        <v>44110</v>
      </c>
      <c r="X462" s="96" t="str">
        <f>IFERROR(__xludf.DUMMYFUNCTION("""COMPUTED_VALUE"""),"NDOMA PETER")</f>
        <v>NDOMA PETER</v>
      </c>
      <c r="Y462" s="96" t="str">
        <f>IFERROR(__xludf.DUMMYFUNCTION("""COMPUTED_VALUE"""),"NDOMA PETER9")</f>
        <v>NDOMA PETER9</v>
      </c>
      <c r="Z462" s="96"/>
      <c r="AA462" s="96"/>
      <c r="AB462" s="96"/>
      <c r="AC462" s="96"/>
      <c r="AD462" s="96"/>
      <c r="AE462" s="96"/>
      <c r="AF462" s="96">
        <f>IFERROR(__xludf.DUMMYFUNCTION("""COMPUTED_VALUE"""),500000.0)</f>
        <v>500000</v>
      </c>
      <c r="AG462" s="99">
        <f>IFERROR(__xludf.DUMMYFUNCTION("""COMPUTED_VALUE"""),500000.0)</f>
        <v>500000</v>
      </c>
      <c r="AH462" s="96"/>
      <c r="AI462" s="96">
        <f>IFERROR(__xludf.DUMMYFUNCTION("""COMPUTED_VALUE"""),0.0)</f>
        <v>0</v>
      </c>
      <c r="AJ462" s="96">
        <f>IFERROR(__xludf.DUMMYFUNCTION("""COMPUTED_VALUE"""),0.0)</f>
        <v>0</v>
      </c>
      <c r="AK462" s="96">
        <f>IFERROR(__xludf.DUMMYFUNCTION("""COMPUTED_VALUE"""),0.0)</f>
        <v>0</v>
      </c>
      <c r="AL462" s="129">
        <f>IFERROR(__xludf.DUMMYFUNCTION("""COMPUTED_VALUE"""),0.0)</f>
        <v>0</v>
      </c>
      <c r="AM462" s="99"/>
    </row>
    <row r="463">
      <c r="V463" s="96">
        <f>IFERROR(__xludf.DUMMYFUNCTION("""COMPUTED_VALUE"""),17.0)</f>
        <v>17</v>
      </c>
      <c r="W463" s="98">
        <f>IFERROR(__xludf.DUMMYFUNCTION("""COMPUTED_VALUE"""),44110.0)</f>
        <v>44110</v>
      </c>
      <c r="X463" s="96" t="str">
        <f>IFERROR(__xludf.DUMMYFUNCTION("""COMPUTED_VALUE"""),"NDOMA BODE I.D")</f>
        <v>NDOMA BODE I.D</v>
      </c>
      <c r="Y463" s="96" t="str">
        <f>IFERROR(__xludf.DUMMYFUNCTION("""COMPUTED_VALUE"""),"NDOMA BODE I.D17")</f>
        <v>NDOMA BODE I.D17</v>
      </c>
      <c r="Z463" s="96"/>
      <c r="AA463" s="96"/>
      <c r="AB463" s="96"/>
      <c r="AC463" s="96"/>
      <c r="AD463" s="96"/>
      <c r="AE463" s="96"/>
      <c r="AF463" s="96">
        <f>IFERROR(__xludf.DUMMYFUNCTION("""COMPUTED_VALUE"""),780000.0)</f>
        <v>780000</v>
      </c>
      <c r="AG463" s="99">
        <f>IFERROR(__xludf.DUMMYFUNCTION("""COMPUTED_VALUE"""),780000.0)</f>
        <v>780000</v>
      </c>
      <c r="AH463" s="96"/>
      <c r="AI463" s="96">
        <f>IFERROR(__xludf.DUMMYFUNCTION("""COMPUTED_VALUE"""),0.0)</f>
        <v>0</v>
      </c>
      <c r="AJ463" s="96">
        <f>IFERROR(__xludf.DUMMYFUNCTION("""COMPUTED_VALUE"""),0.0)</f>
        <v>0</v>
      </c>
      <c r="AK463" s="96">
        <f>IFERROR(__xludf.DUMMYFUNCTION("""COMPUTED_VALUE"""),0.0)</f>
        <v>0</v>
      </c>
      <c r="AL463" s="129">
        <f>IFERROR(__xludf.DUMMYFUNCTION("""COMPUTED_VALUE"""),0.0)</f>
        <v>0</v>
      </c>
      <c r="AM463" s="99"/>
    </row>
    <row r="464">
      <c r="V464" s="96">
        <f>IFERROR(__xludf.DUMMYFUNCTION("""COMPUTED_VALUE"""),10.0)</f>
        <v>10</v>
      </c>
      <c r="W464" s="98">
        <f>IFERROR(__xludf.DUMMYFUNCTION("""COMPUTED_VALUE"""),44110.0)</f>
        <v>44110</v>
      </c>
      <c r="X464" s="96" t="str">
        <f>IFERROR(__xludf.DUMMYFUNCTION("""COMPUTED_VALUE"""),"EMMANUEL OKO ")</f>
        <v>EMMANUEL OKO </v>
      </c>
      <c r="Y464" s="96" t="str">
        <f>IFERROR(__xludf.DUMMYFUNCTION("""COMPUTED_VALUE"""),"EMMANUEL OKO 10")</f>
        <v>EMMANUEL OKO 10</v>
      </c>
      <c r="Z464" s="96"/>
      <c r="AA464" s="96"/>
      <c r="AB464" s="96"/>
      <c r="AC464" s="96"/>
      <c r="AD464" s="96"/>
      <c r="AE464" s="96"/>
      <c r="AF464" s="96">
        <f>IFERROR(__xludf.DUMMYFUNCTION("""COMPUTED_VALUE"""),500000.0)</f>
        <v>500000</v>
      </c>
      <c r="AG464" s="99">
        <f>IFERROR(__xludf.DUMMYFUNCTION("""COMPUTED_VALUE"""),500000.0)</f>
        <v>500000</v>
      </c>
      <c r="AH464" s="96"/>
      <c r="AI464" s="96">
        <f>IFERROR(__xludf.DUMMYFUNCTION("""COMPUTED_VALUE"""),0.0)</f>
        <v>0</v>
      </c>
      <c r="AJ464" s="96">
        <f>IFERROR(__xludf.DUMMYFUNCTION("""COMPUTED_VALUE"""),0.0)</f>
        <v>0</v>
      </c>
      <c r="AK464" s="96">
        <f>IFERROR(__xludf.DUMMYFUNCTION("""COMPUTED_VALUE"""),0.0)</f>
        <v>0</v>
      </c>
      <c r="AL464" s="129">
        <f>IFERROR(__xludf.DUMMYFUNCTION("""COMPUTED_VALUE"""),0.0)</f>
        <v>0</v>
      </c>
      <c r="AM464" s="99"/>
    </row>
    <row r="465">
      <c r="V465" s="96">
        <f>IFERROR(__xludf.DUMMYFUNCTION("""COMPUTED_VALUE"""),12.0)</f>
        <v>12</v>
      </c>
      <c r="W465" s="98">
        <f>IFERROR(__xludf.DUMMYFUNCTION("""COMPUTED_VALUE"""),44110.0)</f>
        <v>44110</v>
      </c>
      <c r="X465" s="96" t="str">
        <f>IFERROR(__xludf.DUMMYFUNCTION("""COMPUTED_VALUE"""),"A. D. FREDERICK")</f>
        <v>A. D. FREDERICK</v>
      </c>
      <c r="Y465" s="96" t="str">
        <f>IFERROR(__xludf.DUMMYFUNCTION("""COMPUTED_VALUE"""),"A. D. FREDERICK12")</f>
        <v>A. D. FREDERICK12</v>
      </c>
      <c r="Z465" s="96"/>
      <c r="AA465" s="96"/>
      <c r="AB465" s="96"/>
      <c r="AC465" s="96"/>
      <c r="AD465" s="96"/>
      <c r="AE465" s="96"/>
      <c r="AF465" s="96">
        <f>IFERROR(__xludf.DUMMYFUNCTION("""COMPUTED_VALUE"""),500000.0)</f>
        <v>500000</v>
      </c>
      <c r="AG465" s="99">
        <f>IFERROR(__xludf.DUMMYFUNCTION("""COMPUTED_VALUE"""),500000.0)</f>
        <v>500000</v>
      </c>
      <c r="AH465" s="96"/>
      <c r="AI465" s="96">
        <f>IFERROR(__xludf.DUMMYFUNCTION("""COMPUTED_VALUE"""),0.0)</f>
        <v>0</v>
      </c>
      <c r="AJ465" s="96">
        <f>IFERROR(__xludf.DUMMYFUNCTION("""COMPUTED_VALUE"""),0.0)</f>
        <v>0</v>
      </c>
      <c r="AK465" s="96">
        <f>IFERROR(__xludf.DUMMYFUNCTION("""COMPUTED_VALUE"""),0.0)</f>
        <v>0</v>
      </c>
      <c r="AL465" s="129">
        <f>IFERROR(__xludf.DUMMYFUNCTION("""COMPUTED_VALUE"""),0.0)</f>
        <v>0</v>
      </c>
      <c r="AM465" s="99"/>
    </row>
    <row r="466">
      <c r="V466" s="96">
        <f>IFERROR(__xludf.DUMMYFUNCTION("""COMPUTED_VALUE"""),10.0)</f>
        <v>10</v>
      </c>
      <c r="W466" s="98">
        <f>IFERROR(__xludf.DUMMYFUNCTION("""COMPUTED_VALUE"""),44110.0)</f>
        <v>44110</v>
      </c>
      <c r="X466" s="96" t="str">
        <f>IFERROR(__xludf.DUMMYFUNCTION("""COMPUTED_VALUE"""),"REMMY BODES")</f>
        <v>REMMY BODES</v>
      </c>
      <c r="Y466" s="96" t="str">
        <f>IFERROR(__xludf.DUMMYFUNCTION("""COMPUTED_VALUE"""),"REMMY BODES10")</f>
        <v>REMMY BODES10</v>
      </c>
      <c r="Z466" s="96"/>
      <c r="AA466" s="96"/>
      <c r="AB466" s="96"/>
      <c r="AC466" s="96"/>
      <c r="AD466" s="96"/>
      <c r="AE466" s="96"/>
      <c r="AF466" s="96">
        <f>IFERROR(__xludf.DUMMYFUNCTION("""COMPUTED_VALUE"""),400000.0)</f>
        <v>400000</v>
      </c>
      <c r="AG466" s="99">
        <f>IFERROR(__xludf.DUMMYFUNCTION("""COMPUTED_VALUE"""),400000.0)</f>
        <v>400000</v>
      </c>
      <c r="AH466" s="96"/>
      <c r="AI466" s="96">
        <f>IFERROR(__xludf.DUMMYFUNCTION("""COMPUTED_VALUE"""),0.0)</f>
        <v>0</v>
      </c>
      <c r="AJ466" s="96">
        <f>IFERROR(__xludf.DUMMYFUNCTION("""COMPUTED_VALUE"""),0.0)</f>
        <v>0</v>
      </c>
      <c r="AK466" s="96">
        <f>IFERROR(__xludf.DUMMYFUNCTION("""COMPUTED_VALUE"""),0.0)</f>
        <v>0</v>
      </c>
      <c r="AL466" s="129">
        <f>IFERROR(__xludf.DUMMYFUNCTION("""COMPUTED_VALUE"""),0.0)</f>
        <v>0</v>
      </c>
      <c r="AM466" s="99"/>
    </row>
    <row r="467">
      <c r="V467" s="96">
        <f>IFERROR(__xludf.DUMMYFUNCTION("""COMPUTED_VALUE"""),1.0)</f>
        <v>1</v>
      </c>
      <c r="W467" s="98">
        <f>IFERROR(__xludf.DUMMYFUNCTION("""COMPUTED_VALUE"""),44110.0)</f>
        <v>44110</v>
      </c>
      <c r="X467" s="96" t="str">
        <f>IFERROR(__xludf.DUMMYFUNCTION("""COMPUTED_VALUE"""),"NELSON &amp; PALUS")</f>
        <v>NELSON &amp; PALUS</v>
      </c>
      <c r="Y467" s="96" t="str">
        <f>IFERROR(__xludf.DUMMYFUNCTION("""COMPUTED_VALUE"""),"NELSON &amp; PALUS1")</f>
        <v>NELSON &amp; PALUS1</v>
      </c>
      <c r="Z467" s="96"/>
      <c r="AA467" s="96"/>
      <c r="AB467" s="96"/>
      <c r="AC467" s="96"/>
      <c r="AD467" s="96"/>
      <c r="AE467" s="96"/>
      <c r="AF467" s="96">
        <f>IFERROR(__xludf.DUMMYFUNCTION("""COMPUTED_VALUE"""),23000.0)</f>
        <v>23000</v>
      </c>
      <c r="AG467" s="99">
        <f>IFERROR(__xludf.DUMMYFUNCTION("""COMPUTED_VALUE"""),23000.0)</f>
        <v>23000</v>
      </c>
      <c r="AH467" s="96"/>
      <c r="AI467" s="96">
        <f>IFERROR(__xludf.DUMMYFUNCTION("""COMPUTED_VALUE"""),0.0)</f>
        <v>0</v>
      </c>
      <c r="AJ467" s="96">
        <f>IFERROR(__xludf.DUMMYFUNCTION("""COMPUTED_VALUE"""),0.0)</f>
        <v>0</v>
      </c>
      <c r="AK467" s="96">
        <f>IFERROR(__xludf.DUMMYFUNCTION("""COMPUTED_VALUE"""),0.0)</f>
        <v>0</v>
      </c>
      <c r="AL467" s="129">
        <f>IFERROR(__xludf.DUMMYFUNCTION("""COMPUTED_VALUE"""),0.0)</f>
        <v>0</v>
      </c>
      <c r="AM467" s="99"/>
    </row>
    <row r="468">
      <c r="V468" s="96">
        <f>IFERROR(__xludf.DUMMYFUNCTION("""COMPUTED_VALUE"""),14.0)</f>
        <v>14</v>
      </c>
      <c r="W468" s="98">
        <f>IFERROR(__xludf.DUMMYFUNCTION("""COMPUTED_VALUE"""),44111.0)</f>
        <v>44111</v>
      </c>
      <c r="X468" s="96" t="str">
        <f>IFERROR(__xludf.DUMMYFUNCTION("""COMPUTED_VALUE"""),"OTU KOKO KEIBO")</f>
        <v>OTU KOKO KEIBO</v>
      </c>
      <c r="Y468" s="96" t="str">
        <f>IFERROR(__xludf.DUMMYFUNCTION("""COMPUTED_VALUE"""),"OTU KOKO KEIBO14")</f>
        <v>OTU KOKO KEIBO14</v>
      </c>
      <c r="Z468" s="96"/>
      <c r="AA468" s="96"/>
      <c r="AB468" s="96"/>
      <c r="AC468" s="96"/>
      <c r="AD468" s="96"/>
      <c r="AE468" s="96"/>
      <c r="AF468" s="96">
        <f>IFERROR(__xludf.DUMMYFUNCTION("""COMPUTED_VALUE"""),50000.0)</f>
        <v>50000</v>
      </c>
      <c r="AG468" s="99">
        <f>IFERROR(__xludf.DUMMYFUNCTION("""COMPUTED_VALUE"""),50000.0)</f>
        <v>50000</v>
      </c>
      <c r="AH468" s="96"/>
      <c r="AI468" s="96">
        <f>IFERROR(__xludf.DUMMYFUNCTION("""COMPUTED_VALUE"""),0.0)</f>
        <v>0</v>
      </c>
      <c r="AJ468" s="96">
        <f>IFERROR(__xludf.DUMMYFUNCTION("""COMPUTED_VALUE"""),0.0)</f>
        <v>0</v>
      </c>
      <c r="AK468" s="96">
        <f>IFERROR(__xludf.DUMMYFUNCTION("""COMPUTED_VALUE"""),0.0)</f>
        <v>0</v>
      </c>
      <c r="AL468" s="129">
        <f>IFERROR(__xludf.DUMMYFUNCTION("""COMPUTED_VALUE"""),0.0)</f>
        <v>0</v>
      </c>
      <c r="AM468" s="99"/>
    </row>
    <row r="469">
      <c r="V469" s="96">
        <f>IFERROR(__xludf.DUMMYFUNCTION("""COMPUTED_VALUE"""),1.0)</f>
        <v>1</v>
      </c>
      <c r="W469" s="98">
        <f>IFERROR(__xludf.DUMMYFUNCTION("""COMPUTED_VALUE"""),44111.0)</f>
        <v>44111</v>
      </c>
      <c r="X469" s="96" t="str">
        <f>IFERROR(__xludf.DUMMYFUNCTION("""COMPUTED_VALUE"""),"COPPA NKU")</f>
        <v>COPPA NKU</v>
      </c>
      <c r="Y469" s="96" t="str">
        <f>IFERROR(__xludf.DUMMYFUNCTION("""COMPUTED_VALUE"""),"COPPA NKU1")</f>
        <v>COPPA NKU1</v>
      </c>
      <c r="Z469" s="96"/>
      <c r="AA469" s="96"/>
      <c r="AB469" s="96"/>
      <c r="AC469" s="96"/>
      <c r="AD469" s="96"/>
      <c r="AE469" s="96"/>
      <c r="AF469" s="96">
        <f>IFERROR(__xludf.DUMMYFUNCTION("""COMPUTED_VALUE"""),300000.0)</f>
        <v>300000</v>
      </c>
      <c r="AG469" s="99">
        <f>IFERROR(__xludf.DUMMYFUNCTION("""COMPUTED_VALUE"""),300000.0)</f>
        <v>300000</v>
      </c>
      <c r="AH469" s="96"/>
      <c r="AI469" s="96">
        <f>IFERROR(__xludf.DUMMYFUNCTION("""COMPUTED_VALUE"""),0.0)</f>
        <v>0</v>
      </c>
      <c r="AJ469" s="96">
        <f>IFERROR(__xludf.DUMMYFUNCTION("""COMPUTED_VALUE"""),0.0)</f>
        <v>0</v>
      </c>
      <c r="AK469" s="96">
        <f>IFERROR(__xludf.DUMMYFUNCTION("""COMPUTED_VALUE"""),0.0)</f>
        <v>0</v>
      </c>
      <c r="AL469" s="129">
        <f>IFERROR(__xludf.DUMMYFUNCTION("""COMPUTED_VALUE"""),0.0)</f>
        <v>0</v>
      </c>
      <c r="AM469" s="99"/>
    </row>
    <row r="470">
      <c r="V470" s="96">
        <f>IFERROR(__xludf.DUMMYFUNCTION("""COMPUTED_VALUE"""),12.0)</f>
        <v>12</v>
      </c>
      <c r="W470" s="98">
        <f>IFERROR(__xludf.DUMMYFUNCTION("""COMPUTED_VALUE"""),44111.0)</f>
        <v>44111</v>
      </c>
      <c r="X470" s="96" t="str">
        <f>IFERROR(__xludf.DUMMYFUNCTION("""COMPUTED_VALUE"""),"AUGUSTINE IGBA")</f>
        <v>AUGUSTINE IGBA</v>
      </c>
      <c r="Y470" s="96" t="str">
        <f>IFERROR(__xludf.DUMMYFUNCTION("""COMPUTED_VALUE"""),"AUGUSTINE IGBA12")</f>
        <v>AUGUSTINE IGBA12</v>
      </c>
      <c r="Z470" s="96"/>
      <c r="AA470" s="96"/>
      <c r="AB470" s="96"/>
      <c r="AC470" s="96"/>
      <c r="AD470" s="96"/>
      <c r="AE470" s="96"/>
      <c r="AF470" s="96">
        <f>IFERROR(__xludf.DUMMYFUNCTION("""COMPUTED_VALUE"""),4000000.0)</f>
        <v>4000000</v>
      </c>
      <c r="AG470" s="99">
        <f>IFERROR(__xludf.DUMMYFUNCTION("""COMPUTED_VALUE"""),4000000.0)</f>
        <v>4000000</v>
      </c>
      <c r="AH470" s="96"/>
      <c r="AI470" s="96">
        <f>IFERROR(__xludf.DUMMYFUNCTION("""COMPUTED_VALUE"""),0.0)</f>
        <v>0</v>
      </c>
      <c r="AJ470" s="96">
        <f>IFERROR(__xludf.DUMMYFUNCTION("""COMPUTED_VALUE"""),0.0)</f>
        <v>0</v>
      </c>
      <c r="AK470" s="96">
        <f>IFERROR(__xludf.DUMMYFUNCTION("""COMPUTED_VALUE"""),0.0)</f>
        <v>0</v>
      </c>
      <c r="AL470" s="129">
        <f>IFERROR(__xludf.DUMMYFUNCTION("""COMPUTED_VALUE"""),0.0)</f>
        <v>0</v>
      </c>
      <c r="AM470" s="99"/>
    </row>
    <row r="471">
      <c r="V471" s="96">
        <f>IFERROR(__xludf.DUMMYFUNCTION("""COMPUTED_VALUE"""),19.0)</f>
        <v>19</v>
      </c>
      <c r="W471" s="98">
        <f>IFERROR(__xludf.DUMMYFUNCTION("""COMPUTED_VALUE"""),44111.0)</f>
        <v>44111</v>
      </c>
      <c r="X471" s="96" t="str">
        <f>IFERROR(__xludf.DUMMYFUNCTION("""COMPUTED_VALUE"""),"LIVINUS")</f>
        <v>LIVINUS</v>
      </c>
      <c r="Y471" s="96" t="str">
        <f>IFERROR(__xludf.DUMMYFUNCTION("""COMPUTED_VALUE"""),"LIVINUS19")</f>
        <v>LIVINUS19</v>
      </c>
      <c r="Z471" s="96"/>
      <c r="AA471" s="96"/>
      <c r="AB471" s="96"/>
      <c r="AC471" s="96"/>
      <c r="AD471" s="96"/>
      <c r="AE471" s="96"/>
      <c r="AF471" s="96">
        <f>IFERROR(__xludf.DUMMYFUNCTION("""COMPUTED_VALUE"""),620000.0)</f>
        <v>620000</v>
      </c>
      <c r="AG471" s="99">
        <f>IFERROR(__xludf.DUMMYFUNCTION("""COMPUTED_VALUE"""),620000.0)</f>
        <v>620000</v>
      </c>
      <c r="AH471" s="96"/>
      <c r="AI471" s="96">
        <f>IFERROR(__xludf.DUMMYFUNCTION("""COMPUTED_VALUE"""),0.0)</f>
        <v>0</v>
      </c>
      <c r="AJ471" s="96">
        <f>IFERROR(__xludf.DUMMYFUNCTION("""COMPUTED_VALUE"""),0.0)</f>
        <v>0</v>
      </c>
      <c r="AK471" s="96">
        <f>IFERROR(__xludf.DUMMYFUNCTION("""COMPUTED_VALUE"""),0.0)</f>
        <v>0</v>
      </c>
      <c r="AL471" s="129">
        <f>IFERROR(__xludf.DUMMYFUNCTION("""COMPUTED_VALUE"""),0.0)</f>
        <v>0</v>
      </c>
      <c r="AM471" s="99"/>
    </row>
    <row r="472">
      <c r="V472" s="96">
        <f>IFERROR(__xludf.DUMMYFUNCTION("""COMPUTED_VALUE"""),18.0)</f>
        <v>18</v>
      </c>
      <c r="W472" s="98">
        <f>IFERROR(__xludf.DUMMYFUNCTION("""COMPUTED_VALUE"""),44111.0)</f>
        <v>44111</v>
      </c>
      <c r="X472" s="96" t="str">
        <f>IFERROR(__xludf.DUMMYFUNCTION("""COMPUTED_VALUE"""),"NDOMA BODE I.D")</f>
        <v>NDOMA BODE I.D</v>
      </c>
      <c r="Y472" s="96" t="str">
        <f>IFERROR(__xludf.DUMMYFUNCTION("""COMPUTED_VALUE"""),"NDOMA BODE I.D18")</f>
        <v>NDOMA BODE I.D18</v>
      </c>
      <c r="Z472" s="96"/>
      <c r="AA472" s="96"/>
      <c r="AB472" s="96"/>
      <c r="AC472" s="96"/>
      <c r="AD472" s="96"/>
      <c r="AE472" s="96"/>
      <c r="AF472" s="96">
        <f>IFERROR(__xludf.DUMMYFUNCTION("""COMPUTED_VALUE"""),1200000.0)</f>
        <v>1200000</v>
      </c>
      <c r="AG472" s="99">
        <f>IFERROR(__xludf.DUMMYFUNCTION("""COMPUTED_VALUE"""),1200000.0)</f>
        <v>1200000</v>
      </c>
      <c r="AH472" s="96"/>
      <c r="AI472" s="96">
        <f>IFERROR(__xludf.DUMMYFUNCTION("""COMPUTED_VALUE"""),0.0)</f>
        <v>0</v>
      </c>
      <c r="AJ472" s="96">
        <f>IFERROR(__xludf.DUMMYFUNCTION("""COMPUTED_VALUE"""),0.0)</f>
        <v>0</v>
      </c>
      <c r="AK472" s="96">
        <f>IFERROR(__xludf.DUMMYFUNCTION("""COMPUTED_VALUE"""),0.0)</f>
        <v>0</v>
      </c>
      <c r="AL472" s="129">
        <f>IFERROR(__xludf.DUMMYFUNCTION("""COMPUTED_VALUE"""),0.0)</f>
        <v>0</v>
      </c>
      <c r="AM472" s="99"/>
    </row>
    <row r="473">
      <c r="V473" s="96">
        <f>IFERROR(__xludf.DUMMYFUNCTION("""COMPUTED_VALUE"""),10.0)</f>
        <v>10</v>
      </c>
      <c r="W473" s="98">
        <f>IFERROR(__xludf.DUMMYFUNCTION("""COMPUTED_VALUE"""),44111.0)</f>
        <v>44111</v>
      </c>
      <c r="X473" s="96" t="str">
        <f>IFERROR(__xludf.DUMMYFUNCTION("""COMPUTED_VALUE"""),"NDOMA PETER")</f>
        <v>NDOMA PETER</v>
      </c>
      <c r="Y473" s="96" t="str">
        <f>IFERROR(__xludf.DUMMYFUNCTION("""COMPUTED_VALUE"""),"NDOMA PETER10")</f>
        <v>NDOMA PETER10</v>
      </c>
      <c r="Z473" s="96"/>
      <c r="AA473" s="96"/>
      <c r="AB473" s="96"/>
      <c r="AC473" s="96"/>
      <c r="AD473" s="96"/>
      <c r="AE473" s="96"/>
      <c r="AF473" s="96">
        <f>IFERROR(__xludf.DUMMYFUNCTION("""COMPUTED_VALUE"""),900000.0)</f>
        <v>900000</v>
      </c>
      <c r="AG473" s="99">
        <f>IFERROR(__xludf.DUMMYFUNCTION("""COMPUTED_VALUE"""),900000.0)</f>
        <v>900000</v>
      </c>
      <c r="AH473" s="96"/>
      <c r="AI473" s="96">
        <f>IFERROR(__xludf.DUMMYFUNCTION("""COMPUTED_VALUE"""),0.0)</f>
        <v>0</v>
      </c>
      <c r="AJ473" s="96">
        <f>IFERROR(__xludf.DUMMYFUNCTION("""COMPUTED_VALUE"""),0.0)</f>
        <v>0</v>
      </c>
      <c r="AK473" s="96">
        <f>IFERROR(__xludf.DUMMYFUNCTION("""COMPUTED_VALUE"""),0.0)</f>
        <v>0</v>
      </c>
      <c r="AL473" s="129">
        <f>IFERROR(__xludf.DUMMYFUNCTION("""COMPUTED_VALUE"""),0.0)</f>
        <v>0</v>
      </c>
      <c r="AM473" s="99"/>
    </row>
    <row r="474">
      <c r="V474" s="96">
        <f>IFERROR(__xludf.DUMMYFUNCTION("""COMPUTED_VALUE"""),4.0)</f>
        <v>4</v>
      </c>
      <c r="W474" s="98">
        <f>IFERROR(__xludf.DUMMYFUNCTION("""COMPUTED_VALUE"""),44111.0)</f>
        <v>44111</v>
      </c>
      <c r="X474" s="96" t="str">
        <f>IFERROR(__xludf.DUMMYFUNCTION("""COMPUTED_VALUE"""),"RI SAMP")</f>
        <v>RI SAMP</v>
      </c>
      <c r="Y474" s="96" t="str">
        <f>IFERROR(__xludf.DUMMYFUNCTION("""COMPUTED_VALUE"""),"RI SAMP4")</f>
        <v>RI SAMP4</v>
      </c>
      <c r="Z474" s="96"/>
      <c r="AA474" s="96"/>
      <c r="AB474" s="96"/>
      <c r="AC474" s="96"/>
      <c r="AD474" s="96"/>
      <c r="AE474" s="96"/>
      <c r="AF474" s="96">
        <f>IFERROR(__xludf.DUMMYFUNCTION("""COMPUTED_VALUE"""),670000.0)</f>
        <v>670000</v>
      </c>
      <c r="AG474" s="99">
        <f>IFERROR(__xludf.DUMMYFUNCTION("""COMPUTED_VALUE"""),670000.0)</f>
        <v>670000</v>
      </c>
      <c r="AH474" s="96"/>
      <c r="AI474" s="96">
        <f>IFERROR(__xludf.DUMMYFUNCTION("""COMPUTED_VALUE"""),0.0)</f>
        <v>0</v>
      </c>
      <c r="AJ474" s="96">
        <f>IFERROR(__xludf.DUMMYFUNCTION("""COMPUTED_VALUE"""),0.0)</f>
        <v>0</v>
      </c>
      <c r="AK474" s="96">
        <f>IFERROR(__xludf.DUMMYFUNCTION("""COMPUTED_VALUE"""),0.0)</f>
        <v>0</v>
      </c>
      <c r="AL474" s="129">
        <f>IFERROR(__xludf.DUMMYFUNCTION("""COMPUTED_VALUE"""),0.0)</f>
        <v>0</v>
      </c>
      <c r="AM474" s="99"/>
    </row>
    <row r="475">
      <c r="V475" s="96">
        <f>IFERROR(__xludf.DUMMYFUNCTION("""COMPUTED_VALUE"""),3.0)</f>
        <v>3</v>
      </c>
      <c r="W475" s="98">
        <f>IFERROR(__xludf.DUMMYFUNCTION("""COMPUTED_VALUE"""),44111.0)</f>
        <v>44111</v>
      </c>
      <c r="X475" s="96" t="str">
        <f>IFERROR(__xludf.DUMMYFUNCTION("""COMPUTED_VALUE"""),"PRIN M. BOSURU")</f>
        <v>PRIN M. BOSURU</v>
      </c>
      <c r="Y475" s="96" t="str">
        <f>IFERROR(__xludf.DUMMYFUNCTION("""COMPUTED_VALUE"""),"PRIN M. BOSURU3")</f>
        <v>PRIN M. BOSURU3</v>
      </c>
      <c r="Z475" s="96"/>
      <c r="AA475" s="96"/>
      <c r="AB475" s="96"/>
      <c r="AC475" s="96"/>
      <c r="AD475" s="96"/>
      <c r="AE475" s="96"/>
      <c r="AF475" s="96">
        <f>IFERROR(__xludf.DUMMYFUNCTION("""COMPUTED_VALUE"""),620000.0)</f>
        <v>620000</v>
      </c>
      <c r="AG475" s="99">
        <f>IFERROR(__xludf.DUMMYFUNCTION("""COMPUTED_VALUE"""),620000.0)</f>
        <v>620000</v>
      </c>
      <c r="AH475" s="96"/>
      <c r="AI475" s="96">
        <f>IFERROR(__xludf.DUMMYFUNCTION("""COMPUTED_VALUE"""),0.0)</f>
        <v>0</v>
      </c>
      <c r="AJ475" s="96">
        <f>IFERROR(__xludf.DUMMYFUNCTION("""COMPUTED_VALUE"""),0.0)</f>
        <v>0</v>
      </c>
      <c r="AK475" s="96">
        <f>IFERROR(__xludf.DUMMYFUNCTION("""COMPUTED_VALUE"""),0.0)</f>
        <v>0</v>
      </c>
      <c r="AL475" s="129">
        <f>IFERROR(__xludf.DUMMYFUNCTION("""COMPUTED_VALUE"""),0.0)</f>
        <v>0</v>
      </c>
      <c r="AM475" s="99"/>
    </row>
    <row r="476">
      <c r="V476" s="96">
        <f>IFERROR(__xludf.DUMMYFUNCTION("""COMPUTED_VALUE"""),8.0)</f>
        <v>8</v>
      </c>
      <c r="W476" s="98">
        <f>IFERROR(__xludf.DUMMYFUNCTION("""COMPUTED_VALUE"""),44111.0)</f>
        <v>44111</v>
      </c>
      <c r="X476" s="96" t="str">
        <f>IFERROR(__xludf.DUMMYFUNCTION("""COMPUTED_VALUE"""),"EUGENE")</f>
        <v>EUGENE</v>
      </c>
      <c r="Y476" s="96" t="str">
        <f>IFERROR(__xludf.DUMMYFUNCTION("""COMPUTED_VALUE"""),"EUGENE8")</f>
        <v>EUGENE8</v>
      </c>
      <c r="Z476" s="96"/>
      <c r="AA476" s="96"/>
      <c r="AB476" s="96"/>
      <c r="AC476" s="96"/>
      <c r="AD476" s="96"/>
      <c r="AE476" s="96"/>
      <c r="AF476" s="96">
        <f>IFERROR(__xludf.DUMMYFUNCTION("""COMPUTED_VALUE"""),1645900.0)</f>
        <v>1645900</v>
      </c>
      <c r="AG476" s="99">
        <f>IFERROR(__xludf.DUMMYFUNCTION("""COMPUTED_VALUE"""),1645900.0)</f>
        <v>1645900</v>
      </c>
      <c r="AH476" s="96"/>
      <c r="AI476" s="96">
        <f>IFERROR(__xludf.DUMMYFUNCTION("""COMPUTED_VALUE"""),0.0)</f>
        <v>0</v>
      </c>
      <c r="AJ476" s="96">
        <f>IFERROR(__xludf.DUMMYFUNCTION("""COMPUTED_VALUE"""),0.0)</f>
        <v>0</v>
      </c>
      <c r="AK476" s="96">
        <f>IFERROR(__xludf.DUMMYFUNCTION("""COMPUTED_VALUE"""),0.0)</f>
        <v>0</v>
      </c>
      <c r="AL476" s="129">
        <f>IFERROR(__xludf.DUMMYFUNCTION("""COMPUTED_VALUE"""),0.0)</f>
        <v>0</v>
      </c>
      <c r="AM476" s="99"/>
    </row>
    <row r="477">
      <c r="V477" s="96">
        <f>IFERROR(__xludf.DUMMYFUNCTION("""COMPUTED_VALUE"""),19.0)</f>
        <v>19</v>
      </c>
      <c r="W477" s="98">
        <f>IFERROR(__xludf.DUMMYFUNCTION("""COMPUTED_VALUE"""),44111.0)</f>
        <v>44111</v>
      </c>
      <c r="X477" s="96" t="str">
        <f>IFERROR(__xludf.DUMMYFUNCTION("""COMPUTED_VALUE"""),"ETUK EFFI")</f>
        <v>ETUK EFFI</v>
      </c>
      <c r="Y477" s="96" t="str">
        <f>IFERROR(__xludf.DUMMYFUNCTION("""COMPUTED_VALUE"""),"ETUK EFFI19")</f>
        <v>ETUK EFFI19</v>
      </c>
      <c r="Z477" s="96"/>
      <c r="AA477" s="96"/>
      <c r="AB477" s="96"/>
      <c r="AC477" s="96"/>
      <c r="AD477" s="96"/>
      <c r="AE477" s="96"/>
      <c r="AF477" s="96">
        <f>IFERROR(__xludf.DUMMYFUNCTION("""COMPUTED_VALUE"""),1520000.0)</f>
        <v>1520000</v>
      </c>
      <c r="AG477" s="99">
        <f>IFERROR(__xludf.DUMMYFUNCTION("""COMPUTED_VALUE"""),1520000.0)</f>
        <v>1520000</v>
      </c>
      <c r="AH477" s="96"/>
      <c r="AI477" s="96">
        <f>IFERROR(__xludf.DUMMYFUNCTION("""COMPUTED_VALUE"""),0.0)</f>
        <v>0</v>
      </c>
      <c r="AJ477" s="96">
        <f>IFERROR(__xludf.DUMMYFUNCTION("""COMPUTED_VALUE"""),0.0)</f>
        <v>0</v>
      </c>
      <c r="AK477" s="96">
        <f>IFERROR(__xludf.DUMMYFUNCTION("""COMPUTED_VALUE"""),0.0)</f>
        <v>0</v>
      </c>
      <c r="AL477" s="129">
        <f>IFERROR(__xludf.DUMMYFUNCTION("""COMPUTED_VALUE"""),0.0)</f>
        <v>0</v>
      </c>
      <c r="AM477" s="99"/>
    </row>
    <row r="478">
      <c r="V478" s="96">
        <f>IFERROR(__xludf.DUMMYFUNCTION("""COMPUTED_VALUE"""),29.0)</f>
        <v>29</v>
      </c>
      <c r="W478" s="98">
        <f>IFERROR(__xludf.DUMMYFUNCTION("""COMPUTED_VALUE"""),44111.0)</f>
        <v>44111</v>
      </c>
      <c r="X478" s="96" t="str">
        <f>IFERROR(__xludf.DUMMYFUNCTION("""COMPUTED_VALUE"""),"LYDIA HNSON ")</f>
        <v>LYDIA HNSON </v>
      </c>
      <c r="Y478" s="96" t="str">
        <f>IFERROR(__xludf.DUMMYFUNCTION("""COMPUTED_VALUE"""),"LYDIA HNSON 29")</f>
        <v>LYDIA HNSON 29</v>
      </c>
      <c r="Z478" s="96"/>
      <c r="AA478" s="96"/>
      <c r="AB478" s="96"/>
      <c r="AC478" s="96"/>
      <c r="AD478" s="96"/>
      <c r="AE478" s="96"/>
      <c r="AF478" s="96">
        <f>IFERROR(__xludf.DUMMYFUNCTION("""COMPUTED_VALUE"""),1800000.0)</f>
        <v>1800000</v>
      </c>
      <c r="AG478" s="99">
        <f>IFERROR(__xludf.DUMMYFUNCTION("""COMPUTED_VALUE"""),1800000.0)</f>
        <v>1800000</v>
      </c>
      <c r="AH478" s="96"/>
      <c r="AI478" s="96">
        <f>IFERROR(__xludf.DUMMYFUNCTION("""COMPUTED_VALUE"""),0.0)</f>
        <v>0</v>
      </c>
      <c r="AJ478" s="96">
        <f>IFERROR(__xludf.DUMMYFUNCTION("""COMPUTED_VALUE"""),0.0)</f>
        <v>0</v>
      </c>
      <c r="AK478" s="96">
        <f>IFERROR(__xludf.DUMMYFUNCTION("""COMPUTED_VALUE"""),0.0)</f>
        <v>0</v>
      </c>
      <c r="AL478" s="129">
        <f>IFERROR(__xludf.DUMMYFUNCTION("""COMPUTED_VALUE"""),0.0)</f>
        <v>0</v>
      </c>
      <c r="AM478" s="99"/>
    </row>
    <row r="479">
      <c r="V479" s="96">
        <f>IFERROR(__xludf.DUMMYFUNCTION("""COMPUTED_VALUE"""),11.0)</f>
        <v>11</v>
      </c>
      <c r="W479" s="98">
        <f>IFERROR(__xludf.DUMMYFUNCTION("""COMPUTED_VALUE"""),44111.0)</f>
        <v>44111</v>
      </c>
      <c r="X479" s="96" t="str">
        <f>IFERROR(__xludf.DUMMYFUNCTION("""COMPUTED_VALUE"""),"REMMY BODES")</f>
        <v>REMMY BODES</v>
      </c>
      <c r="Y479" s="96" t="str">
        <f>IFERROR(__xludf.DUMMYFUNCTION("""COMPUTED_VALUE"""),"REMMY BODES11")</f>
        <v>REMMY BODES11</v>
      </c>
      <c r="Z479" s="96"/>
      <c r="AA479" s="96"/>
      <c r="AB479" s="96"/>
      <c r="AC479" s="96"/>
      <c r="AD479" s="96"/>
      <c r="AE479" s="96"/>
      <c r="AF479" s="96">
        <f>IFERROR(__xludf.DUMMYFUNCTION("""COMPUTED_VALUE"""),661500.0)</f>
        <v>661500</v>
      </c>
      <c r="AG479" s="99">
        <f>IFERROR(__xludf.DUMMYFUNCTION("""COMPUTED_VALUE"""),661500.0)</f>
        <v>661500</v>
      </c>
      <c r="AH479" s="96"/>
      <c r="AI479" s="96">
        <f>IFERROR(__xludf.DUMMYFUNCTION("""COMPUTED_VALUE"""),0.0)</f>
        <v>0</v>
      </c>
      <c r="AJ479" s="96">
        <f>IFERROR(__xludf.DUMMYFUNCTION("""COMPUTED_VALUE"""),0.0)</f>
        <v>0</v>
      </c>
      <c r="AK479" s="96">
        <f>IFERROR(__xludf.DUMMYFUNCTION("""COMPUTED_VALUE"""),0.0)</f>
        <v>0</v>
      </c>
      <c r="AL479" s="129">
        <f>IFERROR(__xludf.DUMMYFUNCTION("""COMPUTED_VALUE"""),0.0)</f>
        <v>0</v>
      </c>
      <c r="AM479" s="99"/>
    </row>
    <row r="480">
      <c r="V480" s="96">
        <f>IFERROR(__xludf.DUMMYFUNCTION("""COMPUTED_VALUE"""),4.0)</f>
        <v>4</v>
      </c>
      <c r="W480" s="98">
        <f>IFERROR(__xludf.DUMMYFUNCTION("""COMPUTED_VALUE"""),44111.0)</f>
        <v>44111</v>
      </c>
      <c r="X480" s="96" t="str">
        <f>IFERROR(__xludf.DUMMYFUNCTION("""COMPUTED_VALUE"""),"FRANCIS KEIBO")</f>
        <v>FRANCIS KEIBO</v>
      </c>
      <c r="Y480" s="96" t="str">
        <f>IFERROR(__xludf.DUMMYFUNCTION("""COMPUTED_VALUE"""),"FRANCIS KEIBO4")</f>
        <v>FRANCIS KEIBO4</v>
      </c>
      <c r="Z480" s="96"/>
      <c r="AA480" s="96"/>
      <c r="AB480" s="96"/>
      <c r="AC480" s="96"/>
      <c r="AD480" s="96"/>
      <c r="AE480" s="96"/>
      <c r="AF480" s="96">
        <f>IFERROR(__xludf.DUMMYFUNCTION("""COMPUTED_VALUE"""),200000.0)</f>
        <v>200000</v>
      </c>
      <c r="AG480" s="99">
        <f>IFERROR(__xludf.DUMMYFUNCTION("""COMPUTED_VALUE"""),200000.0)</f>
        <v>200000</v>
      </c>
      <c r="AH480" s="96"/>
      <c r="AI480" s="96">
        <f>IFERROR(__xludf.DUMMYFUNCTION("""COMPUTED_VALUE"""),0.0)</f>
        <v>0</v>
      </c>
      <c r="AJ480" s="96">
        <f>IFERROR(__xludf.DUMMYFUNCTION("""COMPUTED_VALUE"""),0.0)</f>
        <v>0</v>
      </c>
      <c r="AK480" s="96">
        <f>IFERROR(__xludf.DUMMYFUNCTION("""COMPUTED_VALUE"""),0.0)</f>
        <v>0</v>
      </c>
      <c r="AL480" s="129">
        <f>IFERROR(__xludf.DUMMYFUNCTION("""COMPUTED_VALUE"""),0.0)</f>
        <v>0</v>
      </c>
      <c r="AM480" s="99"/>
    </row>
    <row r="481">
      <c r="V481" s="96">
        <f>IFERROR(__xludf.DUMMYFUNCTION("""COMPUTED_VALUE"""),13.0)</f>
        <v>13</v>
      </c>
      <c r="W481" s="98">
        <f>IFERROR(__xludf.DUMMYFUNCTION("""COMPUTED_VALUE"""),44111.0)</f>
        <v>44111</v>
      </c>
      <c r="X481" s="96" t="str">
        <f>IFERROR(__xludf.DUMMYFUNCTION("""COMPUTED_VALUE"""),"AUGUSTINE IGBA")</f>
        <v>AUGUSTINE IGBA</v>
      </c>
      <c r="Y481" s="96" t="str">
        <f>IFERROR(__xludf.DUMMYFUNCTION("""COMPUTED_VALUE"""),"AUGUSTINE IGBA13")</f>
        <v>AUGUSTINE IGBA13</v>
      </c>
      <c r="Z481" s="96"/>
      <c r="AA481" s="96"/>
      <c r="AB481" s="96"/>
      <c r="AC481" s="96"/>
      <c r="AD481" s="96"/>
      <c r="AE481" s="96"/>
      <c r="AF481" s="96">
        <f>IFERROR(__xludf.DUMMYFUNCTION("""COMPUTED_VALUE"""),5000.0)</f>
        <v>5000</v>
      </c>
      <c r="AG481" s="99">
        <f>IFERROR(__xludf.DUMMYFUNCTION("""COMPUTED_VALUE"""),5000.0)</f>
        <v>5000</v>
      </c>
      <c r="AH481" s="96"/>
      <c r="AI481" s="96">
        <f>IFERROR(__xludf.DUMMYFUNCTION("""COMPUTED_VALUE"""),0.0)</f>
        <v>0</v>
      </c>
      <c r="AJ481" s="96">
        <f>IFERROR(__xludf.DUMMYFUNCTION("""COMPUTED_VALUE"""),0.0)</f>
        <v>0</v>
      </c>
      <c r="AK481" s="96">
        <f>IFERROR(__xludf.DUMMYFUNCTION("""COMPUTED_VALUE"""),0.0)</f>
        <v>0</v>
      </c>
      <c r="AL481" s="129">
        <f>IFERROR(__xludf.DUMMYFUNCTION("""COMPUTED_VALUE"""),0.0)</f>
        <v>0</v>
      </c>
      <c r="AM481" s="99"/>
    </row>
    <row r="482">
      <c r="V482" s="96">
        <f>IFERROR(__xludf.DUMMYFUNCTION("""COMPUTED_VALUE"""),25.0)</f>
        <v>25</v>
      </c>
      <c r="W482" s="98">
        <f>IFERROR(__xludf.DUMMYFUNCTION("""COMPUTED_VALUE"""),44111.0)</f>
        <v>44111</v>
      </c>
      <c r="X482" s="96" t="str">
        <f>IFERROR(__xludf.DUMMYFUNCTION("""COMPUTED_VALUE"""),"CONNECT")</f>
        <v>CONNECT</v>
      </c>
      <c r="Y482" s="96" t="str">
        <f>IFERROR(__xludf.DUMMYFUNCTION("""COMPUTED_VALUE"""),"CONNECT25")</f>
        <v>CONNECT25</v>
      </c>
      <c r="Z482" s="96"/>
      <c r="AA482" s="96"/>
      <c r="AB482" s="96"/>
      <c r="AC482" s="96"/>
      <c r="AD482" s="96"/>
      <c r="AE482" s="96"/>
      <c r="AF482" s="96">
        <f>IFERROR(__xludf.DUMMYFUNCTION("""COMPUTED_VALUE"""),3000000.0)</f>
        <v>3000000</v>
      </c>
      <c r="AG482" s="99">
        <f>IFERROR(__xludf.DUMMYFUNCTION("""COMPUTED_VALUE"""),3000000.0)</f>
        <v>3000000</v>
      </c>
      <c r="AH482" s="96"/>
      <c r="AI482" s="96">
        <f>IFERROR(__xludf.DUMMYFUNCTION("""COMPUTED_VALUE"""),0.0)</f>
        <v>0</v>
      </c>
      <c r="AJ482" s="96">
        <f>IFERROR(__xludf.DUMMYFUNCTION("""COMPUTED_VALUE"""),0.0)</f>
        <v>0</v>
      </c>
      <c r="AK482" s="96">
        <f>IFERROR(__xludf.DUMMYFUNCTION("""COMPUTED_VALUE"""),0.0)</f>
        <v>0</v>
      </c>
      <c r="AL482" s="129">
        <f>IFERROR(__xludf.DUMMYFUNCTION("""COMPUTED_VALUE"""),0.0)</f>
        <v>0</v>
      </c>
      <c r="AM482" s="99"/>
    </row>
    <row r="483">
      <c r="V483" s="96">
        <f>IFERROR(__xludf.DUMMYFUNCTION("""COMPUTED_VALUE"""),1.0)</f>
        <v>1</v>
      </c>
      <c r="W483" s="98">
        <f>IFERROR(__xludf.DUMMYFUNCTION("""COMPUTED_VALUE"""),44112.0)</f>
        <v>44112</v>
      </c>
      <c r="X483" s="96" t="str">
        <f>IFERROR(__xludf.DUMMYFUNCTION("""COMPUTED_VALUE"""),"ETIM SUNDAY")</f>
        <v>ETIM SUNDAY</v>
      </c>
      <c r="Y483" s="96" t="str">
        <f>IFERROR(__xludf.DUMMYFUNCTION("""COMPUTED_VALUE"""),"ETIM SUNDAY1")</f>
        <v>ETIM SUNDAY1</v>
      </c>
      <c r="Z483" s="96"/>
      <c r="AA483" s="96"/>
      <c r="AB483" s="96"/>
      <c r="AC483" s="96"/>
      <c r="AD483" s="96"/>
      <c r="AE483" s="96"/>
      <c r="AF483" s="96">
        <f>IFERROR(__xludf.DUMMYFUNCTION("""COMPUTED_VALUE"""),200000.0)</f>
        <v>200000</v>
      </c>
      <c r="AG483" s="99">
        <f>IFERROR(__xludf.DUMMYFUNCTION("""COMPUTED_VALUE"""),200000.0)</f>
        <v>200000</v>
      </c>
      <c r="AH483" s="96"/>
      <c r="AI483" s="96">
        <f>IFERROR(__xludf.DUMMYFUNCTION("""COMPUTED_VALUE"""),0.0)</f>
        <v>0</v>
      </c>
      <c r="AJ483" s="96">
        <f>IFERROR(__xludf.DUMMYFUNCTION("""COMPUTED_VALUE"""),0.0)</f>
        <v>0</v>
      </c>
      <c r="AK483" s="96">
        <f>IFERROR(__xludf.DUMMYFUNCTION("""COMPUTED_VALUE"""),0.0)</f>
        <v>0</v>
      </c>
      <c r="AL483" s="129">
        <f>IFERROR(__xludf.DUMMYFUNCTION("""COMPUTED_VALUE"""),0.0)</f>
        <v>0</v>
      </c>
      <c r="AM483" s="99"/>
    </row>
    <row r="484">
      <c r="V484" s="96">
        <f>IFERROR(__xludf.DUMMYFUNCTION("""COMPUTED_VALUE"""),4.0)</f>
        <v>4</v>
      </c>
      <c r="W484" s="98">
        <f>IFERROR(__xludf.DUMMYFUNCTION("""COMPUTED_VALUE"""),44112.0)</f>
        <v>44112</v>
      </c>
      <c r="X484" s="96" t="str">
        <f>IFERROR(__xludf.DUMMYFUNCTION("""COMPUTED_VALUE"""),"ABANG. ORU")</f>
        <v>ABANG. ORU</v>
      </c>
      <c r="Y484" s="96" t="str">
        <f>IFERROR(__xludf.DUMMYFUNCTION("""COMPUTED_VALUE"""),"ABANG. ORU4")</f>
        <v>ABANG. ORU4</v>
      </c>
      <c r="Z484" s="96"/>
      <c r="AA484" s="96"/>
      <c r="AB484" s="96"/>
      <c r="AC484" s="96"/>
      <c r="AD484" s="96"/>
      <c r="AE484" s="96"/>
      <c r="AF484" s="96">
        <f>IFERROR(__xludf.DUMMYFUNCTION("""COMPUTED_VALUE"""),16500.0)</f>
        <v>16500</v>
      </c>
      <c r="AG484" s="99">
        <f>IFERROR(__xludf.DUMMYFUNCTION("""COMPUTED_VALUE"""),16500.0)</f>
        <v>16500</v>
      </c>
      <c r="AH484" s="96"/>
      <c r="AI484" s="96">
        <f>IFERROR(__xludf.DUMMYFUNCTION("""COMPUTED_VALUE"""),0.0)</f>
        <v>0</v>
      </c>
      <c r="AJ484" s="96">
        <f>IFERROR(__xludf.DUMMYFUNCTION("""COMPUTED_VALUE"""),0.0)</f>
        <v>0</v>
      </c>
      <c r="AK484" s="96">
        <f>IFERROR(__xludf.DUMMYFUNCTION("""COMPUTED_VALUE"""),0.0)</f>
        <v>0</v>
      </c>
      <c r="AL484" s="129">
        <f>IFERROR(__xludf.DUMMYFUNCTION("""COMPUTED_VALUE"""),0.0)</f>
        <v>0</v>
      </c>
      <c r="AM484" s="99"/>
    </row>
    <row r="485">
      <c r="V485" s="96">
        <f>IFERROR(__xludf.DUMMYFUNCTION("""COMPUTED_VALUE"""),6.0)</f>
        <v>6</v>
      </c>
      <c r="W485" s="98">
        <f>IFERROR(__xludf.DUMMYFUNCTION("""COMPUTED_VALUE"""),44112.0)</f>
        <v>44112</v>
      </c>
      <c r="X485" s="96" t="str">
        <f>IFERROR(__xludf.DUMMYFUNCTION("""COMPUTED_VALUE"""),"AGEGE BOY")</f>
        <v>AGEGE BOY</v>
      </c>
      <c r="Y485" s="96" t="str">
        <f>IFERROR(__xludf.DUMMYFUNCTION("""COMPUTED_VALUE"""),"AGEGE BOY6")</f>
        <v>AGEGE BOY6</v>
      </c>
      <c r="Z485" s="96"/>
      <c r="AA485" s="96"/>
      <c r="AB485" s="96"/>
      <c r="AC485" s="96"/>
      <c r="AD485" s="96"/>
      <c r="AE485" s="96"/>
      <c r="AF485" s="96">
        <f>IFERROR(__xludf.DUMMYFUNCTION("""COMPUTED_VALUE"""),10000.0)</f>
        <v>10000</v>
      </c>
      <c r="AG485" s="99">
        <f>IFERROR(__xludf.DUMMYFUNCTION("""COMPUTED_VALUE"""),10000.0)</f>
        <v>10000</v>
      </c>
      <c r="AH485" s="96"/>
      <c r="AI485" s="96">
        <f>IFERROR(__xludf.DUMMYFUNCTION("""COMPUTED_VALUE"""),0.0)</f>
        <v>0</v>
      </c>
      <c r="AJ485" s="96">
        <f>IFERROR(__xludf.DUMMYFUNCTION("""COMPUTED_VALUE"""),0.0)</f>
        <v>0</v>
      </c>
      <c r="AK485" s="96">
        <f>IFERROR(__xludf.DUMMYFUNCTION("""COMPUTED_VALUE"""),0.0)</f>
        <v>0</v>
      </c>
      <c r="AL485" s="129">
        <f>IFERROR(__xludf.DUMMYFUNCTION("""COMPUTED_VALUE"""),0.0)</f>
        <v>0</v>
      </c>
      <c r="AM485" s="99"/>
    </row>
    <row r="486">
      <c r="V486" s="96">
        <f>IFERROR(__xludf.DUMMYFUNCTION("""COMPUTED_VALUE"""),4.0)</f>
        <v>4</v>
      </c>
      <c r="W486" s="98">
        <f>IFERROR(__xludf.DUMMYFUNCTION("""COMPUTED_VALUE"""),44112.0)</f>
        <v>44112</v>
      </c>
      <c r="X486" s="96" t="str">
        <f>IFERROR(__xludf.DUMMYFUNCTION("""COMPUTED_VALUE"""),"CHINWE CHIDI")</f>
        <v>CHINWE CHIDI</v>
      </c>
      <c r="Y486" s="96" t="str">
        <f>IFERROR(__xludf.DUMMYFUNCTION("""COMPUTED_VALUE"""),"CHINWE CHIDI4")</f>
        <v>CHINWE CHIDI4</v>
      </c>
      <c r="Z486" s="96"/>
      <c r="AA486" s="96"/>
      <c r="AB486" s="96"/>
      <c r="AC486" s="96"/>
      <c r="AD486" s="96"/>
      <c r="AE486" s="96"/>
      <c r="AF486" s="96">
        <f>IFERROR(__xludf.DUMMYFUNCTION("""COMPUTED_VALUE"""),1439300.0)</f>
        <v>1439300</v>
      </c>
      <c r="AG486" s="99">
        <f>IFERROR(__xludf.DUMMYFUNCTION("""COMPUTED_VALUE"""),1439300.0)</f>
        <v>1439300</v>
      </c>
      <c r="AH486" s="96"/>
      <c r="AI486" s="96">
        <f>IFERROR(__xludf.DUMMYFUNCTION("""COMPUTED_VALUE"""),0.0)</f>
        <v>0</v>
      </c>
      <c r="AJ486" s="96">
        <f>IFERROR(__xludf.DUMMYFUNCTION("""COMPUTED_VALUE"""),0.0)</f>
        <v>0</v>
      </c>
      <c r="AK486" s="96">
        <f>IFERROR(__xludf.DUMMYFUNCTION("""COMPUTED_VALUE"""),0.0)</f>
        <v>0</v>
      </c>
      <c r="AL486" s="129">
        <f>IFERROR(__xludf.DUMMYFUNCTION("""COMPUTED_VALUE"""),0.0)</f>
        <v>0</v>
      </c>
      <c r="AM486" s="99"/>
    </row>
    <row r="487">
      <c r="V487" s="96">
        <f>IFERROR(__xludf.DUMMYFUNCTION("""COMPUTED_VALUE"""),5.0)</f>
        <v>5</v>
      </c>
      <c r="W487" s="98">
        <f>IFERROR(__xludf.DUMMYFUNCTION("""COMPUTED_VALUE"""),44112.0)</f>
        <v>44112</v>
      </c>
      <c r="X487" s="96" t="str">
        <f>IFERROR(__xludf.DUMMYFUNCTION("""COMPUTED_VALUE"""),"R.  MAXWELL AGRO")</f>
        <v>R.  MAXWELL AGRO</v>
      </c>
      <c r="Y487" s="96" t="str">
        <f>IFERROR(__xludf.DUMMYFUNCTION("""COMPUTED_VALUE"""),"R.  MAXWELL AGRO5")</f>
        <v>R.  MAXWELL AGRO5</v>
      </c>
      <c r="Z487" s="96"/>
      <c r="AA487" s="96"/>
      <c r="AB487" s="96"/>
      <c r="AC487" s="96"/>
      <c r="AD487" s="96"/>
      <c r="AE487" s="96"/>
      <c r="AF487" s="96">
        <f>IFERROR(__xludf.DUMMYFUNCTION("""COMPUTED_VALUE"""),5000.0)</f>
        <v>5000</v>
      </c>
      <c r="AG487" s="99">
        <f>IFERROR(__xludf.DUMMYFUNCTION("""COMPUTED_VALUE"""),5000.0)</f>
        <v>5000</v>
      </c>
      <c r="AH487" s="96"/>
      <c r="AI487" s="96">
        <f>IFERROR(__xludf.DUMMYFUNCTION("""COMPUTED_VALUE"""),0.0)</f>
        <v>0</v>
      </c>
      <c r="AJ487" s="96">
        <f>IFERROR(__xludf.DUMMYFUNCTION("""COMPUTED_VALUE"""),0.0)</f>
        <v>0</v>
      </c>
      <c r="AK487" s="96">
        <f>IFERROR(__xludf.DUMMYFUNCTION("""COMPUTED_VALUE"""),0.0)</f>
        <v>0</v>
      </c>
      <c r="AL487" s="129">
        <f>IFERROR(__xludf.DUMMYFUNCTION("""COMPUTED_VALUE"""),0.0)</f>
        <v>0</v>
      </c>
      <c r="AM487" s="99"/>
    </row>
    <row r="488">
      <c r="V488" s="96">
        <f>IFERROR(__xludf.DUMMYFUNCTION("""COMPUTED_VALUE"""),8.0)</f>
        <v>8</v>
      </c>
      <c r="W488" s="98">
        <f>IFERROR(__xludf.DUMMYFUNCTION("""COMPUTED_VALUE"""),44113.0)</f>
        <v>44113</v>
      </c>
      <c r="X488" s="96" t="str">
        <f>IFERROR(__xludf.DUMMYFUNCTION("""COMPUTED_VALUE"""),"PRINNESS")</f>
        <v>PRINNESS</v>
      </c>
      <c r="Y488" s="96" t="str">
        <f>IFERROR(__xludf.DUMMYFUNCTION("""COMPUTED_VALUE"""),"PRINNESS8")</f>
        <v>PRINNESS8</v>
      </c>
      <c r="Z488" s="96"/>
      <c r="AA488" s="96"/>
      <c r="AB488" s="96"/>
      <c r="AC488" s="96"/>
      <c r="AD488" s="96"/>
      <c r="AE488" s="96"/>
      <c r="AF488" s="96">
        <f>IFERROR(__xludf.DUMMYFUNCTION("""COMPUTED_VALUE"""),400000.0)</f>
        <v>400000</v>
      </c>
      <c r="AG488" s="99">
        <f>IFERROR(__xludf.DUMMYFUNCTION("""COMPUTED_VALUE"""),400000.0)</f>
        <v>400000</v>
      </c>
      <c r="AH488" s="96"/>
      <c r="AI488" s="96">
        <f>IFERROR(__xludf.DUMMYFUNCTION("""COMPUTED_VALUE"""),0.0)</f>
        <v>0</v>
      </c>
      <c r="AJ488" s="96">
        <f>IFERROR(__xludf.DUMMYFUNCTION("""COMPUTED_VALUE"""),0.0)</f>
        <v>0</v>
      </c>
      <c r="AK488" s="96">
        <f>IFERROR(__xludf.DUMMYFUNCTION("""COMPUTED_VALUE"""),0.0)</f>
        <v>0</v>
      </c>
      <c r="AL488" s="129">
        <f>IFERROR(__xludf.DUMMYFUNCTION("""COMPUTED_VALUE"""),0.0)</f>
        <v>0</v>
      </c>
      <c r="AM488" s="99"/>
    </row>
    <row r="489">
      <c r="V489" s="96">
        <f>IFERROR(__xludf.DUMMYFUNCTION("""COMPUTED_VALUE"""),20.0)</f>
        <v>20</v>
      </c>
      <c r="W489" s="98">
        <f>IFERROR(__xludf.DUMMYFUNCTION("""COMPUTED_VALUE"""),44113.0)</f>
        <v>44113</v>
      </c>
      <c r="X489" s="96" t="str">
        <f>IFERROR(__xludf.DUMMYFUNCTION("""COMPUTED_VALUE"""),"LIVINUS")</f>
        <v>LIVINUS</v>
      </c>
      <c r="Y489" s="96" t="str">
        <f>IFERROR(__xludf.DUMMYFUNCTION("""COMPUTED_VALUE"""),"LIVINUS20")</f>
        <v>LIVINUS20</v>
      </c>
      <c r="Z489" s="96"/>
      <c r="AA489" s="96"/>
      <c r="AB489" s="96"/>
      <c r="AC489" s="96"/>
      <c r="AD489" s="96"/>
      <c r="AE489" s="96"/>
      <c r="AF489" s="96">
        <f>IFERROR(__xludf.DUMMYFUNCTION("""COMPUTED_VALUE"""),300000.0)</f>
        <v>300000</v>
      </c>
      <c r="AG489" s="99">
        <f>IFERROR(__xludf.DUMMYFUNCTION("""COMPUTED_VALUE"""),300000.0)</f>
        <v>300000</v>
      </c>
      <c r="AH489" s="96"/>
      <c r="AI489" s="96">
        <f>IFERROR(__xludf.DUMMYFUNCTION("""COMPUTED_VALUE"""),0.0)</f>
        <v>0</v>
      </c>
      <c r="AJ489" s="96">
        <f>IFERROR(__xludf.DUMMYFUNCTION("""COMPUTED_VALUE"""),0.0)</f>
        <v>0</v>
      </c>
      <c r="AK489" s="96">
        <f>IFERROR(__xludf.DUMMYFUNCTION("""COMPUTED_VALUE"""),0.0)</f>
        <v>0</v>
      </c>
      <c r="AL489" s="129">
        <f>IFERROR(__xludf.DUMMYFUNCTION("""COMPUTED_VALUE"""),0.0)</f>
        <v>0</v>
      </c>
      <c r="AM489" s="99"/>
    </row>
    <row r="490">
      <c r="V490" s="96">
        <f>IFERROR(__xludf.DUMMYFUNCTION("""COMPUTED_VALUE"""),6.0)</f>
        <v>6</v>
      </c>
      <c r="W490" s="98">
        <f>IFERROR(__xludf.DUMMYFUNCTION("""COMPUTED_VALUE"""),44113.0)</f>
        <v>44113</v>
      </c>
      <c r="X490" s="96" t="str">
        <f>IFERROR(__xludf.DUMMYFUNCTION("""COMPUTED_VALUE"""),"NDOMA PRIN")</f>
        <v>NDOMA PRIN</v>
      </c>
      <c r="Y490" s="96" t="str">
        <f>IFERROR(__xludf.DUMMYFUNCTION("""COMPUTED_VALUE"""),"NDOMA PRIN6")</f>
        <v>NDOMA PRIN6</v>
      </c>
      <c r="Z490" s="96"/>
      <c r="AA490" s="96"/>
      <c r="AB490" s="96"/>
      <c r="AC490" s="96"/>
      <c r="AD490" s="96"/>
      <c r="AE490" s="96"/>
      <c r="AF490" s="96">
        <f>IFERROR(__xludf.DUMMYFUNCTION("""COMPUTED_VALUE"""),300000.0)</f>
        <v>300000</v>
      </c>
      <c r="AG490" s="99">
        <f>IFERROR(__xludf.DUMMYFUNCTION("""COMPUTED_VALUE"""),300000.0)</f>
        <v>300000</v>
      </c>
      <c r="AH490" s="96"/>
      <c r="AI490" s="96">
        <f>IFERROR(__xludf.DUMMYFUNCTION("""COMPUTED_VALUE"""),0.0)</f>
        <v>0</v>
      </c>
      <c r="AJ490" s="96">
        <f>IFERROR(__xludf.DUMMYFUNCTION("""COMPUTED_VALUE"""),0.0)</f>
        <v>0</v>
      </c>
      <c r="AK490" s="96">
        <f>IFERROR(__xludf.DUMMYFUNCTION("""COMPUTED_VALUE"""),0.0)</f>
        <v>0</v>
      </c>
      <c r="AL490" s="129">
        <f>IFERROR(__xludf.DUMMYFUNCTION("""COMPUTED_VALUE"""),0.0)</f>
        <v>0</v>
      </c>
      <c r="AM490" s="99"/>
    </row>
    <row r="491">
      <c r="V491" s="96">
        <f>IFERROR(__xludf.DUMMYFUNCTION("""COMPUTED_VALUE"""),21.0)</f>
        <v>21</v>
      </c>
      <c r="W491" s="98">
        <f>IFERROR(__xludf.DUMMYFUNCTION("""COMPUTED_VALUE"""),44113.0)</f>
        <v>44113</v>
      </c>
      <c r="X491" s="96" t="str">
        <f>IFERROR(__xludf.DUMMYFUNCTION("""COMPUTED_VALUE"""),"BOSURU  BOSURU")</f>
        <v>BOSURU  BOSURU</v>
      </c>
      <c r="Y491" s="96" t="str">
        <f>IFERROR(__xludf.DUMMYFUNCTION("""COMPUTED_VALUE"""),"BOSURU  BOSURU21")</f>
        <v>BOSURU  BOSURU21</v>
      </c>
      <c r="Z491" s="96"/>
      <c r="AA491" s="96"/>
      <c r="AB491" s="96"/>
      <c r="AC491" s="96"/>
      <c r="AD491" s="96"/>
      <c r="AE491" s="96"/>
      <c r="AF491" s="96">
        <f>IFERROR(__xludf.DUMMYFUNCTION("""COMPUTED_VALUE"""),250000.0)</f>
        <v>250000</v>
      </c>
      <c r="AG491" s="99">
        <f>IFERROR(__xludf.DUMMYFUNCTION("""COMPUTED_VALUE"""),250000.0)</f>
        <v>250000</v>
      </c>
      <c r="AH491" s="96"/>
      <c r="AI491" s="96">
        <f>IFERROR(__xludf.DUMMYFUNCTION("""COMPUTED_VALUE"""),0.0)</f>
        <v>0</v>
      </c>
      <c r="AJ491" s="96">
        <f>IFERROR(__xludf.DUMMYFUNCTION("""COMPUTED_VALUE"""),0.0)</f>
        <v>0</v>
      </c>
      <c r="AK491" s="96">
        <f>IFERROR(__xludf.DUMMYFUNCTION("""COMPUTED_VALUE"""),0.0)</f>
        <v>0</v>
      </c>
      <c r="AL491" s="129">
        <f>IFERROR(__xludf.DUMMYFUNCTION("""COMPUTED_VALUE"""),0.0)</f>
        <v>0</v>
      </c>
      <c r="AM491" s="99"/>
    </row>
    <row r="492">
      <c r="V492" s="96">
        <f>IFERROR(__xludf.DUMMYFUNCTION("""COMPUTED_VALUE"""),1.0)</f>
        <v>1</v>
      </c>
      <c r="W492" s="98">
        <f>IFERROR(__xludf.DUMMYFUNCTION("""COMPUTED_VALUE"""),44113.0)</f>
        <v>44113</v>
      </c>
      <c r="X492" s="96" t="str">
        <f>IFERROR(__xludf.DUMMYFUNCTION("""COMPUTED_VALUE"""),"MATIAT Y")</f>
        <v>MATIAT Y</v>
      </c>
      <c r="Y492" s="96" t="str">
        <f>IFERROR(__xludf.DUMMYFUNCTION("""COMPUTED_VALUE"""),"MATIAT Y1")</f>
        <v>MATIAT Y1</v>
      </c>
      <c r="Z492" s="96"/>
      <c r="AA492" s="96"/>
      <c r="AB492" s="96"/>
      <c r="AC492" s="96"/>
      <c r="AD492" s="96"/>
      <c r="AE492" s="96"/>
      <c r="AF492" s="96">
        <f>IFERROR(__xludf.DUMMYFUNCTION("""COMPUTED_VALUE"""),1200000.0)</f>
        <v>1200000</v>
      </c>
      <c r="AG492" s="99">
        <f>IFERROR(__xludf.DUMMYFUNCTION("""COMPUTED_VALUE"""),1200000.0)</f>
        <v>1200000</v>
      </c>
      <c r="AH492" s="96"/>
      <c r="AI492" s="96">
        <f>IFERROR(__xludf.DUMMYFUNCTION("""COMPUTED_VALUE"""),0.0)</f>
        <v>0</v>
      </c>
      <c r="AJ492" s="96">
        <f>IFERROR(__xludf.DUMMYFUNCTION("""COMPUTED_VALUE"""),0.0)</f>
        <v>0</v>
      </c>
      <c r="AK492" s="96">
        <f>IFERROR(__xludf.DUMMYFUNCTION("""COMPUTED_VALUE"""),0.0)</f>
        <v>0</v>
      </c>
      <c r="AL492" s="129">
        <f>IFERROR(__xludf.DUMMYFUNCTION("""COMPUTED_VALUE"""),0.0)</f>
        <v>0</v>
      </c>
      <c r="AM492" s="99"/>
    </row>
    <row r="493">
      <c r="V493" s="96">
        <f>IFERROR(__xludf.DUMMYFUNCTION("""COMPUTED_VALUE"""),13.0)</f>
        <v>13</v>
      </c>
      <c r="W493" s="98">
        <f>IFERROR(__xludf.DUMMYFUNCTION("""COMPUTED_VALUE"""),44113.0)</f>
        <v>44113</v>
      </c>
      <c r="X493" s="96" t="str">
        <f>IFERROR(__xludf.DUMMYFUNCTION("""COMPUTED_VALUE"""),"ALFRED ALABI")</f>
        <v>ALFRED ALABI</v>
      </c>
      <c r="Y493" s="96" t="str">
        <f>IFERROR(__xludf.DUMMYFUNCTION("""COMPUTED_VALUE"""),"ALFRED ALABI13")</f>
        <v>ALFRED ALABI13</v>
      </c>
      <c r="Z493" s="96"/>
      <c r="AA493" s="96"/>
      <c r="AB493" s="96"/>
      <c r="AC493" s="96"/>
      <c r="AD493" s="96"/>
      <c r="AE493" s="96"/>
      <c r="AF493" s="96">
        <f>IFERROR(__xludf.DUMMYFUNCTION("""COMPUTED_VALUE"""),6000.0)</f>
        <v>6000</v>
      </c>
      <c r="AG493" s="99">
        <f>IFERROR(__xludf.DUMMYFUNCTION("""COMPUTED_VALUE"""),6000.0)</f>
        <v>6000</v>
      </c>
      <c r="AH493" s="96"/>
      <c r="AI493" s="96">
        <f>IFERROR(__xludf.DUMMYFUNCTION("""COMPUTED_VALUE"""),0.0)</f>
        <v>0</v>
      </c>
      <c r="AJ493" s="96">
        <f>IFERROR(__xludf.DUMMYFUNCTION("""COMPUTED_VALUE"""),0.0)</f>
        <v>0</v>
      </c>
      <c r="AK493" s="96">
        <f>IFERROR(__xludf.DUMMYFUNCTION("""COMPUTED_VALUE"""),0.0)</f>
        <v>0</v>
      </c>
      <c r="AL493" s="129">
        <f>IFERROR(__xludf.DUMMYFUNCTION("""COMPUTED_VALUE"""),0.0)</f>
        <v>0</v>
      </c>
      <c r="AM493" s="99"/>
    </row>
    <row r="494">
      <c r="V494" s="96">
        <f>IFERROR(__xludf.DUMMYFUNCTION("""COMPUTED_VALUE"""),22.0)</f>
        <v>22</v>
      </c>
      <c r="W494" s="98">
        <f>IFERROR(__xludf.DUMMYFUNCTION("""COMPUTED_VALUE"""),44113.0)</f>
        <v>44113</v>
      </c>
      <c r="X494" s="96" t="str">
        <f>IFERROR(__xludf.DUMMYFUNCTION("""COMPUTED_VALUE"""),"BOSURU  BOSURU")</f>
        <v>BOSURU  BOSURU</v>
      </c>
      <c r="Y494" s="96" t="str">
        <f>IFERROR(__xludf.DUMMYFUNCTION("""COMPUTED_VALUE"""),"BOSURU  BOSURU22")</f>
        <v>BOSURU  BOSURU22</v>
      </c>
      <c r="Z494" s="96"/>
      <c r="AA494" s="96"/>
      <c r="AB494" s="96"/>
      <c r="AC494" s="96"/>
      <c r="AD494" s="96"/>
      <c r="AE494" s="96"/>
      <c r="AF494" s="96">
        <f>IFERROR(__xludf.DUMMYFUNCTION("""COMPUTED_VALUE"""),1661000.0)</f>
        <v>1661000</v>
      </c>
      <c r="AG494" s="99">
        <f>IFERROR(__xludf.DUMMYFUNCTION("""COMPUTED_VALUE"""),1661000.0)</f>
        <v>1661000</v>
      </c>
      <c r="AH494" s="96"/>
      <c r="AI494" s="96">
        <f>IFERROR(__xludf.DUMMYFUNCTION("""COMPUTED_VALUE"""),0.0)</f>
        <v>0</v>
      </c>
      <c r="AJ494" s="96">
        <f>IFERROR(__xludf.DUMMYFUNCTION("""COMPUTED_VALUE"""),0.0)</f>
        <v>0</v>
      </c>
      <c r="AK494" s="96">
        <f>IFERROR(__xludf.DUMMYFUNCTION("""COMPUTED_VALUE"""),0.0)</f>
        <v>0</v>
      </c>
      <c r="AL494" s="129">
        <f>IFERROR(__xludf.DUMMYFUNCTION("""COMPUTED_VALUE"""),0.0)</f>
        <v>0</v>
      </c>
      <c r="AM494" s="99"/>
    </row>
    <row r="495">
      <c r="V495" s="96">
        <f>IFERROR(__xludf.DUMMYFUNCTION("""COMPUTED_VALUE"""),1.0)</f>
        <v>1</v>
      </c>
      <c r="W495" s="98">
        <f>IFERROR(__xludf.DUMMYFUNCTION("""COMPUTED_VALUE"""),44113.0)</f>
        <v>44113</v>
      </c>
      <c r="X495" s="96" t="str">
        <f>IFERROR(__xludf.DUMMYFUNCTION("""COMPUTED_VALUE"""),"SAMUEL KEIBO")</f>
        <v>SAMUEL KEIBO</v>
      </c>
      <c r="Y495" s="96" t="str">
        <f>IFERROR(__xludf.DUMMYFUNCTION("""COMPUTED_VALUE"""),"SAMUEL KEIBO1")</f>
        <v>SAMUEL KEIBO1</v>
      </c>
      <c r="Z495" s="96"/>
      <c r="AA495" s="96"/>
      <c r="AB495" s="96"/>
      <c r="AC495" s="96"/>
      <c r="AD495" s="96"/>
      <c r="AE495" s="96"/>
      <c r="AF495" s="96">
        <f>IFERROR(__xludf.DUMMYFUNCTION("""COMPUTED_VALUE"""),570000.0)</f>
        <v>570000</v>
      </c>
      <c r="AG495" s="99">
        <f>IFERROR(__xludf.DUMMYFUNCTION("""COMPUTED_VALUE"""),570000.0)</f>
        <v>570000</v>
      </c>
      <c r="AH495" s="96"/>
      <c r="AI495" s="96">
        <f>IFERROR(__xludf.DUMMYFUNCTION("""COMPUTED_VALUE"""),0.0)</f>
        <v>0</v>
      </c>
      <c r="AJ495" s="96">
        <f>IFERROR(__xludf.DUMMYFUNCTION("""COMPUTED_VALUE"""),0.0)</f>
        <v>0</v>
      </c>
      <c r="AK495" s="96">
        <f>IFERROR(__xludf.DUMMYFUNCTION("""COMPUTED_VALUE"""),0.0)</f>
        <v>0</v>
      </c>
      <c r="AL495" s="129">
        <f>IFERROR(__xludf.DUMMYFUNCTION("""COMPUTED_VALUE"""),0.0)</f>
        <v>0</v>
      </c>
      <c r="AM495" s="99"/>
    </row>
    <row r="496">
      <c r="V496" s="96">
        <f>IFERROR(__xludf.DUMMYFUNCTION("""COMPUTED_VALUE"""),7.0)</f>
        <v>7</v>
      </c>
      <c r="W496" s="98">
        <f>IFERROR(__xludf.DUMMYFUNCTION("""COMPUTED_VALUE"""),44113.0)</f>
        <v>44113</v>
      </c>
      <c r="X496" s="96" t="str">
        <f>IFERROR(__xludf.DUMMYFUNCTION("""COMPUTED_VALUE"""),"AGEGE BOY")</f>
        <v>AGEGE BOY</v>
      </c>
      <c r="Y496" s="96" t="str">
        <f>IFERROR(__xludf.DUMMYFUNCTION("""COMPUTED_VALUE"""),"AGEGE BOY7")</f>
        <v>AGEGE BOY7</v>
      </c>
      <c r="Z496" s="96"/>
      <c r="AA496" s="96"/>
      <c r="AB496" s="96"/>
      <c r="AC496" s="96"/>
      <c r="AD496" s="96"/>
      <c r="AE496" s="96"/>
      <c r="AF496" s="96">
        <f>IFERROR(__xludf.DUMMYFUNCTION("""COMPUTED_VALUE"""),1780700.0)</f>
        <v>1780700</v>
      </c>
      <c r="AG496" s="99">
        <f>IFERROR(__xludf.DUMMYFUNCTION("""COMPUTED_VALUE"""),1780700.0)</f>
        <v>1780700</v>
      </c>
      <c r="AH496" s="96"/>
      <c r="AI496" s="96">
        <f>IFERROR(__xludf.DUMMYFUNCTION("""COMPUTED_VALUE"""),0.0)</f>
        <v>0</v>
      </c>
      <c r="AJ496" s="96">
        <f>IFERROR(__xludf.DUMMYFUNCTION("""COMPUTED_VALUE"""),0.0)</f>
        <v>0</v>
      </c>
      <c r="AK496" s="96">
        <f>IFERROR(__xludf.DUMMYFUNCTION("""COMPUTED_VALUE"""),0.0)</f>
        <v>0</v>
      </c>
      <c r="AL496" s="129">
        <f>IFERROR(__xludf.DUMMYFUNCTION("""COMPUTED_VALUE"""),0.0)</f>
        <v>0</v>
      </c>
      <c r="AM496" s="99"/>
    </row>
    <row r="497">
      <c r="V497" s="96">
        <f>IFERROR(__xludf.DUMMYFUNCTION("""COMPUTED_VALUE"""),15.0)</f>
        <v>15</v>
      </c>
      <c r="W497" s="98">
        <f>IFERROR(__xludf.DUMMYFUNCTION("""COMPUTED_VALUE"""),44114.0)</f>
        <v>44114</v>
      </c>
      <c r="X497" s="96" t="str">
        <f>IFERROR(__xludf.DUMMYFUNCTION("""COMPUTED_VALUE"""),"OTU KOKO KEIBO")</f>
        <v>OTU KOKO KEIBO</v>
      </c>
      <c r="Y497" s="96" t="str">
        <f>IFERROR(__xludf.DUMMYFUNCTION("""COMPUTED_VALUE"""),"OTU KOKO KEIBO15")</f>
        <v>OTU KOKO KEIBO15</v>
      </c>
      <c r="Z497" s="96"/>
      <c r="AA497" s="96"/>
      <c r="AB497" s="96"/>
      <c r="AC497" s="96"/>
      <c r="AD497" s="96"/>
      <c r="AE497" s="96"/>
      <c r="AF497" s="96">
        <f>IFERROR(__xludf.DUMMYFUNCTION("""COMPUTED_VALUE"""),800000.0)</f>
        <v>800000</v>
      </c>
      <c r="AG497" s="99">
        <f>IFERROR(__xludf.DUMMYFUNCTION("""COMPUTED_VALUE"""),800000.0)</f>
        <v>800000</v>
      </c>
      <c r="AH497" s="96"/>
      <c r="AI497" s="96">
        <f>IFERROR(__xludf.DUMMYFUNCTION("""COMPUTED_VALUE"""),0.0)</f>
        <v>0</v>
      </c>
      <c r="AJ497" s="96">
        <f>IFERROR(__xludf.DUMMYFUNCTION("""COMPUTED_VALUE"""),0.0)</f>
        <v>0</v>
      </c>
      <c r="AK497" s="96">
        <f>IFERROR(__xludf.DUMMYFUNCTION("""COMPUTED_VALUE"""),0.0)</f>
        <v>0</v>
      </c>
      <c r="AL497" s="129">
        <f>IFERROR(__xludf.DUMMYFUNCTION("""COMPUTED_VALUE"""),0.0)</f>
        <v>0</v>
      </c>
      <c r="AM497" s="99"/>
    </row>
    <row r="498">
      <c r="V498" s="96">
        <f>IFERROR(__xludf.DUMMYFUNCTION("""COMPUTED_VALUE"""),16.0)</f>
        <v>16</v>
      </c>
      <c r="W498" s="98">
        <f>IFERROR(__xludf.DUMMYFUNCTION("""COMPUTED_VALUE"""),44114.0)</f>
        <v>44114</v>
      </c>
      <c r="X498" s="96" t="str">
        <f>IFERROR(__xludf.DUMMYFUNCTION("""COMPUTED_VALUE"""),"OTU KOKO KEIBO")</f>
        <v>OTU KOKO KEIBO</v>
      </c>
      <c r="Y498" s="96" t="str">
        <f>IFERROR(__xludf.DUMMYFUNCTION("""COMPUTED_VALUE"""),"OTU KOKO KEIBO16")</f>
        <v>OTU KOKO KEIBO16</v>
      </c>
      <c r="Z498" s="96"/>
      <c r="AA498" s="96"/>
      <c r="AB498" s="96"/>
      <c r="AC498" s="96"/>
      <c r="AD498" s="96"/>
      <c r="AE498" s="96"/>
      <c r="AF498" s="96">
        <f>IFERROR(__xludf.DUMMYFUNCTION("""COMPUTED_VALUE"""),800000.0)</f>
        <v>800000</v>
      </c>
      <c r="AG498" s="99">
        <f>IFERROR(__xludf.DUMMYFUNCTION("""COMPUTED_VALUE"""),800000.0)</f>
        <v>800000</v>
      </c>
      <c r="AH498" s="96"/>
      <c r="AI498" s="96">
        <f>IFERROR(__xludf.DUMMYFUNCTION("""COMPUTED_VALUE"""),0.0)</f>
        <v>0</v>
      </c>
      <c r="AJ498" s="96">
        <f>IFERROR(__xludf.DUMMYFUNCTION("""COMPUTED_VALUE"""),0.0)</f>
        <v>0</v>
      </c>
      <c r="AK498" s="96">
        <f>IFERROR(__xludf.DUMMYFUNCTION("""COMPUTED_VALUE"""),0.0)</f>
        <v>0</v>
      </c>
      <c r="AL498" s="129">
        <f>IFERROR(__xludf.DUMMYFUNCTION("""COMPUTED_VALUE"""),0.0)</f>
        <v>0</v>
      </c>
      <c r="AM498" s="99"/>
    </row>
    <row r="499">
      <c r="V499" s="96">
        <f>IFERROR(__xludf.DUMMYFUNCTION("""COMPUTED_VALUE"""),6.0)</f>
        <v>6</v>
      </c>
      <c r="W499" s="98">
        <f>IFERROR(__xludf.DUMMYFUNCTION("""COMPUTED_VALUE"""),44114.0)</f>
        <v>44114</v>
      </c>
      <c r="X499" s="96" t="str">
        <f>IFERROR(__xludf.DUMMYFUNCTION("""COMPUTED_VALUE"""),"R.  MAXWELL AGRO")</f>
        <v>R.  MAXWELL AGRO</v>
      </c>
      <c r="Y499" s="96" t="str">
        <f>IFERROR(__xludf.DUMMYFUNCTION("""COMPUTED_VALUE"""),"R.  MAXWELL AGRO6")</f>
        <v>R.  MAXWELL AGRO6</v>
      </c>
      <c r="Z499" s="96"/>
      <c r="AA499" s="96"/>
      <c r="AB499" s="96"/>
      <c r="AC499" s="96"/>
      <c r="AD499" s="96"/>
      <c r="AE499" s="96"/>
      <c r="AF499" s="96">
        <f>IFERROR(__xludf.DUMMYFUNCTION("""COMPUTED_VALUE"""),12000.0)</f>
        <v>12000</v>
      </c>
      <c r="AG499" s="99">
        <f>IFERROR(__xludf.DUMMYFUNCTION("""COMPUTED_VALUE"""),12000.0)</f>
        <v>12000</v>
      </c>
      <c r="AH499" s="96"/>
      <c r="AI499" s="96">
        <f>IFERROR(__xludf.DUMMYFUNCTION("""COMPUTED_VALUE"""),0.0)</f>
        <v>0</v>
      </c>
      <c r="AJ499" s="96">
        <f>IFERROR(__xludf.DUMMYFUNCTION("""COMPUTED_VALUE"""),0.0)</f>
        <v>0</v>
      </c>
      <c r="AK499" s="96">
        <f>IFERROR(__xludf.DUMMYFUNCTION("""COMPUTED_VALUE"""),0.0)</f>
        <v>0</v>
      </c>
      <c r="AL499" s="129">
        <f>IFERROR(__xludf.DUMMYFUNCTION("""COMPUTED_VALUE"""),0.0)</f>
        <v>0</v>
      </c>
      <c r="AM499" s="99"/>
    </row>
    <row r="500">
      <c r="V500" s="96">
        <f>IFERROR(__xludf.DUMMYFUNCTION("""COMPUTED_VALUE"""),17.0)</f>
        <v>17</v>
      </c>
      <c r="W500" s="98">
        <f>IFERROR(__xludf.DUMMYFUNCTION("""COMPUTED_VALUE"""),44114.0)</f>
        <v>44114</v>
      </c>
      <c r="X500" s="96" t="str">
        <f>IFERROR(__xludf.DUMMYFUNCTION("""COMPUTED_VALUE"""),"OTU KOKO KEIBO")</f>
        <v>OTU KOKO KEIBO</v>
      </c>
      <c r="Y500" s="96" t="str">
        <f>IFERROR(__xludf.DUMMYFUNCTION("""COMPUTED_VALUE"""),"OTU KOKO KEIBO17")</f>
        <v>OTU KOKO KEIBO17</v>
      </c>
      <c r="Z500" s="96"/>
      <c r="AA500" s="96"/>
      <c r="AB500" s="96"/>
      <c r="AC500" s="96"/>
      <c r="AD500" s="96"/>
      <c r="AE500" s="96"/>
      <c r="AF500" s="96">
        <f>IFERROR(__xludf.DUMMYFUNCTION("""COMPUTED_VALUE"""),800000.0)</f>
        <v>800000</v>
      </c>
      <c r="AG500" s="99">
        <f>IFERROR(__xludf.DUMMYFUNCTION("""COMPUTED_VALUE"""),800000.0)</f>
        <v>800000</v>
      </c>
      <c r="AH500" s="96"/>
      <c r="AI500" s="96">
        <f>IFERROR(__xludf.DUMMYFUNCTION("""COMPUTED_VALUE"""),0.0)</f>
        <v>0</v>
      </c>
      <c r="AJ500" s="96">
        <f>IFERROR(__xludf.DUMMYFUNCTION("""COMPUTED_VALUE"""),0.0)</f>
        <v>0</v>
      </c>
      <c r="AK500" s="96">
        <f>IFERROR(__xludf.DUMMYFUNCTION("""COMPUTED_VALUE"""),0.0)</f>
        <v>0</v>
      </c>
      <c r="AL500" s="129">
        <f>IFERROR(__xludf.DUMMYFUNCTION("""COMPUTED_VALUE"""),0.0)</f>
        <v>0</v>
      </c>
      <c r="AM500" s="99"/>
    </row>
    <row r="501">
      <c r="V501" s="96">
        <f>IFERROR(__xludf.DUMMYFUNCTION("""COMPUTED_VALUE"""),2.0)</f>
        <v>2</v>
      </c>
      <c r="W501" s="98">
        <f>IFERROR(__xludf.DUMMYFUNCTION("""COMPUTED_VALUE"""),44114.0)</f>
        <v>44114</v>
      </c>
      <c r="X501" s="96" t="str">
        <f>IFERROR(__xludf.DUMMYFUNCTION("""COMPUTED_VALUE"""),"NELSON &amp; PALUS")</f>
        <v>NELSON &amp; PALUS</v>
      </c>
      <c r="Y501" s="96" t="str">
        <f>IFERROR(__xludf.DUMMYFUNCTION("""COMPUTED_VALUE"""),"NELSON &amp; PALUS2")</f>
        <v>NELSON &amp; PALUS2</v>
      </c>
      <c r="Z501" s="96"/>
      <c r="AA501" s="96"/>
      <c r="AB501" s="96"/>
      <c r="AC501" s="96"/>
      <c r="AD501" s="96"/>
      <c r="AE501" s="96"/>
      <c r="AF501" s="96">
        <f>IFERROR(__xludf.DUMMYFUNCTION("""COMPUTED_VALUE"""),12000.0)</f>
        <v>12000</v>
      </c>
      <c r="AG501" s="99">
        <f>IFERROR(__xludf.DUMMYFUNCTION("""COMPUTED_VALUE"""),12000.0)</f>
        <v>12000</v>
      </c>
      <c r="AH501" s="96"/>
      <c r="AI501" s="96">
        <f>IFERROR(__xludf.DUMMYFUNCTION("""COMPUTED_VALUE"""),0.0)</f>
        <v>0</v>
      </c>
      <c r="AJ501" s="96">
        <f>IFERROR(__xludf.DUMMYFUNCTION("""COMPUTED_VALUE"""),0.0)</f>
        <v>0</v>
      </c>
      <c r="AK501" s="96">
        <f>IFERROR(__xludf.DUMMYFUNCTION("""COMPUTED_VALUE"""),0.0)</f>
        <v>0</v>
      </c>
      <c r="AL501" s="129">
        <f>IFERROR(__xludf.DUMMYFUNCTION("""COMPUTED_VALUE"""),0.0)</f>
        <v>0</v>
      </c>
      <c r="AM501" s="99"/>
    </row>
    <row r="502">
      <c r="V502" s="96">
        <f>IFERROR(__xludf.DUMMYFUNCTION("""COMPUTED_VALUE"""),16.0)</f>
        <v>16</v>
      </c>
      <c r="W502" s="98">
        <f>IFERROR(__xludf.DUMMYFUNCTION("""COMPUTED_VALUE"""),44109.0)</f>
        <v>44109</v>
      </c>
      <c r="X502" s="96" t="str">
        <f>IFERROR(__xludf.DUMMYFUNCTION("""COMPUTED_VALUE"""),"ANDRDEW GREAT")</f>
        <v>ANDRDEW GREAT</v>
      </c>
      <c r="Y502" s="96" t="str">
        <f>IFERROR(__xludf.DUMMYFUNCTION("""COMPUTED_VALUE"""),"ANDRDEW GREAT16")</f>
        <v>ANDRDEW GREAT16</v>
      </c>
      <c r="Z502" s="96">
        <f>IFERROR(__xludf.DUMMYFUNCTION("""COMPUTED_VALUE"""),2220.0)</f>
        <v>2220</v>
      </c>
      <c r="AA502" s="96">
        <f>IFERROR(__xludf.DUMMYFUNCTION("""COMPUTED_VALUE"""),331.0)</f>
        <v>331</v>
      </c>
      <c r="AB502" s="96"/>
      <c r="AC502" s="96">
        <f>IFERROR(__xludf.DUMMYFUNCTION("""COMPUTED_VALUE"""),32.0)</f>
        <v>32</v>
      </c>
      <c r="AD502" s="96"/>
      <c r="AE502" s="96">
        <f>IFERROR(__xludf.DUMMYFUNCTION("""COMPUTED_VALUE"""),946.6)</f>
        <v>946.6</v>
      </c>
      <c r="AF502" s="96"/>
      <c r="AG502" s="99">
        <f>IFERROR(__xludf.DUMMYFUNCTION("""COMPUTED_VALUE"""),-2022890.0)</f>
        <v>-2022890</v>
      </c>
      <c r="AH502" s="96">
        <f>IFERROR(__xludf.DUMMYFUNCTION("""COMPUTED_VALUE"""),10.34)</f>
        <v>10.34</v>
      </c>
      <c r="AI502" s="96">
        <f>IFERROR(__xludf.DUMMYFUNCTION("""COMPUTED_VALUE"""),51.0)</f>
        <v>51</v>
      </c>
      <c r="AJ502" s="96">
        <f>IFERROR(__xludf.DUMMYFUNCTION("""COMPUTED_VALUE"""),33.0)</f>
        <v>33</v>
      </c>
      <c r="AK502" s="96">
        <f>IFERROR(__xludf.DUMMYFUNCTION("""COMPUTED_VALUE"""),57.0)</f>
        <v>57</v>
      </c>
      <c r="AL502" s="129">
        <f>IFERROR(__xludf.DUMMYFUNCTION("""COMPUTED_VALUE"""),2137.0)</f>
        <v>2137</v>
      </c>
      <c r="AM502" s="99">
        <f>IFERROR(__xludf.DUMMYFUNCTION("""COMPUTED_VALUE"""),2022890.0)</f>
        <v>2022890</v>
      </c>
    </row>
    <row r="503">
      <c r="V503" s="96">
        <f>IFERROR(__xludf.DUMMYFUNCTION("""COMPUTED_VALUE"""),23.0)</f>
        <v>23</v>
      </c>
      <c r="W503" s="98">
        <f>IFERROR(__xludf.DUMMYFUNCTION("""COMPUTED_VALUE"""),44107.0)</f>
        <v>44107</v>
      </c>
      <c r="X503" s="96" t="str">
        <f>IFERROR(__xludf.DUMMYFUNCTION("""COMPUTED_VALUE"""),"BOSURU  BOSURU")</f>
        <v>BOSURU  BOSURU</v>
      </c>
      <c r="Y503" s="96" t="str">
        <f>IFERROR(__xludf.DUMMYFUNCTION("""COMPUTED_VALUE"""),"BOSURU  BOSURU23")</f>
        <v>BOSURU  BOSURU23</v>
      </c>
      <c r="Z503" s="96">
        <f>IFERROR(__xludf.DUMMYFUNCTION("""COMPUTED_VALUE"""),2253.0)</f>
        <v>2253</v>
      </c>
      <c r="AA503" s="96">
        <f>IFERROR(__xludf.DUMMYFUNCTION("""COMPUTED_VALUE"""),278.0)</f>
        <v>278</v>
      </c>
      <c r="AB503" s="96"/>
      <c r="AC503" s="96">
        <f>IFERROR(__xludf.DUMMYFUNCTION("""COMPUTED_VALUE"""),28.0)</f>
        <v>28</v>
      </c>
      <c r="AD503" s="96"/>
      <c r="AE503" s="96">
        <f>IFERROR(__xludf.DUMMYFUNCTION("""COMPUTED_VALUE"""),1334.3)</f>
        <v>1334.3</v>
      </c>
      <c r="AF503" s="96"/>
      <c r="AG503" s="99">
        <f>IFERROR(__xludf.DUMMYFUNCTION("""COMPUTED_VALUE"""),-2911450.0)</f>
        <v>-2911450</v>
      </c>
      <c r="AH503" s="96">
        <f>IFERROR(__xludf.DUMMYFUNCTION("""COMPUTED_VALUE"""),9.93)</f>
        <v>9.93</v>
      </c>
      <c r="AI503" s="96">
        <f>IFERROR(__xludf.DUMMYFUNCTION("""COMPUTED_VALUE"""),43.0)</f>
        <v>43</v>
      </c>
      <c r="AJ503" s="96">
        <f>IFERROR(__xludf.DUMMYFUNCTION("""COMPUTED_VALUE"""),34.0)</f>
        <v>34</v>
      </c>
      <c r="AK503" s="96">
        <f>IFERROR(__xludf.DUMMYFUNCTION("""COMPUTED_VALUE"""),39.0)</f>
        <v>39</v>
      </c>
      <c r="AL503" s="129">
        <f>IFERROR(__xludf.DUMMYFUNCTION("""COMPUTED_VALUE"""),2182.0)</f>
        <v>2182</v>
      </c>
      <c r="AM503" s="99">
        <f>IFERROR(__xludf.DUMMYFUNCTION("""COMPUTED_VALUE"""),2911450.0)</f>
        <v>2911450</v>
      </c>
    </row>
    <row r="504">
      <c r="V504" s="96">
        <f>IFERROR(__xludf.DUMMYFUNCTION("""COMPUTED_VALUE"""),5.0)</f>
        <v>5</v>
      </c>
      <c r="W504" s="98">
        <f>IFERROR(__xludf.DUMMYFUNCTION("""COMPUTED_VALUE"""),44112.0)</f>
        <v>44112</v>
      </c>
      <c r="X504" s="96" t="str">
        <f>IFERROR(__xludf.DUMMYFUNCTION("""COMPUTED_VALUE"""),"CHINWE CHIDI")</f>
        <v>CHINWE CHIDI</v>
      </c>
      <c r="Y504" s="96" t="str">
        <f>IFERROR(__xludf.DUMMYFUNCTION("""COMPUTED_VALUE"""),"CHINWE CHIDI5")</f>
        <v>CHINWE CHIDI5</v>
      </c>
      <c r="Z504" s="96">
        <f>IFERROR(__xludf.DUMMYFUNCTION("""COMPUTED_VALUE"""),1553.0)</f>
        <v>1553</v>
      </c>
      <c r="AA504" s="96">
        <f>IFERROR(__xludf.DUMMYFUNCTION("""COMPUTED_VALUE"""),206.5)</f>
        <v>206.5</v>
      </c>
      <c r="AB504" s="96"/>
      <c r="AC504" s="96">
        <f>IFERROR(__xludf.DUMMYFUNCTION("""COMPUTED_VALUE"""),19.0)</f>
        <v>19</v>
      </c>
      <c r="AD504" s="96"/>
      <c r="AE504" s="96">
        <f>IFERROR(__xludf.DUMMYFUNCTION("""COMPUTED_VALUE"""),965.97)</f>
        <v>965.97</v>
      </c>
      <c r="AF504" s="96"/>
      <c r="AG504" s="99">
        <f>IFERROR(__xludf.DUMMYFUNCTION("""COMPUTED_VALUE"""),-1439300.0)</f>
        <v>-1439300</v>
      </c>
      <c r="AH504" s="96">
        <f>IFERROR(__xludf.DUMMYFUNCTION("""COMPUTED_VALUE"""),10.87)</f>
        <v>10.87</v>
      </c>
      <c r="AI504" s="96">
        <f>IFERROR(__xludf.DUMMYFUNCTION("""COMPUTED_VALUE"""),44.0)</f>
        <v>44</v>
      </c>
      <c r="AJ504" s="96">
        <f>IFERROR(__xludf.DUMMYFUNCTION("""COMPUTED_VALUE"""),23.0)</f>
        <v>23</v>
      </c>
      <c r="AK504" s="96">
        <f>IFERROR(__xludf.DUMMYFUNCTION("""COMPUTED_VALUE"""),41.0)</f>
        <v>41</v>
      </c>
      <c r="AL504" s="129">
        <f>IFERROR(__xludf.DUMMYFUNCTION("""COMPUTED_VALUE"""),1490.0)</f>
        <v>1490</v>
      </c>
      <c r="AM504" s="99">
        <f>IFERROR(__xludf.DUMMYFUNCTION("""COMPUTED_VALUE"""),1439300.0)</f>
        <v>1439300</v>
      </c>
    </row>
    <row r="505">
      <c r="V505" s="96">
        <f>IFERROR(__xludf.DUMMYFUNCTION("""COMPUTED_VALUE"""),20.0)</f>
        <v>20</v>
      </c>
      <c r="W505" s="98">
        <f>IFERROR(__xludf.DUMMYFUNCTION("""COMPUTED_VALUE"""),44109.0)</f>
        <v>44109</v>
      </c>
      <c r="X505" s="96" t="str">
        <f>IFERROR(__xludf.DUMMYFUNCTION("""COMPUTED_VALUE"""),"ETUK EFFI")</f>
        <v>ETUK EFFI</v>
      </c>
      <c r="Y505" s="96" t="str">
        <f>IFERROR(__xludf.DUMMYFUNCTION("""COMPUTED_VALUE"""),"ETUK EFFI20")</f>
        <v>ETUK EFFI20</v>
      </c>
      <c r="Z505" s="96">
        <f>IFERROR(__xludf.DUMMYFUNCTION("""COMPUTED_VALUE"""),2661.0)</f>
        <v>2661</v>
      </c>
      <c r="AA505" s="96">
        <f>IFERROR(__xludf.DUMMYFUNCTION("""COMPUTED_VALUE"""),320.0)</f>
        <v>320</v>
      </c>
      <c r="AB505" s="96"/>
      <c r="AC505" s="96">
        <f>IFERROR(__xludf.DUMMYFUNCTION("""COMPUTED_VALUE"""),40.0)</f>
        <v>40</v>
      </c>
      <c r="AD505" s="96"/>
      <c r="AE505" s="96">
        <f>IFERROR(__xludf.DUMMYFUNCTION("""COMPUTED_VALUE"""),961.47)</f>
        <v>961.47</v>
      </c>
      <c r="AF505" s="96"/>
      <c r="AG505" s="99">
        <f>IFERROR(__xludf.DUMMYFUNCTION("""COMPUTED_VALUE"""),-2520000.0)</f>
        <v>-2520000</v>
      </c>
      <c r="AH505" s="96">
        <f>IFERROR(__xludf.DUMMYFUNCTION("""COMPUTED_VALUE"""),8.0)</f>
        <v>8</v>
      </c>
      <c r="AI505" s="96">
        <f>IFERROR(__xludf.DUMMYFUNCTION("""COMPUTED_VALUE"""),0.0)</f>
        <v>0</v>
      </c>
      <c r="AJ505" s="96">
        <f>IFERROR(__xludf.DUMMYFUNCTION("""COMPUTED_VALUE"""),41.0)</f>
        <v>41</v>
      </c>
      <c r="AK505" s="96">
        <f>IFERROR(__xludf.DUMMYFUNCTION("""COMPUTED_VALUE"""),37.0)</f>
        <v>37</v>
      </c>
      <c r="AL505" s="129">
        <f>IFERROR(__xludf.DUMMYFUNCTION("""COMPUTED_VALUE"""),2621.0)</f>
        <v>2621</v>
      </c>
      <c r="AM505" s="99">
        <f>IFERROR(__xludf.DUMMYFUNCTION("""COMPUTED_VALUE"""),2520000.0)</f>
        <v>2520000</v>
      </c>
    </row>
    <row r="506">
      <c r="V506" s="96">
        <f>IFERROR(__xludf.DUMMYFUNCTION("""COMPUTED_VALUE"""),8.0)</f>
        <v>8</v>
      </c>
      <c r="W506" s="98">
        <f>IFERROR(__xludf.DUMMYFUNCTION("""COMPUTED_VALUE"""),44113.0)</f>
        <v>44113</v>
      </c>
      <c r="X506" s="96" t="str">
        <f>IFERROR(__xludf.DUMMYFUNCTION("""COMPUTED_VALUE"""),"AGEGE BOY")</f>
        <v>AGEGE BOY</v>
      </c>
      <c r="Y506" s="96" t="str">
        <f>IFERROR(__xludf.DUMMYFUNCTION("""COMPUTED_VALUE"""),"AGEGE BOY8")</f>
        <v>AGEGE BOY8</v>
      </c>
      <c r="Z506" s="96">
        <f>IFERROR(__xludf.DUMMYFUNCTION("""COMPUTED_VALUE"""),1943.0)</f>
        <v>1943</v>
      </c>
      <c r="AA506" s="96">
        <f>IFERROR(__xludf.DUMMYFUNCTION("""COMPUTED_VALUE"""),224.0)</f>
        <v>224</v>
      </c>
      <c r="AB506" s="96"/>
      <c r="AC506" s="96">
        <f>IFERROR(__xludf.DUMMYFUNCTION("""COMPUTED_VALUE"""),28.0)</f>
        <v>28</v>
      </c>
      <c r="AD506" s="96"/>
      <c r="AE506" s="96">
        <f>IFERROR(__xludf.DUMMYFUNCTION("""COMPUTED_VALUE"""),929.9)</f>
        <v>929.9</v>
      </c>
      <c r="AF506" s="96"/>
      <c r="AG506" s="99">
        <f>IFERROR(__xludf.DUMMYFUNCTION("""COMPUTED_VALUE"""),-1780750.0)</f>
        <v>-1780750</v>
      </c>
      <c r="AH506" s="96">
        <f>IFERROR(__xludf.DUMMYFUNCTION("""COMPUTED_VALUE"""),8.0)</f>
        <v>8</v>
      </c>
      <c r="AI506" s="96">
        <f>IFERROR(__xludf.DUMMYFUNCTION("""COMPUTED_VALUE"""),0.0)</f>
        <v>0</v>
      </c>
      <c r="AJ506" s="96">
        <f>IFERROR(__xludf.DUMMYFUNCTION("""COMPUTED_VALUE"""),30.0)</f>
        <v>30</v>
      </c>
      <c r="AK506" s="96">
        <f>IFERROR(__xludf.DUMMYFUNCTION("""COMPUTED_VALUE"""),24.0)</f>
        <v>24</v>
      </c>
      <c r="AL506" s="129">
        <f>IFERROR(__xludf.DUMMYFUNCTION("""COMPUTED_VALUE"""),1915.0)</f>
        <v>1915</v>
      </c>
      <c r="AM506" s="99">
        <f>IFERROR(__xludf.DUMMYFUNCTION("""COMPUTED_VALUE"""),1780750.0)</f>
        <v>1780750</v>
      </c>
    </row>
    <row r="507">
      <c r="V507" s="96">
        <f>IFERROR(__xludf.DUMMYFUNCTION("""COMPUTED_VALUE"""),3.0)</f>
        <v>3</v>
      </c>
      <c r="W507" s="98">
        <f>IFERROR(__xludf.DUMMYFUNCTION("""COMPUTED_VALUE"""),44114.0)</f>
        <v>44114</v>
      </c>
      <c r="X507" s="96" t="str">
        <f>IFERROR(__xludf.DUMMYFUNCTION("""COMPUTED_VALUE"""),"NELSON &amp; PALUS")</f>
        <v>NELSON &amp; PALUS</v>
      </c>
      <c r="Y507" s="96" t="str">
        <f>IFERROR(__xludf.DUMMYFUNCTION("""COMPUTED_VALUE"""),"NELSON &amp; PALUS3")</f>
        <v>NELSON &amp; PALUS3</v>
      </c>
      <c r="Z507" s="96">
        <f>IFERROR(__xludf.DUMMYFUNCTION("""COMPUTED_VALUE"""),456.0)</f>
        <v>456</v>
      </c>
      <c r="AA507" s="96">
        <f>IFERROR(__xludf.DUMMYFUNCTION("""COMPUTED_VALUE"""),78.0)</f>
        <v>78</v>
      </c>
      <c r="AB507" s="96"/>
      <c r="AC507" s="96">
        <f>IFERROR(__xludf.DUMMYFUNCTION("""COMPUTED_VALUE"""),7.0)</f>
        <v>7</v>
      </c>
      <c r="AD507" s="96"/>
      <c r="AE507" s="96">
        <f>IFERROR(__xludf.DUMMYFUNCTION("""COMPUTED_VALUE"""),966.27)</f>
        <v>966.27</v>
      </c>
      <c r="AF507" s="96"/>
      <c r="AG507" s="99">
        <f>IFERROR(__xludf.DUMMYFUNCTION("""COMPUTED_VALUE"""),-420328.0)</f>
        <v>-420328</v>
      </c>
      <c r="AH507" s="96">
        <f>IFERROR(__xludf.DUMMYFUNCTION("""COMPUTED_VALUE"""),11.14)</f>
        <v>11.14</v>
      </c>
      <c r="AI507" s="96">
        <f>IFERROR(__xludf.DUMMYFUNCTION("""COMPUTED_VALUE"""),14.0)</f>
        <v>14</v>
      </c>
      <c r="AJ507" s="96">
        <f>IFERROR(__xludf.DUMMYFUNCTION("""COMPUTED_VALUE"""),6.0)</f>
        <v>6</v>
      </c>
      <c r="AK507" s="96">
        <f>IFERROR(__xludf.DUMMYFUNCTION("""COMPUTED_VALUE"""),57.0)</f>
        <v>57</v>
      </c>
      <c r="AL507" s="129">
        <f>IFERROR(__xludf.DUMMYFUNCTION("""COMPUTED_VALUE"""),435.0)</f>
        <v>435</v>
      </c>
      <c r="AM507" s="99">
        <f>IFERROR(__xludf.DUMMYFUNCTION("""COMPUTED_VALUE"""),420328.0)</f>
        <v>420328</v>
      </c>
    </row>
    <row r="508">
      <c r="V508" s="96">
        <f>IFERROR(__xludf.DUMMYFUNCTION("""COMPUTED_VALUE"""),4.0)</f>
        <v>4</v>
      </c>
      <c r="W508" s="98">
        <f>IFERROR(__xludf.DUMMYFUNCTION("""COMPUTED_VALUE"""),44114.0)</f>
        <v>44114</v>
      </c>
      <c r="X508" s="96" t="str">
        <f>IFERROR(__xludf.DUMMYFUNCTION("""COMPUTED_VALUE"""),"NELSON &amp; PALUS")</f>
        <v>NELSON &amp; PALUS</v>
      </c>
      <c r="Y508" s="96" t="str">
        <f>IFERROR(__xludf.DUMMYFUNCTION("""COMPUTED_VALUE"""),"NELSON &amp; PALUS4")</f>
        <v>NELSON &amp; PALUS4</v>
      </c>
      <c r="Z508" s="96">
        <f>IFERROR(__xludf.DUMMYFUNCTION("""COMPUTED_VALUE"""),626.0)</f>
        <v>626</v>
      </c>
      <c r="AA508" s="96">
        <f>IFERROR(__xludf.DUMMYFUNCTION("""COMPUTED_VALUE"""),106.0)</f>
        <v>106</v>
      </c>
      <c r="AB508" s="96"/>
      <c r="AC508" s="96">
        <f>IFERROR(__xludf.DUMMYFUNCTION("""COMPUTED_VALUE"""),10.0)</f>
        <v>10</v>
      </c>
      <c r="AD508" s="96"/>
      <c r="AE508" s="96">
        <f>IFERROR(__xludf.DUMMYFUNCTION("""COMPUTED_VALUE"""),970.6)</f>
        <v>970.6</v>
      </c>
      <c r="AF508" s="96"/>
      <c r="AG508" s="99">
        <f>IFERROR(__xludf.DUMMYFUNCTION("""COMPUTED_VALUE"""),-582359.0)</f>
        <v>-582359</v>
      </c>
      <c r="AH508" s="96">
        <f>IFERROR(__xludf.DUMMYFUNCTION("""COMPUTED_VALUE"""),10.6)</f>
        <v>10.6</v>
      </c>
      <c r="AI508" s="96">
        <f>IFERROR(__xludf.DUMMYFUNCTION("""COMPUTED_VALUE"""),16.0)</f>
        <v>16</v>
      </c>
      <c r="AJ508" s="96">
        <f>IFERROR(__xludf.DUMMYFUNCTION("""COMPUTED_VALUE"""),9.0)</f>
        <v>9</v>
      </c>
      <c r="AK508" s="96">
        <f>IFERROR(__xludf.DUMMYFUNCTION("""COMPUTED_VALUE"""),33.0)</f>
        <v>33</v>
      </c>
      <c r="AL508" s="129">
        <f>IFERROR(__xludf.DUMMYFUNCTION("""COMPUTED_VALUE"""),600.0)</f>
        <v>600</v>
      </c>
      <c r="AM508" s="99">
        <f>IFERROR(__xludf.DUMMYFUNCTION("""COMPUTED_VALUE"""),582359.0)</f>
        <v>582359</v>
      </c>
    </row>
    <row r="509">
      <c r="V509" s="96">
        <f>IFERROR(__xludf.DUMMYFUNCTION("""COMPUTED_VALUE"""),5.0)</f>
        <v>5</v>
      </c>
      <c r="W509" s="98">
        <f>IFERROR(__xludf.DUMMYFUNCTION("""COMPUTED_VALUE"""),44116.0)</f>
        <v>44116</v>
      </c>
      <c r="X509" s="96" t="str">
        <f>IFERROR(__xludf.DUMMYFUNCTION("""COMPUTED_VALUE"""),"UNCLE BIGGIE")</f>
        <v>UNCLE BIGGIE</v>
      </c>
      <c r="Y509" s="96" t="str">
        <f>IFERROR(__xludf.DUMMYFUNCTION("""COMPUTED_VALUE"""),"UNCLE BIGGIE5")</f>
        <v>UNCLE BIGGIE5</v>
      </c>
      <c r="Z509" s="96"/>
      <c r="AA509" s="96"/>
      <c r="AB509" s="96"/>
      <c r="AC509" s="96"/>
      <c r="AD509" s="96"/>
      <c r="AE509" s="96"/>
      <c r="AF509" s="96">
        <f>IFERROR(__xludf.DUMMYFUNCTION("""COMPUTED_VALUE"""),100000.0)</f>
        <v>100000</v>
      </c>
      <c r="AG509" s="99">
        <f>IFERROR(__xludf.DUMMYFUNCTION("""COMPUTED_VALUE"""),100000.0)</f>
        <v>100000</v>
      </c>
      <c r="AH509" s="96"/>
      <c r="AI509" s="96">
        <f>IFERROR(__xludf.DUMMYFUNCTION("""COMPUTED_VALUE"""),0.0)</f>
        <v>0</v>
      </c>
      <c r="AJ509" s="96">
        <f>IFERROR(__xludf.DUMMYFUNCTION("""COMPUTED_VALUE"""),0.0)</f>
        <v>0</v>
      </c>
      <c r="AK509" s="96">
        <f>IFERROR(__xludf.DUMMYFUNCTION("""COMPUTED_VALUE"""),0.0)</f>
        <v>0</v>
      </c>
      <c r="AL509" s="129">
        <f>IFERROR(__xludf.DUMMYFUNCTION("""COMPUTED_VALUE"""),0.0)</f>
        <v>0</v>
      </c>
      <c r="AM509" s="99"/>
    </row>
    <row r="510">
      <c r="V510" s="96">
        <f>IFERROR(__xludf.DUMMYFUNCTION("""COMPUTED_VALUE"""),18.0)</f>
        <v>18</v>
      </c>
      <c r="W510" s="98">
        <f>IFERROR(__xludf.DUMMYFUNCTION("""COMPUTED_VALUE"""),44116.0)</f>
        <v>44116</v>
      </c>
      <c r="X510" s="96" t="str">
        <f>IFERROR(__xludf.DUMMYFUNCTION("""COMPUTED_VALUE"""),"OTU KOKO KEIBO")</f>
        <v>OTU KOKO KEIBO</v>
      </c>
      <c r="Y510" s="96" t="str">
        <f>IFERROR(__xludf.DUMMYFUNCTION("""COMPUTED_VALUE"""),"OTU KOKO KEIBO18")</f>
        <v>OTU KOKO KEIBO18</v>
      </c>
      <c r="Z510" s="96"/>
      <c r="AA510" s="96"/>
      <c r="AB510" s="96"/>
      <c r="AC510" s="96"/>
      <c r="AD510" s="96"/>
      <c r="AE510" s="96"/>
      <c r="AF510" s="96">
        <f>IFERROR(__xludf.DUMMYFUNCTION("""COMPUTED_VALUE"""),120000.0)</f>
        <v>120000</v>
      </c>
      <c r="AG510" s="99">
        <f>IFERROR(__xludf.DUMMYFUNCTION("""COMPUTED_VALUE"""),120000.0)</f>
        <v>120000</v>
      </c>
      <c r="AH510" s="96"/>
      <c r="AI510" s="96">
        <f>IFERROR(__xludf.DUMMYFUNCTION("""COMPUTED_VALUE"""),0.0)</f>
        <v>0</v>
      </c>
      <c r="AJ510" s="96">
        <f>IFERROR(__xludf.DUMMYFUNCTION("""COMPUTED_VALUE"""),0.0)</f>
        <v>0</v>
      </c>
      <c r="AK510" s="96">
        <f>IFERROR(__xludf.DUMMYFUNCTION("""COMPUTED_VALUE"""),0.0)</f>
        <v>0</v>
      </c>
      <c r="AL510" s="129">
        <f>IFERROR(__xludf.DUMMYFUNCTION("""COMPUTED_VALUE"""),0.0)</f>
        <v>0</v>
      </c>
      <c r="AM510" s="99"/>
    </row>
    <row r="511">
      <c r="V511" s="96">
        <f>IFERROR(__xludf.DUMMYFUNCTION("""COMPUTED_VALUE"""),19.0)</f>
        <v>19</v>
      </c>
      <c r="W511" s="98">
        <f>IFERROR(__xludf.DUMMYFUNCTION("""COMPUTED_VALUE"""),44116.0)</f>
        <v>44116</v>
      </c>
      <c r="X511" s="96" t="str">
        <f>IFERROR(__xludf.DUMMYFUNCTION("""COMPUTED_VALUE"""),"OTU KOKO KEIBO")</f>
        <v>OTU KOKO KEIBO</v>
      </c>
      <c r="Y511" s="96" t="str">
        <f>IFERROR(__xludf.DUMMYFUNCTION("""COMPUTED_VALUE"""),"OTU KOKO KEIBO19")</f>
        <v>OTU KOKO KEIBO19</v>
      </c>
      <c r="Z511" s="96"/>
      <c r="AA511" s="96"/>
      <c r="AB511" s="96"/>
      <c r="AC511" s="96"/>
      <c r="AD511" s="96"/>
      <c r="AE511" s="96"/>
      <c r="AF511" s="96">
        <f>IFERROR(__xludf.DUMMYFUNCTION("""COMPUTED_VALUE"""),160400.0)</f>
        <v>160400</v>
      </c>
      <c r="AG511" s="99">
        <f>IFERROR(__xludf.DUMMYFUNCTION("""COMPUTED_VALUE"""),160400.0)</f>
        <v>160400</v>
      </c>
      <c r="AH511" s="96"/>
      <c r="AI511" s="96">
        <f>IFERROR(__xludf.DUMMYFUNCTION("""COMPUTED_VALUE"""),0.0)</f>
        <v>0</v>
      </c>
      <c r="AJ511" s="96">
        <f>IFERROR(__xludf.DUMMYFUNCTION("""COMPUTED_VALUE"""),0.0)</f>
        <v>0</v>
      </c>
      <c r="AK511" s="96">
        <f>IFERROR(__xludf.DUMMYFUNCTION("""COMPUTED_VALUE"""),0.0)</f>
        <v>0</v>
      </c>
      <c r="AL511" s="129">
        <f>IFERROR(__xludf.DUMMYFUNCTION("""COMPUTED_VALUE"""),0.0)</f>
        <v>0</v>
      </c>
      <c r="AM511" s="99"/>
    </row>
    <row r="512">
      <c r="V512" s="96">
        <f>IFERROR(__xludf.DUMMYFUNCTION("""COMPUTED_VALUE"""),20.0)</f>
        <v>20</v>
      </c>
      <c r="W512" s="98">
        <f>IFERROR(__xludf.DUMMYFUNCTION("""COMPUTED_VALUE"""),44116.0)</f>
        <v>44116</v>
      </c>
      <c r="X512" s="96" t="str">
        <f>IFERROR(__xludf.DUMMYFUNCTION("""COMPUTED_VALUE"""),"OTU KOKO KEIBO")</f>
        <v>OTU KOKO KEIBO</v>
      </c>
      <c r="Y512" s="96" t="str">
        <f>IFERROR(__xludf.DUMMYFUNCTION("""COMPUTED_VALUE"""),"OTU KOKO KEIBO20")</f>
        <v>OTU KOKO KEIBO20</v>
      </c>
      <c r="Z512" s="96"/>
      <c r="AA512" s="96"/>
      <c r="AB512" s="96"/>
      <c r="AC512" s="96"/>
      <c r="AD512" s="96"/>
      <c r="AE512" s="96"/>
      <c r="AF512" s="96">
        <f>IFERROR(__xludf.DUMMYFUNCTION("""COMPUTED_VALUE"""),73500.0)</f>
        <v>73500</v>
      </c>
      <c r="AG512" s="99">
        <f>IFERROR(__xludf.DUMMYFUNCTION("""COMPUTED_VALUE"""),73500.0)</f>
        <v>73500</v>
      </c>
      <c r="AH512" s="96"/>
      <c r="AI512" s="96">
        <f>IFERROR(__xludf.DUMMYFUNCTION("""COMPUTED_VALUE"""),0.0)</f>
        <v>0</v>
      </c>
      <c r="AJ512" s="96">
        <f>IFERROR(__xludf.DUMMYFUNCTION("""COMPUTED_VALUE"""),0.0)</f>
        <v>0</v>
      </c>
      <c r="AK512" s="96">
        <f>IFERROR(__xludf.DUMMYFUNCTION("""COMPUTED_VALUE"""),0.0)</f>
        <v>0</v>
      </c>
      <c r="AL512" s="129">
        <f>IFERROR(__xludf.DUMMYFUNCTION("""COMPUTED_VALUE"""),0.0)</f>
        <v>0</v>
      </c>
      <c r="AM512" s="99"/>
    </row>
    <row r="513">
      <c r="V513" s="96">
        <f>IFERROR(__xludf.DUMMYFUNCTION("""COMPUTED_VALUE"""),21.0)</f>
        <v>21</v>
      </c>
      <c r="W513" s="98">
        <f>IFERROR(__xludf.DUMMYFUNCTION("""COMPUTED_VALUE"""),44116.0)</f>
        <v>44116</v>
      </c>
      <c r="X513" s="96" t="str">
        <f>IFERROR(__xludf.DUMMYFUNCTION("""COMPUTED_VALUE"""),"OTU KOKO KEIBO")</f>
        <v>OTU KOKO KEIBO</v>
      </c>
      <c r="Y513" s="96" t="str">
        <f>IFERROR(__xludf.DUMMYFUNCTION("""COMPUTED_VALUE"""),"OTU KOKO KEIBO21")</f>
        <v>OTU KOKO KEIBO21</v>
      </c>
      <c r="Z513" s="96"/>
      <c r="AA513" s="96"/>
      <c r="AB513" s="96"/>
      <c r="AC513" s="96"/>
      <c r="AD513" s="96"/>
      <c r="AE513" s="96"/>
      <c r="AF513" s="96">
        <f>IFERROR(__xludf.DUMMYFUNCTION("""COMPUTED_VALUE"""),150000.0)</f>
        <v>150000</v>
      </c>
      <c r="AG513" s="99">
        <f>IFERROR(__xludf.DUMMYFUNCTION("""COMPUTED_VALUE"""),150000.0)</f>
        <v>150000</v>
      </c>
      <c r="AH513" s="96"/>
      <c r="AI513" s="96">
        <f>IFERROR(__xludf.DUMMYFUNCTION("""COMPUTED_VALUE"""),0.0)</f>
        <v>0</v>
      </c>
      <c r="AJ513" s="96">
        <f>IFERROR(__xludf.DUMMYFUNCTION("""COMPUTED_VALUE"""),0.0)</f>
        <v>0</v>
      </c>
      <c r="AK513" s="96">
        <f>IFERROR(__xludf.DUMMYFUNCTION("""COMPUTED_VALUE"""),0.0)</f>
        <v>0</v>
      </c>
      <c r="AL513" s="129">
        <f>IFERROR(__xludf.DUMMYFUNCTION("""COMPUTED_VALUE"""),0.0)</f>
        <v>0</v>
      </c>
      <c r="AM513" s="99"/>
    </row>
    <row r="514">
      <c r="V514" s="96">
        <f>IFERROR(__xludf.DUMMYFUNCTION("""COMPUTED_VALUE"""),22.0)</f>
        <v>22</v>
      </c>
      <c r="W514" s="98">
        <f>IFERROR(__xludf.DUMMYFUNCTION("""COMPUTED_VALUE"""),44116.0)</f>
        <v>44116</v>
      </c>
      <c r="X514" s="96" t="str">
        <f>IFERROR(__xludf.DUMMYFUNCTION("""COMPUTED_VALUE"""),"OTU KOKO KEIBO")</f>
        <v>OTU KOKO KEIBO</v>
      </c>
      <c r="Y514" s="96" t="str">
        <f>IFERROR(__xludf.DUMMYFUNCTION("""COMPUTED_VALUE"""),"OTU KOKO KEIBO22")</f>
        <v>OTU KOKO KEIBO22</v>
      </c>
      <c r="Z514" s="96"/>
      <c r="AA514" s="96"/>
      <c r="AB514" s="96"/>
      <c r="AC514" s="96"/>
      <c r="AD514" s="96"/>
      <c r="AE514" s="96"/>
      <c r="AF514" s="96">
        <f>IFERROR(__xludf.DUMMYFUNCTION("""COMPUTED_VALUE"""),234000.0)</f>
        <v>234000</v>
      </c>
      <c r="AG514" s="99">
        <f>IFERROR(__xludf.DUMMYFUNCTION("""COMPUTED_VALUE"""),234000.0)</f>
        <v>234000</v>
      </c>
      <c r="AH514" s="96"/>
      <c r="AI514" s="96">
        <f>IFERROR(__xludf.DUMMYFUNCTION("""COMPUTED_VALUE"""),0.0)</f>
        <v>0</v>
      </c>
      <c r="AJ514" s="96">
        <f>IFERROR(__xludf.DUMMYFUNCTION("""COMPUTED_VALUE"""),0.0)</f>
        <v>0</v>
      </c>
      <c r="AK514" s="96">
        <f>IFERROR(__xludf.DUMMYFUNCTION("""COMPUTED_VALUE"""),0.0)</f>
        <v>0</v>
      </c>
      <c r="AL514" s="129">
        <f>IFERROR(__xludf.DUMMYFUNCTION("""COMPUTED_VALUE"""),0.0)</f>
        <v>0</v>
      </c>
      <c r="AM514" s="99"/>
    </row>
    <row r="515">
      <c r="V515" s="96">
        <f>IFERROR(__xludf.DUMMYFUNCTION("""COMPUTED_VALUE"""),4.0)</f>
        <v>4</v>
      </c>
      <c r="W515" s="98">
        <f>IFERROR(__xludf.DUMMYFUNCTION("""COMPUTED_VALUE"""),44116.0)</f>
        <v>44116</v>
      </c>
      <c r="X515" s="96" t="str">
        <f>IFERROR(__xludf.DUMMYFUNCTION("""COMPUTED_VALUE"""),"REIMON ALABA")</f>
        <v>REIMON ALABA</v>
      </c>
      <c r="Y515" s="96" t="str">
        <f>IFERROR(__xludf.DUMMYFUNCTION("""COMPUTED_VALUE"""),"REIMON ALABA4")</f>
        <v>REIMON ALABA4</v>
      </c>
      <c r="Z515" s="96"/>
      <c r="AA515" s="96"/>
      <c r="AB515" s="96"/>
      <c r="AC515" s="96"/>
      <c r="AD515" s="96"/>
      <c r="AE515" s="96"/>
      <c r="AF515" s="96">
        <f>IFERROR(__xludf.DUMMYFUNCTION("""COMPUTED_VALUE"""),50000.0)</f>
        <v>50000</v>
      </c>
      <c r="AG515" s="99">
        <f>IFERROR(__xludf.DUMMYFUNCTION("""COMPUTED_VALUE"""),50000.0)</f>
        <v>50000</v>
      </c>
      <c r="AH515" s="96"/>
      <c r="AI515" s="96">
        <f>IFERROR(__xludf.DUMMYFUNCTION("""COMPUTED_VALUE"""),0.0)</f>
        <v>0</v>
      </c>
      <c r="AJ515" s="96">
        <f>IFERROR(__xludf.DUMMYFUNCTION("""COMPUTED_VALUE"""),0.0)</f>
        <v>0</v>
      </c>
      <c r="AK515" s="96">
        <f>IFERROR(__xludf.DUMMYFUNCTION("""COMPUTED_VALUE"""),0.0)</f>
        <v>0</v>
      </c>
      <c r="AL515" s="129">
        <f>IFERROR(__xludf.DUMMYFUNCTION("""COMPUTED_VALUE"""),0.0)</f>
        <v>0</v>
      </c>
      <c r="AM515" s="99"/>
    </row>
    <row r="516">
      <c r="V516" s="96">
        <f>IFERROR(__xludf.DUMMYFUNCTION("""COMPUTED_VALUE"""),20.0)</f>
        <v>20</v>
      </c>
      <c r="W516" s="98">
        <f>IFERROR(__xludf.DUMMYFUNCTION("""COMPUTED_VALUE"""),44116.0)</f>
        <v>44116</v>
      </c>
      <c r="X516" s="96" t="str">
        <f>IFERROR(__xludf.DUMMYFUNCTION("""COMPUTED_VALUE""")," MAXWELL AGRO")</f>
        <v> MAXWELL AGRO</v>
      </c>
      <c r="Y516" s="96" t="str">
        <f>IFERROR(__xludf.DUMMYFUNCTION("""COMPUTED_VALUE""")," MAXWELL AGRO20")</f>
        <v> MAXWELL AGRO20</v>
      </c>
      <c r="Z516" s="96"/>
      <c r="AA516" s="96"/>
      <c r="AB516" s="96"/>
      <c r="AC516" s="96"/>
      <c r="AD516" s="96"/>
      <c r="AE516" s="96"/>
      <c r="AF516" s="96">
        <f>IFERROR(__xludf.DUMMYFUNCTION("""COMPUTED_VALUE"""),280000.0)</f>
        <v>280000</v>
      </c>
      <c r="AG516" s="99">
        <f>IFERROR(__xludf.DUMMYFUNCTION("""COMPUTED_VALUE"""),280000.0)</f>
        <v>280000</v>
      </c>
      <c r="AH516" s="96"/>
      <c r="AI516" s="96">
        <f>IFERROR(__xludf.DUMMYFUNCTION("""COMPUTED_VALUE"""),0.0)</f>
        <v>0</v>
      </c>
      <c r="AJ516" s="96">
        <f>IFERROR(__xludf.DUMMYFUNCTION("""COMPUTED_VALUE"""),0.0)</f>
        <v>0</v>
      </c>
      <c r="AK516" s="96">
        <f>IFERROR(__xludf.DUMMYFUNCTION("""COMPUTED_VALUE"""),0.0)</f>
        <v>0</v>
      </c>
      <c r="AL516" s="129">
        <f>IFERROR(__xludf.DUMMYFUNCTION("""COMPUTED_VALUE"""),0.0)</f>
        <v>0</v>
      </c>
      <c r="AM516" s="9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tr">
        <f>IFERROR(__xludf.DUMMYFUNCTION("QUERY(PreFinance!A2:R1000,""SELECT *"" &amp; IF(COUNTBLANK(HelperFormulas!F16)=2,"""","" WHERE "" &amp; TEXTJOIN("" AND "", TRUE, HelperFormulas!F16)),1)"),"COUNT")</f>
        <v>COUNT</v>
      </c>
      <c r="B1" s="96" t="str">
        <f>IFERROR(__xludf.DUMMYFUNCTION("""COMPUTED_VALUE"""),"DATE")</f>
        <v>DATE</v>
      </c>
      <c r="C1" s="96" t="str">
        <f>IFERROR(__xludf.DUMMYFUNCTION("""COMPUTED_VALUE"""),"NAMES")</f>
        <v>NAMES</v>
      </c>
      <c r="D1" s="96" t="str">
        <f>IFERROR(__xludf.DUMMYFUNCTION("""COMPUTED_VALUE"""),"Cnam")</f>
        <v>Cnam</v>
      </c>
      <c r="E1" s="96" t="str">
        <f>IFERROR(__xludf.DUMMYFUNCTION("""COMPUTED_VALUE"""),"GROSS WT")</f>
        <v>GROSS WT</v>
      </c>
      <c r="F1" s="96" t="str">
        <f>IFERROR(__xludf.DUMMYFUNCTION("""COMPUTED_VALUE"""),"TOTAL MST")</f>
        <v>TOTAL MST</v>
      </c>
      <c r="G1" s="96" t="str">
        <f>IFERROR(__xludf.DUMMYFUNCTION("""COMPUTED_VALUE"""),"QTY")</f>
        <v>QTY</v>
      </c>
      <c r="H1" s="96" t="str">
        <f>IFERROR(__xludf.DUMMYFUNCTION("""COMPUTED_VALUE"""),"TOTAL BAGS")</f>
        <v>TOTAL BAGS</v>
      </c>
      <c r="I1" s="96" t="str">
        <f>IFERROR(__xludf.DUMMYFUNCTION("""COMPUTED_VALUE""")," CHINA BAGS")</f>
        <v> CHINA BAGS</v>
      </c>
      <c r="J1" s="96" t="str">
        <f>IFERROR(__xludf.DUMMYFUNCTION("""COMPUTED_VALUE"""),"UNIT PRC")</f>
        <v>UNIT PRC</v>
      </c>
      <c r="K1" s="96" t="str">
        <f>IFERROR(__xludf.DUMMYFUNCTION("""COMPUTED_VALUE"""),"ADVANCE")</f>
        <v>ADVANCE</v>
      </c>
      <c r="L1" s="96" t="str">
        <f>IFERROR(__xludf.DUMMYFUNCTION("""COMPUTED_VALUE"""),"BAL~")</f>
        <v>BAL~</v>
      </c>
      <c r="M1" s="96" t="str">
        <f>IFERROR(__xludf.DUMMYFUNCTION("""COMPUTED_VALUE"""),"A M")</f>
        <v>A M</v>
      </c>
      <c r="N1" s="96" t="str">
        <f>IFERROR(__xludf.DUMMYFUNCTION("""COMPUTED_VALUE"""),"MSTRE DISCT")</f>
        <v>MSTRE DISCT</v>
      </c>
      <c r="O1" s="96" t="str">
        <f>IFERROR(__xludf.DUMMYFUNCTION("""COMPUTED_VALUE"""),"BAGS")</f>
        <v>BAGS</v>
      </c>
      <c r="P1" s="96" t="str">
        <f>IFERROR(__xludf.DUMMYFUNCTION("""COMPUTED_VALUE"""),"KGS")</f>
        <v>KGS</v>
      </c>
      <c r="Q1" s="96" t="str">
        <f>IFERROR(__xludf.DUMMYFUNCTION("""COMPUTED_VALUE"""),"PAYABLE")</f>
        <v>PAYABLE</v>
      </c>
      <c r="R1" s="96" t="str">
        <f>IFERROR(__xludf.DUMMYFUNCTION("""COMPUTED_VALUE"""),"AMT")</f>
        <v>AMT</v>
      </c>
      <c r="V1" s="97" t="str">
        <f>IFERROR(__xludf.DUMMYFUNCTION("QUERY(PreFinance!A2:R2,""SELECT *"" &amp; IF(COUNTBLANK(HelperFormulas!G15)=2,"""","" WHERE "" &amp; TEXTJOIN("" AND "", TRUE, HelperFormulas!G15)),1)"),"#VALUE!")</f>
        <v>#VALUE!</v>
      </c>
    </row>
    <row r="2">
      <c r="A2" s="96">
        <f>IFERROR(__xludf.DUMMYFUNCTION("""COMPUTED_VALUE"""),1.0)</f>
        <v>1</v>
      </c>
      <c r="B2" s="98">
        <f>IFERROR(__xludf.DUMMYFUNCTION("""COMPUTED_VALUE"""),43743.0)</f>
        <v>43743</v>
      </c>
      <c r="C2" s="96" t="str">
        <f>IFERROR(__xludf.DUMMYFUNCTION("""COMPUTED_VALUE"""),"EDWARD OKO")</f>
        <v>EDWARD OKO</v>
      </c>
      <c r="D2" s="96" t="str">
        <f>IFERROR(__xludf.DUMMYFUNCTION("""COMPUTED_VALUE"""),"EDWARD OKO1")</f>
        <v>EDWARD OKO1</v>
      </c>
      <c r="E2" s="96"/>
      <c r="F2" s="96"/>
      <c r="G2" s="96"/>
      <c r="H2" s="96"/>
      <c r="I2" s="96"/>
      <c r="J2" s="96"/>
      <c r="K2" s="96">
        <f>IFERROR(__xludf.DUMMYFUNCTION("""COMPUTED_VALUE"""),521000.0)</f>
        <v>521000</v>
      </c>
      <c r="L2" s="99">
        <f>IFERROR(__xludf.DUMMYFUNCTION("""COMPUTED_VALUE"""),521000.0)</f>
        <v>521000</v>
      </c>
      <c r="M2" s="96"/>
      <c r="N2" s="96">
        <f>IFERROR(__xludf.DUMMYFUNCTION("""COMPUTED_VALUE"""),0.0)</f>
        <v>0</v>
      </c>
      <c r="O2" s="96">
        <f>IFERROR(__xludf.DUMMYFUNCTION("""COMPUTED_VALUE"""),0.0)</f>
        <v>0</v>
      </c>
      <c r="P2" s="96">
        <f>IFERROR(__xludf.DUMMYFUNCTION("""COMPUTED_VALUE"""),0.0)</f>
        <v>0</v>
      </c>
      <c r="Q2" s="129">
        <f>IFERROR(__xludf.DUMMYFUNCTION("""COMPUTED_VALUE"""),0.0)</f>
        <v>0</v>
      </c>
      <c r="R2" s="99"/>
    </row>
    <row r="3">
      <c r="A3" s="96">
        <f>IFERROR(__xludf.DUMMYFUNCTION("""COMPUTED_VALUE"""),1.0)</f>
        <v>1</v>
      </c>
      <c r="B3" s="98">
        <f>IFERROR(__xludf.DUMMYFUNCTION("""COMPUTED_VALUE"""),43743.0)</f>
        <v>43743</v>
      </c>
      <c r="C3" s="96" t="str">
        <f>IFERROR(__xludf.DUMMYFUNCTION("""COMPUTED_VALUE"""),"INT OTU")</f>
        <v>INT OTU</v>
      </c>
      <c r="D3" s="96" t="str">
        <f>IFERROR(__xludf.DUMMYFUNCTION("""COMPUTED_VALUE"""),"INT OTU1")</f>
        <v>INT OTU1</v>
      </c>
      <c r="E3" s="96"/>
      <c r="F3" s="96"/>
      <c r="G3" s="96"/>
      <c r="H3" s="96"/>
      <c r="I3" s="96"/>
      <c r="J3" s="96"/>
      <c r="K3" s="96">
        <f>IFERROR(__xludf.DUMMYFUNCTION("""COMPUTED_VALUE"""),555000.0)</f>
        <v>555000</v>
      </c>
      <c r="L3" s="99">
        <f>IFERROR(__xludf.DUMMYFUNCTION("""COMPUTED_VALUE"""),555000.0)</f>
        <v>555000</v>
      </c>
      <c r="M3" s="96"/>
      <c r="N3" s="96">
        <f>IFERROR(__xludf.DUMMYFUNCTION("""COMPUTED_VALUE"""),0.0)</f>
        <v>0</v>
      </c>
      <c r="O3" s="96">
        <f>IFERROR(__xludf.DUMMYFUNCTION("""COMPUTED_VALUE"""),0.0)</f>
        <v>0</v>
      </c>
      <c r="P3" s="96">
        <f>IFERROR(__xludf.DUMMYFUNCTION("""COMPUTED_VALUE"""),0.0)</f>
        <v>0</v>
      </c>
      <c r="Q3" s="129">
        <f>IFERROR(__xludf.DUMMYFUNCTION("""COMPUTED_VALUE"""),0.0)</f>
        <v>0</v>
      </c>
      <c r="R3" s="99"/>
    </row>
    <row r="4">
      <c r="A4" s="96">
        <f>IFERROR(__xludf.DUMMYFUNCTION("""COMPUTED_VALUE"""),1.0)</f>
        <v>1</v>
      </c>
      <c r="B4" s="98">
        <f>IFERROR(__xludf.DUMMYFUNCTION("""COMPUTED_VALUE"""),43743.0)</f>
        <v>43743</v>
      </c>
      <c r="C4" s="96" t="str">
        <f>IFERROR(__xludf.DUMMYFUNCTION("""COMPUTED_VALUE"""),"ETUK EFFI")</f>
        <v>ETUK EFFI</v>
      </c>
      <c r="D4" s="96" t="str">
        <f>IFERROR(__xludf.DUMMYFUNCTION("""COMPUTED_VALUE"""),"ETUK EFFI1")</f>
        <v>ETUK EFFI1</v>
      </c>
      <c r="E4" s="96"/>
      <c r="F4" s="96"/>
      <c r="G4" s="96"/>
      <c r="H4" s="96"/>
      <c r="I4" s="96"/>
      <c r="J4" s="96"/>
      <c r="K4" s="96">
        <f>IFERROR(__xludf.DUMMYFUNCTION("""COMPUTED_VALUE"""),700000.0)</f>
        <v>700000</v>
      </c>
      <c r="L4" s="99">
        <f>IFERROR(__xludf.DUMMYFUNCTION("""COMPUTED_VALUE"""),700000.0)</f>
        <v>700000</v>
      </c>
      <c r="M4" s="96"/>
      <c r="N4" s="96">
        <f>IFERROR(__xludf.DUMMYFUNCTION("""COMPUTED_VALUE"""),0.0)</f>
        <v>0</v>
      </c>
      <c r="O4" s="96">
        <f>IFERROR(__xludf.DUMMYFUNCTION("""COMPUTED_VALUE"""),0.0)</f>
        <v>0</v>
      </c>
      <c r="P4" s="96">
        <f>IFERROR(__xludf.DUMMYFUNCTION("""COMPUTED_VALUE"""),0.0)</f>
        <v>0</v>
      </c>
      <c r="Q4" s="129">
        <f>IFERROR(__xludf.DUMMYFUNCTION("""COMPUTED_VALUE"""),0.0)</f>
        <v>0</v>
      </c>
      <c r="R4" s="99"/>
    </row>
    <row r="5">
      <c r="A5" s="96">
        <f>IFERROR(__xludf.DUMMYFUNCTION("""COMPUTED_VALUE"""),1.0)</f>
        <v>1</v>
      </c>
      <c r="B5" s="98">
        <f>IFERROR(__xludf.DUMMYFUNCTION("""COMPUTED_VALUE"""),43743.0)</f>
        <v>43743</v>
      </c>
      <c r="C5" s="96" t="str">
        <f>IFERROR(__xludf.DUMMYFUNCTION("""COMPUTED_VALUE"""),"ADE ADE")</f>
        <v>ADE ADE</v>
      </c>
      <c r="D5" s="96" t="str">
        <f>IFERROR(__xludf.DUMMYFUNCTION("""COMPUTED_VALUE"""),"ADE ADE1")</f>
        <v>ADE ADE1</v>
      </c>
      <c r="E5" s="96"/>
      <c r="F5" s="96"/>
      <c r="G5" s="96"/>
      <c r="H5" s="96"/>
      <c r="I5" s="96"/>
      <c r="J5" s="96"/>
      <c r="K5" s="96">
        <f>IFERROR(__xludf.DUMMYFUNCTION("""COMPUTED_VALUE"""),328000.0)</f>
        <v>328000</v>
      </c>
      <c r="L5" s="99">
        <f>IFERROR(__xludf.DUMMYFUNCTION("""COMPUTED_VALUE"""),328000.0)</f>
        <v>328000</v>
      </c>
      <c r="M5" s="96"/>
      <c r="N5" s="96">
        <f>IFERROR(__xludf.DUMMYFUNCTION("""COMPUTED_VALUE"""),0.0)</f>
        <v>0</v>
      </c>
      <c r="O5" s="96">
        <f>IFERROR(__xludf.DUMMYFUNCTION("""COMPUTED_VALUE"""),0.0)</f>
        <v>0</v>
      </c>
      <c r="P5" s="96">
        <f>IFERROR(__xludf.DUMMYFUNCTION("""COMPUTED_VALUE"""),0.0)</f>
        <v>0</v>
      </c>
      <c r="Q5" s="129">
        <f>IFERROR(__xludf.DUMMYFUNCTION("""COMPUTED_VALUE"""),0.0)</f>
        <v>0</v>
      </c>
      <c r="R5" s="99"/>
    </row>
    <row r="6">
      <c r="A6" s="96">
        <f>IFERROR(__xludf.DUMMYFUNCTION("""COMPUTED_VALUE"""),1.0)</f>
        <v>1</v>
      </c>
      <c r="B6" s="98">
        <f>IFERROR(__xludf.DUMMYFUNCTION("""COMPUTED_VALUE"""),43743.0)</f>
        <v>43743</v>
      </c>
      <c r="C6" s="96" t="str">
        <f>IFERROR(__xludf.DUMMYFUNCTION("""COMPUTED_VALUE"""),"BESSONG BESONG")</f>
        <v>BESSONG BESONG</v>
      </c>
      <c r="D6" s="96" t="str">
        <f>IFERROR(__xludf.DUMMYFUNCTION("""COMPUTED_VALUE"""),"BESSONG BESONG1")</f>
        <v>BESSONG BESONG1</v>
      </c>
      <c r="E6" s="96"/>
      <c r="F6" s="96"/>
      <c r="G6" s="96"/>
      <c r="H6" s="96"/>
      <c r="I6" s="96"/>
      <c r="J6" s="96"/>
      <c r="K6" s="96">
        <f>IFERROR(__xludf.DUMMYFUNCTION("""COMPUTED_VALUE"""),497440.0)</f>
        <v>497440</v>
      </c>
      <c r="L6" s="99">
        <f>IFERROR(__xludf.DUMMYFUNCTION("""COMPUTED_VALUE"""),497440.0)</f>
        <v>497440</v>
      </c>
      <c r="M6" s="96"/>
      <c r="N6" s="96">
        <f>IFERROR(__xludf.DUMMYFUNCTION("""COMPUTED_VALUE"""),0.0)</f>
        <v>0</v>
      </c>
      <c r="O6" s="96">
        <f>IFERROR(__xludf.DUMMYFUNCTION("""COMPUTED_VALUE"""),0.0)</f>
        <v>0</v>
      </c>
      <c r="P6" s="96">
        <f>IFERROR(__xludf.DUMMYFUNCTION("""COMPUTED_VALUE"""),0.0)</f>
        <v>0</v>
      </c>
      <c r="Q6" s="129">
        <f>IFERROR(__xludf.DUMMYFUNCTION("""COMPUTED_VALUE"""),0.0)</f>
        <v>0</v>
      </c>
      <c r="R6" s="99"/>
    </row>
    <row r="7">
      <c r="A7" s="96">
        <f>IFERROR(__xludf.DUMMYFUNCTION("""COMPUTED_VALUE"""),1.0)</f>
        <v>1</v>
      </c>
      <c r="B7" s="98">
        <f>IFERROR(__xludf.DUMMYFUNCTION("""COMPUTED_VALUE"""),43743.0)</f>
        <v>43743</v>
      </c>
      <c r="C7" s="96" t="str">
        <f>IFERROR(__xludf.DUMMYFUNCTION("""COMPUTED_VALUE"""),"MINOR")</f>
        <v>MINOR</v>
      </c>
      <c r="D7" s="96" t="str">
        <f>IFERROR(__xludf.DUMMYFUNCTION("""COMPUTED_VALUE"""),"MINOR1")</f>
        <v>MINOR1</v>
      </c>
      <c r="E7" s="96"/>
      <c r="F7" s="96"/>
      <c r="G7" s="96"/>
      <c r="H7" s="96"/>
      <c r="I7" s="96"/>
      <c r="J7" s="96"/>
      <c r="K7" s="96">
        <f>IFERROR(__xludf.DUMMYFUNCTION("""COMPUTED_VALUE"""),409300.0)</f>
        <v>409300</v>
      </c>
      <c r="L7" s="99">
        <f>IFERROR(__xludf.DUMMYFUNCTION("""COMPUTED_VALUE"""),409300.0)</f>
        <v>409300</v>
      </c>
      <c r="M7" s="96"/>
      <c r="N7" s="96">
        <f>IFERROR(__xludf.DUMMYFUNCTION("""COMPUTED_VALUE"""),0.0)</f>
        <v>0</v>
      </c>
      <c r="O7" s="96">
        <f>IFERROR(__xludf.DUMMYFUNCTION("""COMPUTED_VALUE"""),0.0)</f>
        <v>0</v>
      </c>
      <c r="P7" s="96">
        <f>IFERROR(__xludf.DUMMYFUNCTION("""COMPUTED_VALUE"""),0.0)</f>
        <v>0</v>
      </c>
      <c r="Q7" s="129">
        <f>IFERROR(__xludf.DUMMYFUNCTION("""COMPUTED_VALUE"""),0.0)</f>
        <v>0</v>
      </c>
      <c r="R7" s="99"/>
    </row>
    <row r="8">
      <c r="A8" s="96">
        <f>IFERROR(__xludf.DUMMYFUNCTION("""COMPUTED_VALUE"""),1.0)</f>
        <v>1</v>
      </c>
      <c r="B8" s="98">
        <f>IFERROR(__xludf.DUMMYFUNCTION("""COMPUTED_VALUE"""),43743.0)</f>
        <v>43743</v>
      </c>
      <c r="C8" s="96" t="str">
        <f>IFERROR(__xludf.DUMMYFUNCTION("""COMPUTED_VALUE"""),"COLLINS  OFFA")</f>
        <v>COLLINS  OFFA</v>
      </c>
      <c r="D8" s="96" t="str">
        <f>IFERROR(__xludf.DUMMYFUNCTION("""COMPUTED_VALUE"""),"COLLINS  OFFA1")</f>
        <v>COLLINS  OFFA1</v>
      </c>
      <c r="E8" s="96"/>
      <c r="F8" s="96"/>
      <c r="G8" s="96"/>
      <c r="H8" s="96"/>
      <c r="I8" s="96"/>
      <c r="J8" s="96"/>
      <c r="K8" s="96">
        <f>IFERROR(__xludf.DUMMYFUNCTION("""COMPUTED_VALUE"""),1090000.0)</f>
        <v>1090000</v>
      </c>
      <c r="L8" s="99">
        <f>IFERROR(__xludf.DUMMYFUNCTION("""COMPUTED_VALUE"""),1090000.0)</f>
        <v>1090000</v>
      </c>
      <c r="M8" s="96"/>
      <c r="N8" s="96">
        <f>IFERROR(__xludf.DUMMYFUNCTION("""COMPUTED_VALUE"""),0.0)</f>
        <v>0</v>
      </c>
      <c r="O8" s="96">
        <f>IFERROR(__xludf.DUMMYFUNCTION("""COMPUTED_VALUE"""),0.0)</f>
        <v>0</v>
      </c>
      <c r="P8" s="96">
        <f>IFERROR(__xludf.DUMMYFUNCTION("""COMPUTED_VALUE"""),0.0)</f>
        <v>0</v>
      </c>
      <c r="Q8" s="129">
        <f>IFERROR(__xludf.DUMMYFUNCTION("""COMPUTED_VALUE"""),0.0)</f>
        <v>0</v>
      </c>
      <c r="R8" s="99"/>
    </row>
    <row r="9">
      <c r="A9" s="96">
        <f>IFERROR(__xludf.DUMMYFUNCTION("""COMPUTED_VALUE"""),1.0)</f>
        <v>1</v>
      </c>
      <c r="B9" s="98">
        <f>IFERROR(__xludf.DUMMYFUNCTION("""COMPUTED_VALUE"""),43743.0)</f>
        <v>43743</v>
      </c>
      <c r="C9" s="96" t="str">
        <f>IFERROR(__xludf.DUMMYFUNCTION("""COMPUTED_VALUE"""),"SEPH ODEY")</f>
        <v>SEPH ODEY</v>
      </c>
      <c r="D9" s="96" t="str">
        <f>IFERROR(__xludf.DUMMYFUNCTION("""COMPUTED_VALUE"""),"SEPH ODEY1")</f>
        <v>SEPH ODEY1</v>
      </c>
      <c r="E9" s="96"/>
      <c r="F9" s="96"/>
      <c r="G9" s="96"/>
      <c r="H9" s="96"/>
      <c r="I9" s="96"/>
      <c r="J9" s="96"/>
      <c r="K9" s="96">
        <f>IFERROR(__xludf.DUMMYFUNCTION("""COMPUTED_VALUE"""),126000.0)</f>
        <v>126000</v>
      </c>
      <c r="L9" s="99">
        <f>IFERROR(__xludf.DUMMYFUNCTION("""COMPUTED_VALUE"""),126000.0)</f>
        <v>126000</v>
      </c>
      <c r="M9" s="96"/>
      <c r="N9" s="96">
        <f>IFERROR(__xludf.DUMMYFUNCTION("""COMPUTED_VALUE"""),0.0)</f>
        <v>0</v>
      </c>
      <c r="O9" s="96">
        <f>IFERROR(__xludf.DUMMYFUNCTION("""COMPUTED_VALUE"""),0.0)</f>
        <v>0</v>
      </c>
      <c r="P9" s="96">
        <f>IFERROR(__xludf.DUMMYFUNCTION("""COMPUTED_VALUE"""),0.0)</f>
        <v>0</v>
      </c>
      <c r="Q9" s="129">
        <f>IFERROR(__xludf.DUMMYFUNCTION("""COMPUTED_VALUE"""),0.0)</f>
        <v>0</v>
      </c>
      <c r="R9" s="99"/>
    </row>
    <row r="10">
      <c r="A10" s="96">
        <f>IFERROR(__xludf.DUMMYFUNCTION("""COMPUTED_VALUE"""),1.0)</f>
        <v>1</v>
      </c>
      <c r="B10" s="98">
        <f>IFERROR(__xludf.DUMMYFUNCTION("""COMPUTED_VALUE"""),43743.0)</f>
        <v>43743</v>
      </c>
      <c r="C10" s="96" t="str">
        <f>IFERROR(__xludf.DUMMYFUNCTION("""COMPUTED_VALUE"""),"OSIM MARIAM")</f>
        <v>OSIM MARIAM</v>
      </c>
      <c r="D10" s="96" t="str">
        <f>IFERROR(__xludf.DUMMYFUNCTION("""COMPUTED_VALUE"""),"OSIM MARIAM1")</f>
        <v>OSIM MARIAM1</v>
      </c>
      <c r="E10" s="96"/>
      <c r="F10" s="96"/>
      <c r="G10" s="96"/>
      <c r="H10" s="96"/>
      <c r="I10" s="96"/>
      <c r="J10" s="96"/>
      <c r="K10" s="96">
        <f>IFERROR(__xludf.DUMMYFUNCTION("""COMPUTED_VALUE"""),400000.0)</f>
        <v>400000</v>
      </c>
      <c r="L10" s="99">
        <f>IFERROR(__xludf.DUMMYFUNCTION("""COMPUTED_VALUE"""),400000.0)</f>
        <v>400000</v>
      </c>
      <c r="M10" s="96"/>
      <c r="N10" s="96">
        <f>IFERROR(__xludf.DUMMYFUNCTION("""COMPUTED_VALUE"""),0.0)</f>
        <v>0</v>
      </c>
      <c r="O10" s="96">
        <f>IFERROR(__xludf.DUMMYFUNCTION("""COMPUTED_VALUE"""),0.0)</f>
        <v>0</v>
      </c>
      <c r="P10" s="96">
        <f>IFERROR(__xludf.DUMMYFUNCTION("""COMPUTED_VALUE"""),0.0)</f>
        <v>0</v>
      </c>
      <c r="Q10" s="129">
        <f>IFERROR(__xludf.DUMMYFUNCTION("""COMPUTED_VALUE"""),0.0)</f>
        <v>0</v>
      </c>
      <c r="R10" s="99"/>
    </row>
    <row r="11">
      <c r="A11" s="96">
        <f>IFERROR(__xludf.DUMMYFUNCTION("""COMPUTED_VALUE"""),1.0)</f>
        <v>1</v>
      </c>
      <c r="B11" s="98">
        <f>IFERROR(__xludf.DUMMYFUNCTION("""COMPUTED_VALUE"""),43743.0)</f>
        <v>43743</v>
      </c>
      <c r="C11" s="96" t="str">
        <f>IFERROR(__xludf.DUMMYFUNCTION("""COMPUTED_VALUE"""),"ENYA HN")</f>
        <v>ENYA HN</v>
      </c>
      <c r="D11" s="96" t="str">
        <f>IFERROR(__xludf.DUMMYFUNCTION("""COMPUTED_VALUE"""),"ENYA HN1")</f>
        <v>ENYA HN1</v>
      </c>
      <c r="E11" s="96"/>
      <c r="F11" s="96"/>
      <c r="G11" s="96"/>
      <c r="H11" s="96"/>
      <c r="I11" s="96"/>
      <c r="J11" s="96"/>
      <c r="K11" s="96">
        <f>IFERROR(__xludf.DUMMYFUNCTION("""COMPUTED_VALUE"""),187000.0)</f>
        <v>187000</v>
      </c>
      <c r="L11" s="99">
        <f>IFERROR(__xludf.DUMMYFUNCTION("""COMPUTED_VALUE"""),187000.0)</f>
        <v>187000</v>
      </c>
      <c r="M11" s="96"/>
      <c r="N11" s="96">
        <f>IFERROR(__xludf.DUMMYFUNCTION("""COMPUTED_VALUE"""),0.0)</f>
        <v>0</v>
      </c>
      <c r="O11" s="96">
        <f>IFERROR(__xludf.DUMMYFUNCTION("""COMPUTED_VALUE"""),0.0)</f>
        <v>0</v>
      </c>
      <c r="P11" s="96">
        <f>IFERROR(__xludf.DUMMYFUNCTION("""COMPUTED_VALUE"""),0.0)</f>
        <v>0</v>
      </c>
      <c r="Q11" s="129">
        <f>IFERROR(__xludf.DUMMYFUNCTION("""COMPUTED_VALUE"""),0.0)</f>
        <v>0</v>
      </c>
      <c r="R11" s="99"/>
    </row>
    <row r="12">
      <c r="A12" s="96">
        <f>IFERROR(__xludf.DUMMYFUNCTION("""COMPUTED_VALUE"""),1.0)</f>
        <v>1</v>
      </c>
      <c r="B12" s="98">
        <f>IFERROR(__xludf.DUMMYFUNCTION("""COMPUTED_VALUE"""),43743.0)</f>
        <v>43743</v>
      </c>
      <c r="C12" s="96" t="str">
        <f>IFERROR(__xludf.DUMMYFUNCTION("""COMPUTED_VALUE"""),"BOSURU  BOSURU")</f>
        <v>BOSURU  BOSURU</v>
      </c>
      <c r="D12" s="96" t="str">
        <f>IFERROR(__xludf.DUMMYFUNCTION("""COMPUTED_VALUE"""),"BOSURU  BOSURU1")</f>
        <v>BOSURU  BOSURU1</v>
      </c>
      <c r="E12" s="96"/>
      <c r="F12" s="96"/>
      <c r="G12" s="96"/>
      <c r="H12" s="96"/>
      <c r="I12" s="96"/>
      <c r="J12" s="96"/>
      <c r="K12" s="96">
        <f>IFERROR(__xludf.DUMMYFUNCTION("""COMPUTED_VALUE"""),1000000.0)</f>
        <v>1000000</v>
      </c>
      <c r="L12" s="99">
        <f>IFERROR(__xludf.DUMMYFUNCTION("""COMPUTED_VALUE"""),1000000.0)</f>
        <v>1000000</v>
      </c>
      <c r="M12" s="96"/>
      <c r="N12" s="96">
        <f>IFERROR(__xludf.DUMMYFUNCTION("""COMPUTED_VALUE"""),0.0)</f>
        <v>0</v>
      </c>
      <c r="O12" s="96">
        <f>IFERROR(__xludf.DUMMYFUNCTION("""COMPUTED_VALUE"""),0.0)</f>
        <v>0</v>
      </c>
      <c r="P12" s="96">
        <f>IFERROR(__xludf.DUMMYFUNCTION("""COMPUTED_VALUE"""),0.0)</f>
        <v>0</v>
      </c>
      <c r="Q12" s="129">
        <f>IFERROR(__xludf.DUMMYFUNCTION("""COMPUTED_VALUE"""),0.0)</f>
        <v>0</v>
      </c>
      <c r="R12" s="99"/>
    </row>
    <row r="13">
      <c r="A13" s="96">
        <f>IFERROR(__xludf.DUMMYFUNCTION("""COMPUTED_VALUE"""),1.0)</f>
        <v>1</v>
      </c>
      <c r="B13" s="98">
        <f>IFERROR(__xludf.DUMMYFUNCTION("""COMPUTED_VALUE"""),43743.0)</f>
        <v>43743</v>
      </c>
      <c r="C13" s="96" t="str">
        <f>IFERROR(__xludf.DUMMYFUNCTION("""COMPUTED_VALUE"""),"ASOQUO SUNDAY")</f>
        <v>ASOQUO SUNDAY</v>
      </c>
      <c r="D13" s="96" t="str">
        <f>IFERROR(__xludf.DUMMYFUNCTION("""COMPUTED_VALUE"""),"ASOQUO SUNDAY1")</f>
        <v>ASOQUO SUNDAY1</v>
      </c>
      <c r="E13" s="96"/>
      <c r="F13" s="96"/>
      <c r="G13" s="96"/>
      <c r="H13" s="96"/>
      <c r="I13" s="96"/>
      <c r="J13" s="96"/>
      <c r="K13" s="96">
        <f>IFERROR(__xludf.DUMMYFUNCTION("""COMPUTED_VALUE"""),620000.0)</f>
        <v>620000</v>
      </c>
      <c r="L13" s="99">
        <f>IFERROR(__xludf.DUMMYFUNCTION("""COMPUTED_VALUE"""),620000.0)</f>
        <v>620000</v>
      </c>
      <c r="M13" s="96"/>
      <c r="N13" s="96">
        <f>IFERROR(__xludf.DUMMYFUNCTION("""COMPUTED_VALUE"""),0.0)</f>
        <v>0</v>
      </c>
      <c r="O13" s="96">
        <f>IFERROR(__xludf.DUMMYFUNCTION("""COMPUTED_VALUE"""),0.0)</f>
        <v>0</v>
      </c>
      <c r="P13" s="96">
        <f>IFERROR(__xludf.DUMMYFUNCTION("""COMPUTED_VALUE"""),0.0)</f>
        <v>0</v>
      </c>
      <c r="Q13" s="129">
        <f>IFERROR(__xludf.DUMMYFUNCTION("""COMPUTED_VALUE"""),0.0)</f>
        <v>0</v>
      </c>
      <c r="R13" s="99"/>
    </row>
    <row r="14">
      <c r="A14" s="96">
        <f>IFERROR(__xludf.DUMMYFUNCTION("""COMPUTED_VALUE"""),1.0)</f>
        <v>1</v>
      </c>
      <c r="B14" s="98">
        <f>IFERROR(__xludf.DUMMYFUNCTION("""COMPUTED_VALUE"""),43743.0)</f>
        <v>43743</v>
      </c>
      <c r="C14" s="96" t="str">
        <f>IFERROR(__xludf.DUMMYFUNCTION("""COMPUTED_VALUE"""),"OTU KOKO KEIBO")</f>
        <v>OTU KOKO KEIBO</v>
      </c>
      <c r="D14" s="96" t="str">
        <f>IFERROR(__xludf.DUMMYFUNCTION("""COMPUTED_VALUE"""),"OTU KOKO KEIBO1")</f>
        <v>OTU KOKO KEIBO1</v>
      </c>
      <c r="E14" s="96"/>
      <c r="F14" s="96"/>
      <c r="G14" s="96"/>
      <c r="H14" s="96"/>
      <c r="I14" s="96"/>
      <c r="J14" s="96"/>
      <c r="K14" s="96">
        <f>IFERROR(__xludf.DUMMYFUNCTION("""COMPUTED_VALUE"""),2399925.0)</f>
        <v>2399925</v>
      </c>
      <c r="L14" s="99">
        <f>IFERROR(__xludf.DUMMYFUNCTION("""COMPUTED_VALUE"""),2399925.0)</f>
        <v>2399925</v>
      </c>
      <c r="M14" s="96"/>
      <c r="N14" s="96">
        <f>IFERROR(__xludf.DUMMYFUNCTION("""COMPUTED_VALUE"""),0.0)</f>
        <v>0</v>
      </c>
      <c r="O14" s="96">
        <f>IFERROR(__xludf.DUMMYFUNCTION("""COMPUTED_VALUE"""),0.0)</f>
        <v>0</v>
      </c>
      <c r="P14" s="96">
        <f>IFERROR(__xludf.DUMMYFUNCTION("""COMPUTED_VALUE"""),0.0)</f>
        <v>0</v>
      </c>
      <c r="Q14" s="129">
        <f>IFERROR(__xludf.DUMMYFUNCTION("""COMPUTED_VALUE"""),0.0)</f>
        <v>0</v>
      </c>
      <c r="R14" s="99"/>
    </row>
    <row r="15">
      <c r="A15" s="96">
        <f>IFERROR(__xludf.DUMMYFUNCTION("""COMPUTED_VALUE"""),1.0)</f>
        <v>1</v>
      </c>
      <c r="B15" s="98">
        <f>IFERROR(__xludf.DUMMYFUNCTION("""COMPUTED_VALUE"""),43743.0)</f>
        <v>43743</v>
      </c>
      <c r="C15" s="96" t="str">
        <f>IFERROR(__xludf.DUMMYFUNCTION("""COMPUTED_VALUE"""),"AUGUSTINE IGBA")</f>
        <v>AUGUSTINE IGBA</v>
      </c>
      <c r="D15" s="96" t="str">
        <f>IFERROR(__xludf.DUMMYFUNCTION("""COMPUTED_VALUE"""),"AUGUSTINE IGBA1")</f>
        <v>AUGUSTINE IGBA1</v>
      </c>
      <c r="E15" s="96"/>
      <c r="F15" s="96"/>
      <c r="G15" s="96"/>
      <c r="H15" s="96"/>
      <c r="I15" s="96"/>
      <c r="J15" s="96"/>
      <c r="K15" s="96">
        <f>IFERROR(__xludf.DUMMYFUNCTION("""COMPUTED_VALUE"""),2.025962E7)</f>
        <v>20259620</v>
      </c>
      <c r="L15" s="99">
        <f>IFERROR(__xludf.DUMMYFUNCTION("""COMPUTED_VALUE"""),2.025962E7)</f>
        <v>20259620</v>
      </c>
      <c r="M15" s="96"/>
      <c r="N15" s="96">
        <f>IFERROR(__xludf.DUMMYFUNCTION("""COMPUTED_VALUE"""),0.0)</f>
        <v>0</v>
      </c>
      <c r="O15" s="96">
        <f>IFERROR(__xludf.DUMMYFUNCTION("""COMPUTED_VALUE"""),0.0)</f>
        <v>0</v>
      </c>
      <c r="P15" s="96">
        <f>IFERROR(__xludf.DUMMYFUNCTION("""COMPUTED_VALUE"""),0.0)</f>
        <v>0</v>
      </c>
      <c r="Q15" s="129">
        <f>IFERROR(__xludf.DUMMYFUNCTION("""COMPUTED_VALUE"""),0.0)</f>
        <v>0</v>
      </c>
      <c r="R15" s="99"/>
    </row>
    <row r="16">
      <c r="A16" s="96">
        <f>IFERROR(__xludf.DUMMYFUNCTION("""COMPUTED_VALUE"""),1.0)</f>
        <v>1</v>
      </c>
      <c r="B16" s="98">
        <f>IFERROR(__xludf.DUMMYFUNCTION("""COMPUTED_VALUE"""),43743.0)</f>
        <v>43743</v>
      </c>
      <c r="C16" s="96" t="str">
        <f>IFERROR(__xludf.DUMMYFUNCTION("""COMPUTED_VALUE"""),"PETER JAMES")</f>
        <v>PETER JAMES</v>
      </c>
      <c r="D16" s="96" t="str">
        <f>IFERROR(__xludf.DUMMYFUNCTION("""COMPUTED_VALUE"""),"PETER JAMES1")</f>
        <v>PETER JAMES1</v>
      </c>
      <c r="E16" s="96"/>
      <c r="F16" s="96"/>
      <c r="G16" s="96"/>
      <c r="H16" s="96"/>
      <c r="I16" s="96"/>
      <c r="J16" s="96"/>
      <c r="K16" s="96">
        <f>IFERROR(__xludf.DUMMYFUNCTION("""COMPUTED_VALUE"""),340094.0)</f>
        <v>340094</v>
      </c>
      <c r="L16" s="99">
        <f>IFERROR(__xludf.DUMMYFUNCTION("""COMPUTED_VALUE"""),340094.0)</f>
        <v>340094</v>
      </c>
      <c r="M16" s="96"/>
      <c r="N16" s="96">
        <f>IFERROR(__xludf.DUMMYFUNCTION("""COMPUTED_VALUE"""),0.0)</f>
        <v>0</v>
      </c>
      <c r="O16" s="96">
        <f>IFERROR(__xludf.DUMMYFUNCTION("""COMPUTED_VALUE"""),0.0)</f>
        <v>0</v>
      </c>
      <c r="P16" s="96">
        <f>IFERROR(__xludf.DUMMYFUNCTION("""COMPUTED_VALUE"""),0.0)</f>
        <v>0</v>
      </c>
      <c r="Q16" s="129">
        <f>IFERROR(__xludf.DUMMYFUNCTION("""COMPUTED_VALUE"""),0.0)</f>
        <v>0</v>
      </c>
      <c r="R16" s="99"/>
    </row>
    <row r="17">
      <c r="A17" s="96">
        <f>IFERROR(__xludf.DUMMYFUNCTION("""COMPUTED_VALUE"""),1.0)</f>
        <v>1</v>
      </c>
      <c r="B17" s="98">
        <f>IFERROR(__xludf.DUMMYFUNCTION("""COMPUTED_VALUE"""),43743.0)</f>
        <v>43743</v>
      </c>
      <c r="C17" s="96" t="str">
        <f>IFERROR(__xludf.DUMMYFUNCTION("""COMPUTED_VALUE"""),"AYUK AYUK")</f>
        <v>AYUK AYUK</v>
      </c>
      <c r="D17" s="96" t="str">
        <f>IFERROR(__xludf.DUMMYFUNCTION("""COMPUTED_VALUE"""),"AYUK AYUK1")</f>
        <v>AYUK AYUK1</v>
      </c>
      <c r="E17" s="96"/>
      <c r="F17" s="96"/>
      <c r="G17" s="96"/>
      <c r="H17" s="96"/>
      <c r="I17" s="96"/>
      <c r="J17" s="96"/>
      <c r="K17" s="96">
        <f>IFERROR(__xludf.DUMMYFUNCTION("""COMPUTED_VALUE"""),120000.0)</f>
        <v>120000</v>
      </c>
      <c r="L17" s="99">
        <f>IFERROR(__xludf.DUMMYFUNCTION("""COMPUTED_VALUE"""),120000.0)</f>
        <v>120000</v>
      </c>
      <c r="M17" s="96"/>
      <c r="N17" s="96">
        <f>IFERROR(__xludf.DUMMYFUNCTION("""COMPUTED_VALUE"""),0.0)</f>
        <v>0</v>
      </c>
      <c r="O17" s="96">
        <f>IFERROR(__xludf.DUMMYFUNCTION("""COMPUTED_VALUE"""),0.0)</f>
        <v>0</v>
      </c>
      <c r="P17" s="96">
        <f>IFERROR(__xludf.DUMMYFUNCTION("""COMPUTED_VALUE"""),0.0)</f>
        <v>0</v>
      </c>
      <c r="Q17" s="129">
        <f>IFERROR(__xludf.DUMMYFUNCTION("""COMPUTED_VALUE"""),0.0)</f>
        <v>0</v>
      </c>
      <c r="R17" s="99"/>
    </row>
    <row r="18">
      <c r="A18" s="96">
        <f>IFERROR(__xludf.DUMMYFUNCTION("""COMPUTED_VALUE"""),1.0)</f>
        <v>1</v>
      </c>
      <c r="B18" s="98">
        <f>IFERROR(__xludf.DUMMYFUNCTION("""COMPUTED_VALUE"""),43743.0)</f>
        <v>43743</v>
      </c>
      <c r="C18" s="96" t="str">
        <f>IFERROR(__xludf.DUMMYFUNCTION("""COMPUTED_VALUE""")," MAXWELL AGRO")</f>
        <v> MAXWELL AGRO</v>
      </c>
      <c r="D18" s="96" t="str">
        <f>IFERROR(__xludf.DUMMYFUNCTION("""COMPUTED_VALUE""")," MAXWELL AGRO1")</f>
        <v> MAXWELL AGRO1</v>
      </c>
      <c r="E18" s="96"/>
      <c r="F18" s="96"/>
      <c r="G18" s="96"/>
      <c r="H18" s="96"/>
      <c r="I18" s="96"/>
      <c r="J18" s="96"/>
      <c r="K18" s="96">
        <f>IFERROR(__xludf.DUMMYFUNCTION("""COMPUTED_VALUE"""),300000.0)</f>
        <v>300000</v>
      </c>
      <c r="L18" s="99">
        <f>IFERROR(__xludf.DUMMYFUNCTION("""COMPUTED_VALUE"""),300000.0)</f>
        <v>300000</v>
      </c>
      <c r="M18" s="96"/>
      <c r="N18" s="96">
        <f>IFERROR(__xludf.DUMMYFUNCTION("""COMPUTED_VALUE"""),0.0)</f>
        <v>0</v>
      </c>
      <c r="O18" s="96">
        <f>IFERROR(__xludf.DUMMYFUNCTION("""COMPUTED_VALUE"""),0.0)</f>
        <v>0</v>
      </c>
      <c r="P18" s="96">
        <f>IFERROR(__xludf.DUMMYFUNCTION("""COMPUTED_VALUE"""),0.0)</f>
        <v>0</v>
      </c>
      <c r="Q18" s="129">
        <f>IFERROR(__xludf.DUMMYFUNCTION("""COMPUTED_VALUE"""),0.0)</f>
        <v>0</v>
      </c>
      <c r="R18" s="99"/>
    </row>
    <row r="19">
      <c r="A19" s="96">
        <f>IFERROR(__xludf.DUMMYFUNCTION("""COMPUTED_VALUE"""),1.0)</f>
        <v>1</v>
      </c>
      <c r="B19" s="98">
        <f>IFERROR(__xludf.DUMMYFUNCTION("""COMPUTED_VALUE"""),43743.0)</f>
        <v>43743</v>
      </c>
      <c r="C19" s="96" t="str">
        <f>IFERROR(__xludf.DUMMYFUNCTION("""COMPUTED_VALUE"""),"RAPHEAL OKON")</f>
        <v>RAPHEAL OKON</v>
      </c>
      <c r="D19" s="96" t="str">
        <f>IFERROR(__xludf.DUMMYFUNCTION("""COMPUTED_VALUE"""),"RAPHEAL OKON1")</f>
        <v>RAPHEAL OKON1</v>
      </c>
      <c r="E19" s="96"/>
      <c r="F19" s="96"/>
      <c r="G19" s="96"/>
      <c r="H19" s="96"/>
      <c r="I19" s="96"/>
      <c r="J19" s="96"/>
      <c r="K19" s="96">
        <f>IFERROR(__xludf.DUMMYFUNCTION("""COMPUTED_VALUE"""),200000.0)</f>
        <v>200000</v>
      </c>
      <c r="L19" s="99">
        <f>IFERROR(__xludf.DUMMYFUNCTION("""COMPUTED_VALUE"""),200000.0)</f>
        <v>200000</v>
      </c>
      <c r="M19" s="96"/>
      <c r="N19" s="96">
        <f>IFERROR(__xludf.DUMMYFUNCTION("""COMPUTED_VALUE"""),0.0)</f>
        <v>0</v>
      </c>
      <c r="O19" s="96">
        <f>IFERROR(__xludf.DUMMYFUNCTION("""COMPUTED_VALUE"""),0.0)</f>
        <v>0</v>
      </c>
      <c r="P19" s="96">
        <f>IFERROR(__xludf.DUMMYFUNCTION("""COMPUTED_VALUE"""),0.0)</f>
        <v>0</v>
      </c>
      <c r="Q19" s="129">
        <f>IFERROR(__xludf.DUMMYFUNCTION("""COMPUTED_VALUE"""),0.0)</f>
        <v>0</v>
      </c>
      <c r="R19" s="99"/>
    </row>
    <row r="20">
      <c r="A20" s="96">
        <f>IFERROR(__xludf.DUMMYFUNCTION("""COMPUTED_VALUE"""),1.0)</f>
        <v>1</v>
      </c>
      <c r="B20" s="98">
        <f>IFERROR(__xludf.DUMMYFUNCTION("""COMPUTED_VALUE"""),43743.0)</f>
        <v>43743</v>
      </c>
      <c r="C20" s="96" t="str">
        <f>IFERROR(__xludf.DUMMYFUNCTION("""COMPUTED_VALUE"""),"EKABA ETTA")</f>
        <v>EKABA ETTA</v>
      </c>
      <c r="D20" s="96" t="str">
        <f>IFERROR(__xludf.DUMMYFUNCTION("""COMPUTED_VALUE"""),"EKABA ETTA1")</f>
        <v>EKABA ETTA1</v>
      </c>
      <c r="E20" s="96"/>
      <c r="F20" s="96"/>
      <c r="G20" s="96"/>
      <c r="H20" s="96"/>
      <c r="I20" s="96"/>
      <c r="J20" s="96"/>
      <c r="K20" s="96">
        <f>IFERROR(__xludf.DUMMYFUNCTION("""COMPUTED_VALUE"""),1200000.0)</f>
        <v>1200000</v>
      </c>
      <c r="L20" s="99">
        <f>IFERROR(__xludf.DUMMYFUNCTION("""COMPUTED_VALUE"""),1200000.0)</f>
        <v>1200000</v>
      </c>
      <c r="M20" s="96"/>
      <c r="N20" s="96">
        <f>IFERROR(__xludf.DUMMYFUNCTION("""COMPUTED_VALUE"""),0.0)</f>
        <v>0</v>
      </c>
      <c r="O20" s="96">
        <f>IFERROR(__xludf.DUMMYFUNCTION("""COMPUTED_VALUE"""),0.0)</f>
        <v>0</v>
      </c>
      <c r="P20" s="96">
        <f>IFERROR(__xludf.DUMMYFUNCTION("""COMPUTED_VALUE"""),0.0)</f>
        <v>0</v>
      </c>
      <c r="Q20" s="129">
        <f>IFERROR(__xludf.DUMMYFUNCTION("""COMPUTED_VALUE"""),0.0)</f>
        <v>0</v>
      </c>
      <c r="R20" s="99"/>
    </row>
    <row r="21">
      <c r="A21" s="96">
        <f>IFERROR(__xludf.DUMMYFUNCTION("""COMPUTED_VALUE"""),1.0)</f>
        <v>1</v>
      </c>
      <c r="B21" s="98">
        <f>IFERROR(__xludf.DUMMYFUNCTION("""COMPUTED_VALUE"""),43743.0)</f>
        <v>43743</v>
      </c>
      <c r="C21" s="96" t="str">
        <f>IFERROR(__xludf.DUMMYFUNCTION("""COMPUTED_VALUE"""),"LAWERENCE ETTA OGAR")</f>
        <v>LAWERENCE ETTA OGAR</v>
      </c>
      <c r="D21" s="96" t="str">
        <f>IFERROR(__xludf.DUMMYFUNCTION("""COMPUTED_VALUE"""),"LAWERENCE ETTA OGAR1")</f>
        <v>LAWERENCE ETTA OGAR1</v>
      </c>
      <c r="E21" s="96"/>
      <c r="F21" s="96"/>
      <c r="G21" s="96"/>
      <c r="H21" s="96"/>
      <c r="I21" s="96"/>
      <c r="J21" s="96"/>
      <c r="K21" s="96">
        <f>IFERROR(__xludf.DUMMYFUNCTION("""COMPUTED_VALUE"""),323719.0)</f>
        <v>323719</v>
      </c>
      <c r="L21" s="99">
        <f>IFERROR(__xludf.DUMMYFUNCTION("""COMPUTED_VALUE"""),323719.0)</f>
        <v>323719</v>
      </c>
      <c r="M21" s="96"/>
      <c r="N21" s="96">
        <f>IFERROR(__xludf.DUMMYFUNCTION("""COMPUTED_VALUE"""),0.0)</f>
        <v>0</v>
      </c>
      <c r="O21" s="96">
        <f>IFERROR(__xludf.DUMMYFUNCTION("""COMPUTED_VALUE"""),0.0)</f>
        <v>0</v>
      </c>
      <c r="P21" s="96">
        <f>IFERROR(__xludf.DUMMYFUNCTION("""COMPUTED_VALUE"""),0.0)</f>
        <v>0</v>
      </c>
      <c r="Q21" s="129">
        <f>IFERROR(__xludf.DUMMYFUNCTION("""COMPUTED_VALUE"""),0.0)</f>
        <v>0</v>
      </c>
      <c r="R21" s="99"/>
    </row>
    <row r="22">
      <c r="A22" s="96">
        <f>IFERROR(__xludf.DUMMYFUNCTION("""COMPUTED_VALUE"""),1.0)</f>
        <v>1</v>
      </c>
      <c r="B22" s="98">
        <f>IFERROR(__xludf.DUMMYFUNCTION("""COMPUTED_VALUE"""),43743.0)</f>
        <v>43743</v>
      </c>
      <c r="C22" s="96" t="str">
        <f>IFERROR(__xludf.DUMMYFUNCTION("""COMPUTED_VALUE"""),"LYDIA HNSON ")</f>
        <v>LYDIA HNSON </v>
      </c>
      <c r="D22" s="96" t="str">
        <f>IFERROR(__xludf.DUMMYFUNCTION("""COMPUTED_VALUE"""),"LYDIA HNSON 1")</f>
        <v>LYDIA HNSON 1</v>
      </c>
      <c r="E22" s="96"/>
      <c r="F22" s="96"/>
      <c r="G22" s="96"/>
      <c r="H22" s="96"/>
      <c r="I22" s="96"/>
      <c r="J22" s="96"/>
      <c r="K22" s="96">
        <f>IFERROR(__xludf.DUMMYFUNCTION("""COMPUTED_VALUE"""),2600000.0)</f>
        <v>2600000</v>
      </c>
      <c r="L22" s="99">
        <f>IFERROR(__xludf.DUMMYFUNCTION("""COMPUTED_VALUE"""),2600000.0)</f>
        <v>2600000</v>
      </c>
      <c r="M22" s="96"/>
      <c r="N22" s="96">
        <f>IFERROR(__xludf.DUMMYFUNCTION("""COMPUTED_VALUE"""),0.0)</f>
        <v>0</v>
      </c>
      <c r="O22" s="96">
        <f>IFERROR(__xludf.DUMMYFUNCTION("""COMPUTED_VALUE"""),0.0)</f>
        <v>0</v>
      </c>
      <c r="P22" s="96">
        <f>IFERROR(__xludf.DUMMYFUNCTION("""COMPUTED_VALUE"""),0.0)</f>
        <v>0</v>
      </c>
      <c r="Q22" s="129">
        <f>IFERROR(__xludf.DUMMYFUNCTION("""COMPUTED_VALUE"""),0.0)</f>
        <v>0</v>
      </c>
      <c r="R22" s="99"/>
    </row>
    <row r="23">
      <c r="A23" s="96">
        <f>IFERROR(__xludf.DUMMYFUNCTION("""COMPUTED_VALUE"""),1.0)</f>
        <v>1</v>
      </c>
      <c r="B23" s="98">
        <f>IFERROR(__xludf.DUMMYFUNCTION("""COMPUTED_VALUE"""),43743.0)</f>
        <v>43743</v>
      </c>
      <c r="C23" s="96" t="str">
        <f>IFERROR(__xludf.DUMMYFUNCTION("""COMPUTED_VALUE"""),"NAOMI")</f>
        <v>NAOMI</v>
      </c>
      <c r="D23" s="96" t="str">
        <f>IFERROR(__xludf.DUMMYFUNCTION("""COMPUTED_VALUE"""),"NAOMI1")</f>
        <v>NAOMI1</v>
      </c>
      <c r="E23" s="96"/>
      <c r="F23" s="96"/>
      <c r="G23" s="96"/>
      <c r="H23" s="96"/>
      <c r="I23" s="96"/>
      <c r="J23" s="96"/>
      <c r="K23" s="96">
        <f>IFERROR(__xludf.DUMMYFUNCTION("""COMPUTED_VALUE"""),1.3090265E7)</f>
        <v>13090265</v>
      </c>
      <c r="L23" s="99">
        <f>IFERROR(__xludf.DUMMYFUNCTION("""COMPUTED_VALUE"""),1.3090265E7)</f>
        <v>13090265</v>
      </c>
      <c r="M23" s="96"/>
      <c r="N23" s="96">
        <f>IFERROR(__xludf.DUMMYFUNCTION("""COMPUTED_VALUE"""),0.0)</f>
        <v>0</v>
      </c>
      <c r="O23" s="96">
        <f>IFERROR(__xludf.DUMMYFUNCTION("""COMPUTED_VALUE"""),0.0)</f>
        <v>0</v>
      </c>
      <c r="P23" s="96">
        <f>IFERROR(__xludf.DUMMYFUNCTION("""COMPUTED_VALUE"""),0.0)</f>
        <v>0</v>
      </c>
      <c r="Q23" s="129">
        <f>IFERROR(__xludf.DUMMYFUNCTION("""COMPUTED_VALUE"""),0.0)</f>
        <v>0</v>
      </c>
      <c r="R23" s="99"/>
    </row>
    <row r="24">
      <c r="A24" s="96">
        <f>IFERROR(__xludf.DUMMYFUNCTION("""COMPUTED_VALUE"""),1.0)</f>
        <v>1</v>
      </c>
      <c r="B24" s="98">
        <f>IFERROR(__xludf.DUMMYFUNCTION("""COMPUTED_VALUE"""),43743.0)</f>
        <v>43743</v>
      </c>
      <c r="C24" s="96" t="str">
        <f>IFERROR(__xludf.DUMMYFUNCTION("""COMPUTED_VALUE"""),"MAXWELL AGRO OBI")</f>
        <v>MAXWELL AGRO OBI</v>
      </c>
      <c r="D24" s="96" t="str">
        <f>IFERROR(__xludf.DUMMYFUNCTION("""COMPUTED_VALUE"""),"MAXWELL AGRO OBI1")</f>
        <v>MAXWELL AGRO OBI1</v>
      </c>
      <c r="E24" s="96"/>
      <c r="F24" s="96"/>
      <c r="G24" s="96"/>
      <c r="H24" s="96"/>
      <c r="I24" s="96"/>
      <c r="J24" s="96"/>
      <c r="K24" s="96">
        <f>IFERROR(__xludf.DUMMYFUNCTION("""COMPUTED_VALUE"""),500000.0)</f>
        <v>500000</v>
      </c>
      <c r="L24" s="99">
        <f>IFERROR(__xludf.DUMMYFUNCTION("""COMPUTED_VALUE"""),500000.0)</f>
        <v>500000</v>
      </c>
      <c r="M24" s="96"/>
      <c r="N24" s="96">
        <f>IFERROR(__xludf.DUMMYFUNCTION("""COMPUTED_VALUE"""),0.0)</f>
        <v>0</v>
      </c>
      <c r="O24" s="96">
        <f>IFERROR(__xludf.DUMMYFUNCTION("""COMPUTED_VALUE"""),0.0)</f>
        <v>0</v>
      </c>
      <c r="P24" s="96">
        <f>IFERROR(__xludf.DUMMYFUNCTION("""COMPUTED_VALUE"""),0.0)</f>
        <v>0</v>
      </c>
      <c r="Q24" s="129">
        <f>IFERROR(__xludf.DUMMYFUNCTION("""COMPUTED_VALUE"""),0.0)</f>
        <v>0</v>
      </c>
      <c r="R24" s="99"/>
    </row>
    <row r="25">
      <c r="A25" s="96">
        <f>IFERROR(__xludf.DUMMYFUNCTION("""COMPUTED_VALUE"""),1.0)</f>
        <v>1</v>
      </c>
      <c r="B25" s="98">
        <f>IFERROR(__xludf.DUMMYFUNCTION("""COMPUTED_VALUE"""),43743.0)</f>
        <v>43743</v>
      </c>
      <c r="C25" s="96" t="str">
        <f>IFERROR(__xludf.DUMMYFUNCTION("""COMPUTED_VALUE"""),"R.  MAXWELL AGRO")</f>
        <v>R.  MAXWELL AGRO</v>
      </c>
      <c r="D25" s="96" t="str">
        <f>IFERROR(__xludf.DUMMYFUNCTION("""COMPUTED_VALUE"""),"R.  MAXWELL AGRO1")</f>
        <v>R.  MAXWELL AGRO1</v>
      </c>
      <c r="E25" s="96"/>
      <c r="F25" s="96"/>
      <c r="G25" s="96"/>
      <c r="H25" s="96"/>
      <c r="I25" s="96"/>
      <c r="J25" s="96"/>
      <c r="K25" s="96">
        <f>IFERROR(__xludf.DUMMYFUNCTION("""COMPUTED_VALUE"""),840000.0)</f>
        <v>840000</v>
      </c>
      <c r="L25" s="99">
        <f>IFERROR(__xludf.DUMMYFUNCTION("""COMPUTED_VALUE"""),840000.0)</f>
        <v>840000</v>
      </c>
      <c r="M25" s="96"/>
      <c r="N25" s="96">
        <f>IFERROR(__xludf.DUMMYFUNCTION("""COMPUTED_VALUE"""),0.0)</f>
        <v>0</v>
      </c>
      <c r="O25" s="96">
        <f>IFERROR(__xludf.DUMMYFUNCTION("""COMPUTED_VALUE"""),0.0)</f>
        <v>0</v>
      </c>
      <c r="P25" s="96">
        <f>IFERROR(__xludf.DUMMYFUNCTION("""COMPUTED_VALUE"""),0.0)</f>
        <v>0</v>
      </c>
      <c r="Q25" s="129">
        <f>IFERROR(__xludf.DUMMYFUNCTION("""COMPUTED_VALUE"""),0.0)</f>
        <v>0</v>
      </c>
      <c r="R25" s="99"/>
    </row>
    <row r="26">
      <c r="A26" s="96">
        <f>IFERROR(__xludf.DUMMYFUNCTION("""COMPUTED_VALUE"""),1.0)</f>
        <v>1</v>
      </c>
      <c r="B26" s="98">
        <f>IFERROR(__xludf.DUMMYFUNCTION("""COMPUTED_VALUE"""),43743.0)</f>
        <v>43743</v>
      </c>
      <c r="C26" s="96" t="str">
        <f>IFERROR(__xludf.DUMMYFUNCTION("""COMPUTED_VALUE"""),"ABANG. BEN OLUM")</f>
        <v>ABANG. BEN OLUM</v>
      </c>
      <c r="D26" s="96" t="str">
        <f>IFERROR(__xludf.DUMMYFUNCTION("""COMPUTED_VALUE"""),"ABANG. BEN OLUM1")</f>
        <v>ABANG. BEN OLUM1</v>
      </c>
      <c r="E26" s="96"/>
      <c r="F26" s="96"/>
      <c r="G26" s="96"/>
      <c r="H26" s="96"/>
      <c r="I26" s="96"/>
      <c r="J26" s="96"/>
      <c r="K26" s="96">
        <f>IFERROR(__xludf.DUMMYFUNCTION("""COMPUTED_VALUE"""),920000.0)</f>
        <v>920000</v>
      </c>
      <c r="L26" s="99">
        <f>IFERROR(__xludf.DUMMYFUNCTION("""COMPUTED_VALUE"""),920000.0)</f>
        <v>920000</v>
      </c>
      <c r="M26" s="96"/>
      <c r="N26" s="96">
        <f>IFERROR(__xludf.DUMMYFUNCTION("""COMPUTED_VALUE"""),0.0)</f>
        <v>0</v>
      </c>
      <c r="O26" s="96">
        <f>IFERROR(__xludf.DUMMYFUNCTION("""COMPUTED_VALUE"""),0.0)</f>
        <v>0</v>
      </c>
      <c r="P26" s="96">
        <f>IFERROR(__xludf.DUMMYFUNCTION("""COMPUTED_VALUE"""),0.0)</f>
        <v>0</v>
      </c>
      <c r="Q26" s="129">
        <f>IFERROR(__xludf.DUMMYFUNCTION("""COMPUTED_VALUE"""),0.0)</f>
        <v>0</v>
      </c>
      <c r="R26" s="99"/>
    </row>
    <row r="27">
      <c r="A27" s="96">
        <f>IFERROR(__xludf.DUMMYFUNCTION("""COMPUTED_VALUE"""),1.0)</f>
        <v>1</v>
      </c>
      <c r="B27" s="98">
        <f>IFERROR(__xludf.DUMMYFUNCTION("""COMPUTED_VALUE"""),43743.0)</f>
        <v>43743</v>
      </c>
      <c r="C27" s="96" t="str">
        <f>IFERROR(__xludf.DUMMYFUNCTION("""COMPUTED_VALUE"""),"NYIAM FREDERICK JUSTINE")</f>
        <v>NYIAM FREDERICK JUSTINE</v>
      </c>
      <c r="D27" s="96" t="str">
        <f>IFERROR(__xludf.DUMMYFUNCTION("""COMPUTED_VALUE"""),"NYIAM FREDERICK JUSTINE1")</f>
        <v>NYIAM FREDERICK JUSTINE1</v>
      </c>
      <c r="E27" s="96"/>
      <c r="F27" s="96"/>
      <c r="G27" s="96"/>
      <c r="H27" s="96"/>
      <c r="I27" s="96"/>
      <c r="J27" s="96"/>
      <c r="K27" s="96">
        <f>IFERROR(__xludf.DUMMYFUNCTION("""COMPUTED_VALUE"""),400000.0)</f>
        <v>400000</v>
      </c>
      <c r="L27" s="99">
        <f>IFERROR(__xludf.DUMMYFUNCTION("""COMPUTED_VALUE"""),400000.0)</f>
        <v>400000</v>
      </c>
      <c r="M27" s="96"/>
      <c r="N27" s="96">
        <f>IFERROR(__xludf.DUMMYFUNCTION("""COMPUTED_VALUE"""),0.0)</f>
        <v>0</v>
      </c>
      <c r="O27" s="96">
        <f>IFERROR(__xludf.DUMMYFUNCTION("""COMPUTED_VALUE"""),0.0)</f>
        <v>0</v>
      </c>
      <c r="P27" s="96">
        <f>IFERROR(__xludf.DUMMYFUNCTION("""COMPUTED_VALUE"""),0.0)</f>
        <v>0</v>
      </c>
      <c r="Q27" s="129">
        <f>IFERROR(__xludf.DUMMYFUNCTION("""COMPUTED_VALUE"""),0.0)</f>
        <v>0</v>
      </c>
      <c r="R27" s="99"/>
    </row>
    <row r="28">
      <c r="A28" s="96">
        <f>IFERROR(__xludf.DUMMYFUNCTION("""COMPUTED_VALUE"""),1.0)</f>
        <v>1</v>
      </c>
      <c r="B28" s="98">
        <f>IFERROR(__xludf.DUMMYFUNCTION("""COMPUTED_VALUE"""),43743.0)</f>
        <v>43743</v>
      </c>
      <c r="C28" s="96" t="str">
        <f>IFERROR(__xludf.DUMMYFUNCTION("""COMPUTED_VALUE"""),"RI SAMP")</f>
        <v>RI SAMP</v>
      </c>
      <c r="D28" s="96" t="str">
        <f>IFERROR(__xludf.DUMMYFUNCTION("""COMPUTED_VALUE"""),"RI SAMP1")</f>
        <v>RI SAMP1</v>
      </c>
      <c r="E28" s="96"/>
      <c r="F28" s="96"/>
      <c r="G28" s="96"/>
      <c r="H28" s="96"/>
      <c r="I28" s="96"/>
      <c r="J28" s="96"/>
      <c r="K28" s="96">
        <f>IFERROR(__xludf.DUMMYFUNCTION("""COMPUTED_VALUE"""),1000000.0)</f>
        <v>1000000</v>
      </c>
      <c r="L28" s="99">
        <f>IFERROR(__xludf.DUMMYFUNCTION("""COMPUTED_VALUE"""),1000000.0)</f>
        <v>1000000</v>
      </c>
      <c r="M28" s="96"/>
      <c r="N28" s="96">
        <f>IFERROR(__xludf.DUMMYFUNCTION("""COMPUTED_VALUE"""),0.0)</f>
        <v>0</v>
      </c>
      <c r="O28" s="96">
        <f>IFERROR(__xludf.DUMMYFUNCTION("""COMPUTED_VALUE"""),0.0)</f>
        <v>0</v>
      </c>
      <c r="P28" s="96">
        <f>IFERROR(__xludf.DUMMYFUNCTION("""COMPUTED_VALUE"""),0.0)</f>
        <v>0</v>
      </c>
      <c r="Q28" s="129">
        <f>IFERROR(__xludf.DUMMYFUNCTION("""COMPUTED_VALUE"""),0.0)</f>
        <v>0</v>
      </c>
      <c r="R28" s="99"/>
    </row>
    <row r="29">
      <c r="A29" s="96">
        <f>IFERROR(__xludf.DUMMYFUNCTION("""COMPUTED_VALUE"""),1.0)</f>
        <v>1</v>
      </c>
      <c r="B29" s="98">
        <f>IFERROR(__xludf.DUMMYFUNCTION("""COMPUTED_VALUE"""),43743.0)</f>
        <v>43743</v>
      </c>
      <c r="C29" s="96" t="str">
        <f>IFERROR(__xludf.DUMMYFUNCTION("""COMPUTED_VALUE"""),"REMMY BODES")</f>
        <v>REMMY BODES</v>
      </c>
      <c r="D29" s="96" t="str">
        <f>IFERROR(__xludf.DUMMYFUNCTION("""COMPUTED_VALUE"""),"REMMY BODES1")</f>
        <v>REMMY BODES1</v>
      </c>
      <c r="E29" s="96"/>
      <c r="F29" s="96"/>
      <c r="G29" s="96"/>
      <c r="H29" s="96"/>
      <c r="I29" s="96"/>
      <c r="J29" s="96"/>
      <c r="K29" s="96">
        <f>IFERROR(__xludf.DUMMYFUNCTION("""COMPUTED_VALUE"""),510000.0)</f>
        <v>510000</v>
      </c>
      <c r="L29" s="99">
        <f>IFERROR(__xludf.DUMMYFUNCTION("""COMPUTED_VALUE"""),510000.0)</f>
        <v>510000</v>
      </c>
      <c r="M29" s="96"/>
      <c r="N29" s="96">
        <f>IFERROR(__xludf.DUMMYFUNCTION("""COMPUTED_VALUE"""),0.0)</f>
        <v>0</v>
      </c>
      <c r="O29" s="96">
        <f>IFERROR(__xludf.DUMMYFUNCTION("""COMPUTED_VALUE"""),0.0)</f>
        <v>0</v>
      </c>
      <c r="P29" s="96">
        <f>IFERROR(__xludf.DUMMYFUNCTION("""COMPUTED_VALUE"""),0.0)</f>
        <v>0</v>
      </c>
      <c r="Q29" s="129">
        <f>IFERROR(__xludf.DUMMYFUNCTION("""COMPUTED_VALUE"""),0.0)</f>
        <v>0</v>
      </c>
      <c r="R29" s="99"/>
    </row>
    <row r="30">
      <c r="A30" s="96">
        <f>IFERROR(__xludf.DUMMYFUNCTION("""COMPUTED_VALUE"""),1.0)</f>
        <v>1</v>
      </c>
      <c r="B30" s="98">
        <f>IFERROR(__xludf.DUMMYFUNCTION("""COMPUTED_VALUE"""),43743.0)</f>
        <v>43743</v>
      </c>
      <c r="C30" s="96" t="str">
        <f>IFERROR(__xludf.DUMMYFUNCTION("""COMPUTED_VALUE"""),"ANDRDEW GREAT")</f>
        <v>ANDRDEW GREAT</v>
      </c>
      <c r="D30" s="96" t="str">
        <f>IFERROR(__xludf.DUMMYFUNCTION("""COMPUTED_VALUE"""),"ANDRDEW GREAT1")</f>
        <v>ANDRDEW GREAT1</v>
      </c>
      <c r="E30" s="96"/>
      <c r="F30" s="96"/>
      <c r="G30" s="96"/>
      <c r="H30" s="96"/>
      <c r="I30" s="96"/>
      <c r="J30" s="96"/>
      <c r="K30" s="96">
        <f>IFERROR(__xludf.DUMMYFUNCTION("""COMPUTED_VALUE"""),1517570.0)</f>
        <v>1517570</v>
      </c>
      <c r="L30" s="99">
        <f>IFERROR(__xludf.DUMMYFUNCTION("""COMPUTED_VALUE"""),1517570.0)</f>
        <v>1517570</v>
      </c>
      <c r="M30" s="96"/>
      <c r="N30" s="96">
        <f>IFERROR(__xludf.DUMMYFUNCTION("""COMPUTED_VALUE"""),0.0)</f>
        <v>0</v>
      </c>
      <c r="O30" s="96">
        <f>IFERROR(__xludf.DUMMYFUNCTION("""COMPUTED_VALUE"""),0.0)</f>
        <v>0</v>
      </c>
      <c r="P30" s="96">
        <f>IFERROR(__xludf.DUMMYFUNCTION("""COMPUTED_VALUE"""),0.0)</f>
        <v>0</v>
      </c>
      <c r="Q30" s="129">
        <f>IFERROR(__xludf.DUMMYFUNCTION("""COMPUTED_VALUE"""),0.0)</f>
        <v>0</v>
      </c>
      <c r="R30" s="99"/>
    </row>
    <row r="31">
      <c r="A31" s="96">
        <f>IFERROR(__xludf.DUMMYFUNCTION("""COMPUTED_VALUE"""),1.0)</f>
        <v>1</v>
      </c>
      <c r="B31" s="98">
        <f>IFERROR(__xludf.DUMMYFUNCTION("""COMPUTED_VALUE"""),43743.0)</f>
        <v>43743</v>
      </c>
      <c r="C31" s="96" t="str">
        <f>IFERROR(__xludf.DUMMYFUNCTION("""COMPUTED_VALUE"""),"NDOMA BODE I.D")</f>
        <v>NDOMA BODE I.D</v>
      </c>
      <c r="D31" s="96" t="str">
        <f>IFERROR(__xludf.DUMMYFUNCTION("""COMPUTED_VALUE"""),"NDOMA BODE I.D1")</f>
        <v>NDOMA BODE I.D1</v>
      </c>
      <c r="E31" s="96"/>
      <c r="F31" s="96"/>
      <c r="G31" s="96"/>
      <c r="H31" s="96"/>
      <c r="I31" s="96"/>
      <c r="J31" s="96"/>
      <c r="K31" s="96">
        <f>IFERROR(__xludf.DUMMYFUNCTION("""COMPUTED_VALUE"""),800000.0)</f>
        <v>800000</v>
      </c>
      <c r="L31" s="99">
        <f>IFERROR(__xludf.DUMMYFUNCTION("""COMPUTED_VALUE"""),800000.0)</f>
        <v>800000</v>
      </c>
      <c r="M31" s="96"/>
      <c r="N31" s="96">
        <f>IFERROR(__xludf.DUMMYFUNCTION("""COMPUTED_VALUE"""),0.0)</f>
        <v>0</v>
      </c>
      <c r="O31" s="96">
        <f>IFERROR(__xludf.DUMMYFUNCTION("""COMPUTED_VALUE"""),0.0)</f>
        <v>0</v>
      </c>
      <c r="P31" s="96">
        <f>IFERROR(__xludf.DUMMYFUNCTION("""COMPUTED_VALUE"""),0.0)</f>
        <v>0</v>
      </c>
      <c r="Q31" s="129">
        <f>IFERROR(__xludf.DUMMYFUNCTION("""COMPUTED_VALUE"""),0.0)</f>
        <v>0</v>
      </c>
      <c r="R31" s="99"/>
    </row>
    <row r="32">
      <c r="A32" s="96">
        <f>IFERROR(__xludf.DUMMYFUNCTION("""COMPUTED_VALUE"""),1.0)</f>
        <v>1</v>
      </c>
      <c r="B32" s="98">
        <f>IFERROR(__xludf.DUMMYFUNCTION("""COMPUTED_VALUE"""),43743.0)</f>
        <v>43743</v>
      </c>
      <c r="C32" s="96" t="str">
        <f>IFERROR(__xludf.DUMMYFUNCTION("""COMPUTED_VALUE"""),"ALLI SYLVESTER")</f>
        <v>ALLI SYLVESTER</v>
      </c>
      <c r="D32" s="96" t="str">
        <f>IFERROR(__xludf.DUMMYFUNCTION("""COMPUTED_VALUE"""),"ALLI SYLVESTER1")</f>
        <v>ALLI SYLVESTER1</v>
      </c>
      <c r="E32" s="96"/>
      <c r="F32" s="96"/>
      <c r="G32" s="96"/>
      <c r="H32" s="96"/>
      <c r="I32" s="96"/>
      <c r="J32" s="96"/>
      <c r="K32" s="96">
        <f>IFERROR(__xludf.DUMMYFUNCTION("""COMPUTED_VALUE"""),2376910.0)</f>
        <v>2376910</v>
      </c>
      <c r="L32" s="99">
        <f>IFERROR(__xludf.DUMMYFUNCTION("""COMPUTED_VALUE"""),2376910.0)</f>
        <v>2376910</v>
      </c>
      <c r="M32" s="96"/>
      <c r="N32" s="96">
        <f>IFERROR(__xludf.DUMMYFUNCTION("""COMPUTED_VALUE"""),0.0)</f>
        <v>0</v>
      </c>
      <c r="O32" s="96">
        <f>IFERROR(__xludf.DUMMYFUNCTION("""COMPUTED_VALUE"""),0.0)</f>
        <v>0</v>
      </c>
      <c r="P32" s="96">
        <f>IFERROR(__xludf.DUMMYFUNCTION("""COMPUTED_VALUE"""),0.0)</f>
        <v>0</v>
      </c>
      <c r="Q32" s="129">
        <f>IFERROR(__xludf.DUMMYFUNCTION("""COMPUTED_VALUE"""),0.0)</f>
        <v>0</v>
      </c>
      <c r="R32" s="99"/>
    </row>
    <row r="33">
      <c r="A33" s="96">
        <f>IFERROR(__xludf.DUMMYFUNCTION("""COMPUTED_VALUE"""),1.0)</f>
        <v>1</v>
      </c>
      <c r="B33" s="98">
        <f>IFERROR(__xludf.DUMMYFUNCTION("""COMPUTED_VALUE"""),43743.0)</f>
        <v>43743</v>
      </c>
      <c r="C33" s="96" t="str">
        <f>IFERROR(__xludf.DUMMYFUNCTION("""COMPUTED_VALUE""")," OP OJUA")</f>
        <v> OP OJUA</v>
      </c>
      <c r="D33" s="96" t="str">
        <f>IFERROR(__xludf.DUMMYFUNCTION("""COMPUTED_VALUE""")," OP OJUA1")</f>
        <v> OP OJUA1</v>
      </c>
      <c r="E33" s="96"/>
      <c r="F33" s="96"/>
      <c r="G33" s="96"/>
      <c r="H33" s="96"/>
      <c r="I33" s="96"/>
      <c r="J33" s="96"/>
      <c r="K33" s="96">
        <f>IFERROR(__xludf.DUMMYFUNCTION("""COMPUTED_VALUE"""),46550.0)</f>
        <v>46550</v>
      </c>
      <c r="L33" s="99">
        <f>IFERROR(__xludf.DUMMYFUNCTION("""COMPUTED_VALUE"""),46550.0)</f>
        <v>46550</v>
      </c>
      <c r="M33" s="96"/>
      <c r="N33" s="96">
        <f>IFERROR(__xludf.DUMMYFUNCTION("""COMPUTED_VALUE"""),0.0)</f>
        <v>0</v>
      </c>
      <c r="O33" s="96">
        <f>IFERROR(__xludf.DUMMYFUNCTION("""COMPUTED_VALUE"""),0.0)</f>
        <v>0</v>
      </c>
      <c r="P33" s="96">
        <f>IFERROR(__xludf.DUMMYFUNCTION("""COMPUTED_VALUE"""),0.0)</f>
        <v>0</v>
      </c>
      <c r="Q33" s="129">
        <f>IFERROR(__xludf.DUMMYFUNCTION("""COMPUTED_VALUE"""),0.0)</f>
        <v>0</v>
      </c>
      <c r="R33" s="99"/>
    </row>
    <row r="34">
      <c r="A34" s="96">
        <f>IFERROR(__xludf.DUMMYFUNCTION("""COMPUTED_VALUE"""),1.0)</f>
        <v>1</v>
      </c>
      <c r="B34" s="98">
        <f>IFERROR(__xludf.DUMMYFUNCTION("""COMPUTED_VALUE"""),43743.0)</f>
        <v>43743</v>
      </c>
      <c r="C34" s="96" t="str">
        <f>IFERROR(__xludf.DUMMYFUNCTION("""COMPUTED_VALUE"""),"HN KEIBO")</f>
        <v>HN KEIBO</v>
      </c>
      <c r="D34" s="96" t="str">
        <f>IFERROR(__xludf.DUMMYFUNCTION("""COMPUTED_VALUE"""),"HN KEIBO1")</f>
        <v>HN KEIBO1</v>
      </c>
      <c r="E34" s="96"/>
      <c r="F34" s="96"/>
      <c r="G34" s="96"/>
      <c r="H34" s="96"/>
      <c r="I34" s="96"/>
      <c r="J34" s="96"/>
      <c r="K34" s="96">
        <f>IFERROR(__xludf.DUMMYFUNCTION("""COMPUTED_VALUE"""),249707.0)</f>
        <v>249707</v>
      </c>
      <c r="L34" s="99">
        <f>IFERROR(__xludf.DUMMYFUNCTION("""COMPUTED_VALUE"""),249707.0)</f>
        <v>249707</v>
      </c>
      <c r="M34" s="96"/>
      <c r="N34" s="96">
        <f>IFERROR(__xludf.DUMMYFUNCTION("""COMPUTED_VALUE"""),0.0)</f>
        <v>0</v>
      </c>
      <c r="O34" s="96">
        <f>IFERROR(__xludf.DUMMYFUNCTION("""COMPUTED_VALUE"""),0.0)</f>
        <v>0</v>
      </c>
      <c r="P34" s="96">
        <f>IFERROR(__xludf.DUMMYFUNCTION("""COMPUTED_VALUE"""),0.0)</f>
        <v>0</v>
      </c>
      <c r="Q34" s="129">
        <f>IFERROR(__xludf.DUMMYFUNCTION("""COMPUTED_VALUE"""),0.0)</f>
        <v>0</v>
      </c>
      <c r="R34" s="99"/>
    </row>
    <row r="35">
      <c r="A35" s="96">
        <f>IFERROR(__xludf.DUMMYFUNCTION("""COMPUTED_VALUE"""),1.0)</f>
        <v>1</v>
      </c>
      <c r="B35" s="98">
        <f>IFERROR(__xludf.DUMMYFUNCTION("""COMPUTED_VALUE"""),43743.0)</f>
        <v>43743</v>
      </c>
      <c r="C35" s="96" t="str">
        <f>IFERROR(__xludf.DUMMYFUNCTION("""COMPUTED_VALUE""")," OP OCHICHIE")</f>
        <v> OP OCHICHIE</v>
      </c>
      <c r="D35" s="96" t="str">
        <f>IFERROR(__xludf.DUMMYFUNCTION("""COMPUTED_VALUE""")," OP OCHICHIE1")</f>
        <v> OP OCHICHIE1</v>
      </c>
      <c r="E35" s="96"/>
      <c r="F35" s="96"/>
      <c r="G35" s="96"/>
      <c r="H35" s="96"/>
      <c r="I35" s="96"/>
      <c r="J35" s="96"/>
      <c r="K35" s="96">
        <f>IFERROR(__xludf.DUMMYFUNCTION("""COMPUTED_VALUE"""),535525.0)</f>
        <v>535525</v>
      </c>
      <c r="L35" s="99">
        <f>IFERROR(__xludf.DUMMYFUNCTION("""COMPUTED_VALUE"""),535525.0)</f>
        <v>535525</v>
      </c>
      <c r="M35" s="96"/>
      <c r="N35" s="96">
        <f>IFERROR(__xludf.DUMMYFUNCTION("""COMPUTED_VALUE"""),0.0)</f>
        <v>0</v>
      </c>
      <c r="O35" s="96">
        <f>IFERROR(__xludf.DUMMYFUNCTION("""COMPUTED_VALUE"""),0.0)</f>
        <v>0</v>
      </c>
      <c r="P35" s="96">
        <f>IFERROR(__xludf.DUMMYFUNCTION("""COMPUTED_VALUE"""),0.0)</f>
        <v>0</v>
      </c>
      <c r="Q35" s="129">
        <f>IFERROR(__xludf.DUMMYFUNCTION("""COMPUTED_VALUE"""),0.0)</f>
        <v>0</v>
      </c>
      <c r="R35" s="99"/>
    </row>
    <row r="36">
      <c r="A36" s="96">
        <f>IFERROR(__xludf.DUMMYFUNCTION("""COMPUTED_VALUE"""),1.0)</f>
        <v>1</v>
      </c>
      <c r="B36" s="98">
        <f>IFERROR(__xludf.DUMMYFUNCTION("""COMPUTED_VALUE"""),43743.0)</f>
        <v>43743</v>
      </c>
      <c r="C36" s="96" t="str">
        <f>IFERROR(__xludf.DUMMYFUNCTION("""COMPUTED_VALUE"""),"PETER KEIBO SIDE")</f>
        <v>PETER KEIBO SIDE</v>
      </c>
      <c r="D36" s="96" t="str">
        <f>IFERROR(__xludf.DUMMYFUNCTION("""COMPUTED_VALUE"""),"PETER KEIBO SIDE1")</f>
        <v>PETER KEIBO SIDE1</v>
      </c>
      <c r="E36" s="96"/>
      <c r="F36" s="96"/>
      <c r="G36" s="96"/>
      <c r="H36" s="96"/>
      <c r="I36" s="96"/>
      <c r="J36" s="96"/>
      <c r="K36" s="96">
        <f>IFERROR(__xludf.DUMMYFUNCTION("""COMPUTED_VALUE"""),1318980.0)</f>
        <v>1318980</v>
      </c>
      <c r="L36" s="99">
        <f>IFERROR(__xludf.DUMMYFUNCTION("""COMPUTED_VALUE"""),1318980.0)</f>
        <v>1318980</v>
      </c>
      <c r="M36" s="96"/>
      <c r="N36" s="96">
        <f>IFERROR(__xludf.DUMMYFUNCTION("""COMPUTED_VALUE"""),0.0)</f>
        <v>0</v>
      </c>
      <c r="O36" s="96">
        <f>IFERROR(__xludf.DUMMYFUNCTION("""COMPUTED_VALUE"""),0.0)</f>
        <v>0</v>
      </c>
      <c r="P36" s="96">
        <f>IFERROR(__xludf.DUMMYFUNCTION("""COMPUTED_VALUE"""),0.0)</f>
        <v>0</v>
      </c>
      <c r="Q36" s="129">
        <f>IFERROR(__xludf.DUMMYFUNCTION("""COMPUTED_VALUE"""),0.0)</f>
        <v>0</v>
      </c>
      <c r="R36" s="99"/>
    </row>
    <row r="37">
      <c r="A37" s="96">
        <f>IFERROR(__xludf.DUMMYFUNCTION("""COMPUTED_VALUE"""),1.0)</f>
        <v>1</v>
      </c>
      <c r="B37" s="98">
        <f>IFERROR(__xludf.DUMMYFUNCTION("""COMPUTED_VALUE"""),43743.0)</f>
        <v>43743</v>
      </c>
      <c r="C37" s="96" t="str">
        <f>IFERROR(__xludf.DUMMYFUNCTION("""COMPUTED_VALUE"""),"CONFIDENCE")</f>
        <v>CONFIDENCE</v>
      </c>
      <c r="D37" s="96" t="str">
        <f>IFERROR(__xludf.DUMMYFUNCTION("""COMPUTED_VALUE"""),"CONFIDENCE1")</f>
        <v>CONFIDENCE1</v>
      </c>
      <c r="E37" s="96"/>
      <c r="F37" s="96"/>
      <c r="G37" s="96"/>
      <c r="H37" s="96"/>
      <c r="I37" s="96"/>
      <c r="J37" s="96"/>
      <c r="K37" s="96">
        <f>IFERROR(__xludf.DUMMYFUNCTION("""COMPUTED_VALUE"""),300000.0)</f>
        <v>300000</v>
      </c>
      <c r="L37" s="99">
        <f>IFERROR(__xludf.DUMMYFUNCTION("""COMPUTED_VALUE"""),300000.0)</f>
        <v>300000</v>
      </c>
      <c r="M37" s="96"/>
      <c r="N37" s="96">
        <f>IFERROR(__xludf.DUMMYFUNCTION("""COMPUTED_VALUE"""),0.0)</f>
        <v>0</v>
      </c>
      <c r="O37" s="96">
        <f>IFERROR(__xludf.DUMMYFUNCTION("""COMPUTED_VALUE"""),0.0)</f>
        <v>0</v>
      </c>
      <c r="P37" s="96">
        <f>IFERROR(__xludf.DUMMYFUNCTION("""COMPUTED_VALUE"""),0.0)</f>
        <v>0</v>
      </c>
      <c r="Q37" s="129">
        <f>IFERROR(__xludf.DUMMYFUNCTION("""COMPUTED_VALUE"""),0.0)</f>
        <v>0</v>
      </c>
      <c r="R37" s="99"/>
    </row>
    <row r="38">
      <c r="A38" s="96">
        <f>IFERROR(__xludf.DUMMYFUNCTION("""COMPUTED_VALUE"""),1.0)</f>
        <v>1</v>
      </c>
      <c r="B38" s="98">
        <f>IFERROR(__xludf.DUMMYFUNCTION("""COMPUTED_VALUE"""),43743.0)</f>
        <v>43743</v>
      </c>
      <c r="C38" s="96" t="str">
        <f>IFERROR(__xludf.DUMMYFUNCTION("""COMPUTED_VALUE"""),"LAI BIG MAN")</f>
        <v>LAI BIG MAN</v>
      </c>
      <c r="D38" s="96" t="str">
        <f>IFERROR(__xludf.DUMMYFUNCTION("""COMPUTED_VALUE"""),"LAI BIG MAN1")</f>
        <v>LAI BIG MAN1</v>
      </c>
      <c r="E38" s="96"/>
      <c r="F38" s="96"/>
      <c r="G38" s="96"/>
      <c r="H38" s="96"/>
      <c r="I38" s="96"/>
      <c r="J38" s="96"/>
      <c r="K38" s="96">
        <f>IFERROR(__xludf.DUMMYFUNCTION("""COMPUTED_VALUE"""),200000.0)</f>
        <v>200000</v>
      </c>
      <c r="L38" s="99">
        <f>IFERROR(__xludf.DUMMYFUNCTION("""COMPUTED_VALUE"""),200000.0)</f>
        <v>200000</v>
      </c>
      <c r="M38" s="96"/>
      <c r="N38" s="96">
        <f>IFERROR(__xludf.DUMMYFUNCTION("""COMPUTED_VALUE"""),0.0)</f>
        <v>0</v>
      </c>
      <c r="O38" s="96">
        <f>IFERROR(__xludf.DUMMYFUNCTION("""COMPUTED_VALUE"""),0.0)</f>
        <v>0</v>
      </c>
      <c r="P38" s="96">
        <f>IFERROR(__xludf.DUMMYFUNCTION("""COMPUTED_VALUE"""),0.0)</f>
        <v>0</v>
      </c>
      <c r="Q38" s="129">
        <f>IFERROR(__xludf.DUMMYFUNCTION("""COMPUTED_VALUE"""),0.0)</f>
        <v>0</v>
      </c>
      <c r="R38" s="99"/>
    </row>
    <row r="39">
      <c r="A39" s="96">
        <f>IFERROR(__xludf.DUMMYFUNCTION("""COMPUTED_VALUE"""),1.0)</f>
        <v>1</v>
      </c>
      <c r="B39" s="98">
        <f>IFERROR(__xludf.DUMMYFUNCTION("""COMPUTED_VALUE"""),43743.0)</f>
        <v>43743</v>
      </c>
      <c r="C39" s="96" t="str">
        <f>IFERROR(__xludf.DUMMYFUNCTION("""COMPUTED_VALUE"""),"ABANG TATAW CAMEROUN")</f>
        <v>ABANG TATAW CAMEROUN</v>
      </c>
      <c r="D39" s="96" t="str">
        <f>IFERROR(__xludf.DUMMYFUNCTION("""COMPUTED_VALUE"""),"ABANG TATAW CAMEROUN1")</f>
        <v>ABANG TATAW CAMEROUN1</v>
      </c>
      <c r="E39" s="96"/>
      <c r="F39" s="96"/>
      <c r="G39" s="96"/>
      <c r="H39" s="96"/>
      <c r="I39" s="96"/>
      <c r="J39" s="96"/>
      <c r="K39" s="96">
        <f>IFERROR(__xludf.DUMMYFUNCTION("""COMPUTED_VALUE"""),16000.0)</f>
        <v>16000</v>
      </c>
      <c r="L39" s="99">
        <f>IFERROR(__xludf.DUMMYFUNCTION("""COMPUTED_VALUE"""),16000.0)</f>
        <v>16000</v>
      </c>
      <c r="M39" s="96"/>
      <c r="N39" s="96">
        <f>IFERROR(__xludf.DUMMYFUNCTION("""COMPUTED_VALUE"""),0.0)</f>
        <v>0</v>
      </c>
      <c r="O39" s="96">
        <f>IFERROR(__xludf.DUMMYFUNCTION("""COMPUTED_VALUE"""),0.0)</f>
        <v>0</v>
      </c>
      <c r="P39" s="96">
        <f>IFERROR(__xludf.DUMMYFUNCTION("""COMPUTED_VALUE"""),0.0)</f>
        <v>0</v>
      </c>
      <c r="Q39" s="129">
        <f>IFERROR(__xludf.DUMMYFUNCTION("""COMPUTED_VALUE"""),0.0)</f>
        <v>0</v>
      </c>
      <c r="R39" s="99"/>
    </row>
    <row r="40">
      <c r="A40" s="96">
        <f>IFERROR(__xludf.DUMMYFUNCTION("""COMPUTED_VALUE"""),1.0)</f>
        <v>1</v>
      </c>
      <c r="B40" s="98">
        <f>IFERROR(__xludf.DUMMYFUNCTION("""COMPUTED_VALUE"""),43743.0)</f>
        <v>43743</v>
      </c>
      <c r="C40" s="96" t="str">
        <f>IFERROR(__xludf.DUMMYFUNCTION("""COMPUTED_VALUE"""),"ABANG FREDINARD")</f>
        <v>ABANG FREDINARD</v>
      </c>
      <c r="D40" s="96" t="str">
        <f>IFERROR(__xludf.DUMMYFUNCTION("""COMPUTED_VALUE"""),"ABANG FREDINARD1")</f>
        <v>ABANG FREDINARD1</v>
      </c>
      <c r="E40" s="96"/>
      <c r="F40" s="96"/>
      <c r="G40" s="96"/>
      <c r="H40" s="96"/>
      <c r="I40" s="96"/>
      <c r="J40" s="96"/>
      <c r="K40" s="96">
        <f>IFERROR(__xludf.DUMMYFUNCTION("""COMPUTED_VALUE"""),30000.0)</f>
        <v>30000</v>
      </c>
      <c r="L40" s="99">
        <f>IFERROR(__xludf.DUMMYFUNCTION("""COMPUTED_VALUE"""),30000.0)</f>
        <v>30000</v>
      </c>
      <c r="M40" s="96"/>
      <c r="N40" s="96">
        <f>IFERROR(__xludf.DUMMYFUNCTION("""COMPUTED_VALUE"""),0.0)</f>
        <v>0</v>
      </c>
      <c r="O40" s="96">
        <f>IFERROR(__xludf.DUMMYFUNCTION("""COMPUTED_VALUE"""),0.0)</f>
        <v>0</v>
      </c>
      <c r="P40" s="96">
        <f>IFERROR(__xludf.DUMMYFUNCTION("""COMPUTED_VALUE"""),0.0)</f>
        <v>0</v>
      </c>
      <c r="Q40" s="129">
        <f>IFERROR(__xludf.DUMMYFUNCTION("""COMPUTED_VALUE"""),0.0)</f>
        <v>0</v>
      </c>
      <c r="R40" s="99"/>
    </row>
    <row r="41">
      <c r="A41" s="96">
        <f>IFERROR(__xludf.DUMMYFUNCTION("""COMPUTED_VALUE"""),1.0)</f>
        <v>1</v>
      </c>
      <c r="B41" s="98">
        <f>IFERROR(__xludf.DUMMYFUNCTION("""COMPUTED_VALUE"""),43743.0)</f>
        <v>43743</v>
      </c>
      <c r="C41" s="96" t="str">
        <f>IFERROR(__xludf.DUMMYFUNCTION("""COMPUTED_VALUE"""),"KOKOK PRIN")</f>
        <v>KOKOK PRIN</v>
      </c>
      <c r="D41" s="96" t="str">
        <f>IFERROR(__xludf.DUMMYFUNCTION("""COMPUTED_VALUE"""),"KOKOK PRIN1")</f>
        <v>KOKOK PRIN1</v>
      </c>
      <c r="E41" s="96"/>
      <c r="F41" s="96"/>
      <c r="G41" s="96"/>
      <c r="H41" s="96"/>
      <c r="I41" s="96"/>
      <c r="J41" s="96"/>
      <c r="K41" s="96">
        <f>IFERROR(__xludf.DUMMYFUNCTION("""COMPUTED_VALUE"""),215000.0)</f>
        <v>215000</v>
      </c>
      <c r="L41" s="99">
        <f>IFERROR(__xludf.DUMMYFUNCTION("""COMPUTED_VALUE"""),215000.0)</f>
        <v>215000</v>
      </c>
      <c r="M41" s="96"/>
      <c r="N41" s="96">
        <f>IFERROR(__xludf.DUMMYFUNCTION("""COMPUTED_VALUE"""),0.0)</f>
        <v>0</v>
      </c>
      <c r="O41" s="96">
        <f>IFERROR(__xludf.DUMMYFUNCTION("""COMPUTED_VALUE"""),0.0)</f>
        <v>0</v>
      </c>
      <c r="P41" s="96">
        <f>IFERROR(__xludf.DUMMYFUNCTION("""COMPUTED_VALUE"""),0.0)</f>
        <v>0</v>
      </c>
      <c r="Q41" s="129">
        <f>IFERROR(__xludf.DUMMYFUNCTION("""COMPUTED_VALUE"""),0.0)</f>
        <v>0</v>
      </c>
      <c r="R41" s="99"/>
    </row>
    <row r="42">
      <c r="A42" s="96">
        <f>IFERROR(__xludf.DUMMYFUNCTION("""COMPUTED_VALUE"""),1.0)</f>
        <v>1</v>
      </c>
      <c r="B42" s="98">
        <f>IFERROR(__xludf.DUMMYFUNCTION("""COMPUTED_VALUE"""),43743.0)</f>
        <v>43743</v>
      </c>
      <c r="C42" s="96" t="str">
        <f>IFERROR(__xludf.DUMMYFUNCTION("""COMPUTED_VALUE"""),"BABA NDIFON")</f>
        <v>BABA NDIFON</v>
      </c>
      <c r="D42" s="96" t="str">
        <f>IFERROR(__xludf.DUMMYFUNCTION("""COMPUTED_VALUE"""),"BABA NDIFON1")</f>
        <v>BABA NDIFON1</v>
      </c>
      <c r="E42" s="96"/>
      <c r="F42" s="96"/>
      <c r="G42" s="96"/>
      <c r="H42" s="96"/>
      <c r="I42" s="96"/>
      <c r="J42" s="96"/>
      <c r="K42" s="96">
        <f>IFERROR(__xludf.DUMMYFUNCTION("""COMPUTED_VALUE"""),190000.0)</f>
        <v>190000</v>
      </c>
      <c r="L42" s="99">
        <f>IFERROR(__xludf.DUMMYFUNCTION("""COMPUTED_VALUE"""),190000.0)</f>
        <v>190000</v>
      </c>
      <c r="M42" s="96"/>
      <c r="N42" s="96">
        <f>IFERROR(__xludf.DUMMYFUNCTION("""COMPUTED_VALUE"""),0.0)</f>
        <v>0</v>
      </c>
      <c r="O42" s="96">
        <f>IFERROR(__xludf.DUMMYFUNCTION("""COMPUTED_VALUE"""),0.0)</f>
        <v>0</v>
      </c>
      <c r="P42" s="96">
        <f>IFERROR(__xludf.DUMMYFUNCTION("""COMPUTED_VALUE"""),0.0)</f>
        <v>0</v>
      </c>
      <c r="Q42" s="129">
        <f>IFERROR(__xludf.DUMMYFUNCTION("""COMPUTED_VALUE"""),0.0)</f>
        <v>0</v>
      </c>
      <c r="R42" s="99"/>
    </row>
    <row r="43">
      <c r="A43" s="96">
        <f>IFERROR(__xludf.DUMMYFUNCTION("""COMPUTED_VALUE"""),1.0)</f>
        <v>1</v>
      </c>
      <c r="B43" s="98">
        <f>IFERROR(__xludf.DUMMYFUNCTION("""COMPUTED_VALUE"""),43743.0)</f>
        <v>43743</v>
      </c>
      <c r="C43" s="96" t="str">
        <f>IFERROR(__xludf.DUMMYFUNCTION("""COMPUTED_VALUE"""),"TIMOTHY  OLUM")</f>
        <v>TIMOTHY  OLUM</v>
      </c>
      <c r="D43" s="96" t="str">
        <f>IFERROR(__xludf.DUMMYFUNCTION("""COMPUTED_VALUE"""),"TIMOTHY  OLUM1")</f>
        <v>TIMOTHY  OLUM1</v>
      </c>
      <c r="E43" s="96"/>
      <c r="F43" s="96"/>
      <c r="G43" s="96"/>
      <c r="H43" s="96"/>
      <c r="I43" s="96"/>
      <c r="J43" s="96"/>
      <c r="K43" s="96">
        <f>IFERROR(__xludf.DUMMYFUNCTION("""COMPUTED_VALUE"""),150000.0)</f>
        <v>150000</v>
      </c>
      <c r="L43" s="99">
        <f>IFERROR(__xludf.DUMMYFUNCTION("""COMPUTED_VALUE"""),150000.0)</f>
        <v>150000</v>
      </c>
      <c r="M43" s="96"/>
      <c r="N43" s="96">
        <f>IFERROR(__xludf.DUMMYFUNCTION("""COMPUTED_VALUE"""),0.0)</f>
        <v>0</v>
      </c>
      <c r="O43" s="96">
        <f>IFERROR(__xludf.DUMMYFUNCTION("""COMPUTED_VALUE"""),0.0)</f>
        <v>0</v>
      </c>
      <c r="P43" s="96">
        <f>IFERROR(__xludf.DUMMYFUNCTION("""COMPUTED_VALUE"""),0.0)</f>
        <v>0</v>
      </c>
      <c r="Q43" s="129">
        <f>IFERROR(__xludf.DUMMYFUNCTION("""COMPUTED_VALUE"""),0.0)</f>
        <v>0</v>
      </c>
      <c r="R43" s="99"/>
    </row>
    <row r="44">
      <c r="A44" s="96">
        <f>IFERROR(__xludf.DUMMYFUNCTION("""COMPUTED_VALUE"""),1.0)</f>
        <v>1</v>
      </c>
      <c r="B44" s="98">
        <f>IFERROR(__xludf.DUMMYFUNCTION("""COMPUTED_VALUE"""),43743.0)</f>
        <v>43743</v>
      </c>
      <c r="C44" s="96" t="str">
        <f>IFERROR(__xludf.DUMMYFUNCTION("""COMPUTED_VALUE"""),"AGEGE BOY")</f>
        <v>AGEGE BOY</v>
      </c>
      <c r="D44" s="96" t="str">
        <f>IFERROR(__xludf.DUMMYFUNCTION("""COMPUTED_VALUE"""),"AGEGE BOY1")</f>
        <v>AGEGE BOY1</v>
      </c>
      <c r="E44" s="96"/>
      <c r="F44" s="96"/>
      <c r="G44" s="96"/>
      <c r="H44" s="96"/>
      <c r="I44" s="96"/>
      <c r="J44" s="96"/>
      <c r="K44" s="96">
        <f>IFERROR(__xludf.DUMMYFUNCTION("""COMPUTED_VALUE"""),300000.0)</f>
        <v>300000</v>
      </c>
      <c r="L44" s="99">
        <f>IFERROR(__xludf.DUMMYFUNCTION("""COMPUTED_VALUE"""),300000.0)</f>
        <v>300000</v>
      </c>
      <c r="M44" s="96"/>
      <c r="N44" s="96">
        <f>IFERROR(__xludf.DUMMYFUNCTION("""COMPUTED_VALUE"""),0.0)</f>
        <v>0</v>
      </c>
      <c r="O44" s="96">
        <f>IFERROR(__xludf.DUMMYFUNCTION("""COMPUTED_VALUE"""),0.0)</f>
        <v>0</v>
      </c>
      <c r="P44" s="96">
        <f>IFERROR(__xludf.DUMMYFUNCTION("""COMPUTED_VALUE"""),0.0)</f>
        <v>0</v>
      </c>
      <c r="Q44" s="129">
        <f>IFERROR(__xludf.DUMMYFUNCTION("""COMPUTED_VALUE"""),0.0)</f>
        <v>0</v>
      </c>
      <c r="R44" s="99"/>
    </row>
    <row r="45">
      <c r="A45" s="96">
        <f>IFERROR(__xludf.DUMMYFUNCTION("""COMPUTED_VALUE"""),1.0)</f>
        <v>1</v>
      </c>
      <c r="B45" s="98">
        <f>IFERROR(__xludf.DUMMYFUNCTION("""COMPUTED_VALUE"""),43743.0)</f>
        <v>43743</v>
      </c>
      <c r="C45" s="96" t="str">
        <f>IFERROR(__xludf.DUMMYFUNCTION("""COMPUTED_VALUE"""),"PRINNESS")</f>
        <v>PRINNESS</v>
      </c>
      <c r="D45" s="96" t="str">
        <f>IFERROR(__xludf.DUMMYFUNCTION("""COMPUTED_VALUE"""),"PRINNESS1")</f>
        <v>PRINNESS1</v>
      </c>
      <c r="E45" s="96"/>
      <c r="F45" s="96"/>
      <c r="G45" s="96"/>
      <c r="H45" s="96"/>
      <c r="I45" s="96"/>
      <c r="J45" s="96"/>
      <c r="K45" s="96">
        <f>IFERROR(__xludf.DUMMYFUNCTION("""COMPUTED_VALUE"""),200000.0)</f>
        <v>200000</v>
      </c>
      <c r="L45" s="99">
        <f>IFERROR(__xludf.DUMMYFUNCTION("""COMPUTED_VALUE"""),200000.0)</f>
        <v>200000</v>
      </c>
      <c r="M45" s="96"/>
      <c r="N45" s="96">
        <f>IFERROR(__xludf.DUMMYFUNCTION("""COMPUTED_VALUE"""),0.0)</f>
        <v>0</v>
      </c>
      <c r="O45" s="96">
        <f>IFERROR(__xludf.DUMMYFUNCTION("""COMPUTED_VALUE"""),0.0)</f>
        <v>0</v>
      </c>
      <c r="P45" s="96">
        <f>IFERROR(__xludf.DUMMYFUNCTION("""COMPUTED_VALUE"""),0.0)</f>
        <v>0</v>
      </c>
      <c r="Q45" s="129">
        <f>IFERROR(__xludf.DUMMYFUNCTION("""COMPUTED_VALUE"""),0.0)</f>
        <v>0</v>
      </c>
      <c r="R45" s="99"/>
    </row>
    <row r="46">
      <c r="A46" s="96">
        <f>IFERROR(__xludf.DUMMYFUNCTION("""COMPUTED_VALUE"""),1.0)</f>
        <v>1</v>
      </c>
      <c r="B46" s="98">
        <f>IFERROR(__xludf.DUMMYFUNCTION("""COMPUTED_VALUE"""),43743.0)</f>
        <v>43743</v>
      </c>
      <c r="C46" s="96" t="str">
        <f>IFERROR(__xludf.DUMMYFUNCTION("""COMPUTED_VALUE"""),"CORNWELL")</f>
        <v>CORNWELL</v>
      </c>
      <c r="D46" s="96" t="str">
        <f>IFERROR(__xludf.DUMMYFUNCTION("""COMPUTED_VALUE"""),"CORNWELL1")</f>
        <v>CORNWELL1</v>
      </c>
      <c r="E46" s="96"/>
      <c r="F46" s="96"/>
      <c r="G46" s="96"/>
      <c r="H46" s="96"/>
      <c r="I46" s="96"/>
      <c r="J46" s="96"/>
      <c r="K46" s="96">
        <f>IFERROR(__xludf.DUMMYFUNCTION("""COMPUTED_VALUE"""),879440.0)</f>
        <v>879440</v>
      </c>
      <c r="L46" s="99">
        <f>IFERROR(__xludf.DUMMYFUNCTION("""COMPUTED_VALUE"""),879440.0)</f>
        <v>879440</v>
      </c>
      <c r="M46" s="96"/>
      <c r="N46" s="96">
        <f>IFERROR(__xludf.DUMMYFUNCTION("""COMPUTED_VALUE"""),0.0)</f>
        <v>0</v>
      </c>
      <c r="O46" s="96">
        <f>IFERROR(__xludf.DUMMYFUNCTION("""COMPUTED_VALUE"""),0.0)</f>
        <v>0</v>
      </c>
      <c r="P46" s="96">
        <f>IFERROR(__xludf.DUMMYFUNCTION("""COMPUTED_VALUE"""),0.0)</f>
        <v>0</v>
      </c>
      <c r="Q46" s="129">
        <f>IFERROR(__xludf.DUMMYFUNCTION("""COMPUTED_VALUE"""),0.0)</f>
        <v>0</v>
      </c>
      <c r="R46" s="99"/>
    </row>
    <row r="47">
      <c r="A47" s="96">
        <f>IFERROR(__xludf.DUMMYFUNCTION("""COMPUTED_VALUE"""),1.0)</f>
        <v>1</v>
      </c>
      <c r="B47" s="98">
        <f>IFERROR(__xludf.DUMMYFUNCTION("""COMPUTED_VALUE"""),43743.0)</f>
        <v>43743</v>
      </c>
      <c r="C47" s="96" t="str">
        <f>IFERROR(__xludf.DUMMYFUNCTION("""COMPUTED_VALUE"""),"DUN ODI A.")</f>
        <v>DUN ODI A.</v>
      </c>
      <c r="D47" s="96" t="str">
        <f>IFERROR(__xludf.DUMMYFUNCTION("""COMPUTED_VALUE"""),"DUN ODI A.1")</f>
        <v>DUN ODI A.1</v>
      </c>
      <c r="E47" s="96"/>
      <c r="F47" s="96"/>
      <c r="G47" s="96"/>
      <c r="H47" s="96"/>
      <c r="I47" s="96"/>
      <c r="J47" s="96"/>
      <c r="K47" s="96">
        <f>IFERROR(__xludf.DUMMYFUNCTION("""COMPUTED_VALUE"""),30000.0)</f>
        <v>30000</v>
      </c>
      <c r="L47" s="99">
        <f>IFERROR(__xludf.DUMMYFUNCTION("""COMPUTED_VALUE"""),30000.0)</f>
        <v>30000</v>
      </c>
      <c r="M47" s="96"/>
      <c r="N47" s="96">
        <f>IFERROR(__xludf.DUMMYFUNCTION("""COMPUTED_VALUE"""),0.0)</f>
        <v>0</v>
      </c>
      <c r="O47" s="96">
        <f>IFERROR(__xludf.DUMMYFUNCTION("""COMPUTED_VALUE"""),0.0)</f>
        <v>0</v>
      </c>
      <c r="P47" s="96">
        <f>IFERROR(__xludf.DUMMYFUNCTION("""COMPUTED_VALUE"""),0.0)</f>
        <v>0</v>
      </c>
      <c r="Q47" s="129">
        <f>IFERROR(__xludf.DUMMYFUNCTION("""COMPUTED_VALUE"""),0.0)</f>
        <v>0</v>
      </c>
      <c r="R47" s="99"/>
    </row>
    <row r="48">
      <c r="A48" s="96">
        <f>IFERROR(__xludf.DUMMYFUNCTION("""COMPUTED_VALUE"""),1.0)</f>
        <v>1</v>
      </c>
      <c r="B48" s="98">
        <f>IFERROR(__xludf.DUMMYFUNCTION("""COMPUTED_VALUE"""),43743.0)</f>
        <v>43743</v>
      </c>
      <c r="C48" s="96" t="str">
        <f>IFERROR(__xludf.DUMMYFUNCTION("""COMPUTED_VALUE"""),"MAXWELL AGRO PRIN")</f>
        <v>MAXWELL AGRO PRIN</v>
      </c>
      <c r="D48" s="96" t="str">
        <f>IFERROR(__xludf.DUMMYFUNCTION("""COMPUTED_VALUE"""),"MAXWELL AGRO PRIN1")</f>
        <v>MAXWELL AGRO PRIN1</v>
      </c>
      <c r="E48" s="96"/>
      <c r="F48" s="96"/>
      <c r="G48" s="96"/>
      <c r="H48" s="96"/>
      <c r="I48" s="96"/>
      <c r="J48" s="96"/>
      <c r="K48" s="96">
        <f>IFERROR(__xludf.DUMMYFUNCTION("""COMPUTED_VALUE"""),280000.0)</f>
        <v>280000</v>
      </c>
      <c r="L48" s="99">
        <f>IFERROR(__xludf.DUMMYFUNCTION("""COMPUTED_VALUE"""),280000.0)</f>
        <v>280000</v>
      </c>
      <c r="M48" s="96"/>
      <c r="N48" s="96">
        <f>IFERROR(__xludf.DUMMYFUNCTION("""COMPUTED_VALUE"""),0.0)</f>
        <v>0</v>
      </c>
      <c r="O48" s="96">
        <f>IFERROR(__xludf.DUMMYFUNCTION("""COMPUTED_VALUE"""),0.0)</f>
        <v>0</v>
      </c>
      <c r="P48" s="96">
        <f>IFERROR(__xludf.DUMMYFUNCTION("""COMPUTED_VALUE"""),0.0)</f>
        <v>0</v>
      </c>
      <c r="Q48" s="129">
        <f>IFERROR(__xludf.DUMMYFUNCTION("""COMPUTED_VALUE"""),0.0)</f>
        <v>0</v>
      </c>
      <c r="R48" s="99"/>
    </row>
    <row r="49">
      <c r="A49" s="96">
        <f>IFERROR(__xludf.DUMMYFUNCTION("""COMPUTED_VALUE"""),1.0)</f>
        <v>1</v>
      </c>
      <c r="B49" s="98">
        <f>IFERROR(__xludf.DUMMYFUNCTION("""COMPUTED_VALUE"""),43743.0)</f>
        <v>43743</v>
      </c>
      <c r="C49" s="96" t="str">
        <f>IFERROR(__xludf.DUMMYFUNCTION("""COMPUTED_VALUE"""),"FRANCIS KEIBO")</f>
        <v>FRANCIS KEIBO</v>
      </c>
      <c r="D49" s="96" t="str">
        <f>IFERROR(__xludf.DUMMYFUNCTION("""COMPUTED_VALUE"""),"FRANCIS KEIBO1")</f>
        <v>FRANCIS KEIBO1</v>
      </c>
      <c r="E49" s="96"/>
      <c r="F49" s="96"/>
      <c r="G49" s="96"/>
      <c r="H49" s="96"/>
      <c r="I49" s="96"/>
      <c r="J49" s="96"/>
      <c r="K49" s="96">
        <f>IFERROR(__xludf.DUMMYFUNCTION("""COMPUTED_VALUE"""),237000.0)</f>
        <v>237000</v>
      </c>
      <c r="L49" s="99">
        <f>IFERROR(__xludf.DUMMYFUNCTION("""COMPUTED_VALUE"""),237000.0)</f>
        <v>237000</v>
      </c>
      <c r="M49" s="96"/>
      <c r="N49" s="96">
        <f>IFERROR(__xludf.DUMMYFUNCTION("""COMPUTED_VALUE"""),0.0)</f>
        <v>0</v>
      </c>
      <c r="O49" s="96">
        <f>IFERROR(__xludf.DUMMYFUNCTION("""COMPUTED_VALUE"""),0.0)</f>
        <v>0</v>
      </c>
      <c r="P49" s="96">
        <f>IFERROR(__xludf.DUMMYFUNCTION("""COMPUTED_VALUE"""),0.0)</f>
        <v>0</v>
      </c>
      <c r="Q49" s="129">
        <f>IFERROR(__xludf.DUMMYFUNCTION("""COMPUTED_VALUE"""),0.0)</f>
        <v>0</v>
      </c>
      <c r="R49" s="99"/>
    </row>
    <row r="50">
      <c r="A50" s="96">
        <f>IFERROR(__xludf.DUMMYFUNCTION("""COMPUTED_VALUE"""),1.0)</f>
        <v>1</v>
      </c>
      <c r="B50" s="98">
        <f>IFERROR(__xludf.DUMMYFUNCTION("""COMPUTED_VALUE"""),43743.0)</f>
        <v>43743</v>
      </c>
      <c r="C50" s="96" t="str">
        <f>IFERROR(__xludf.DUMMYFUNCTION("""COMPUTED_VALUE"""),"COLLABS")</f>
        <v>COLLABS</v>
      </c>
      <c r="D50" s="96" t="str">
        <f>IFERROR(__xludf.DUMMYFUNCTION("""COMPUTED_VALUE"""),"COLLABS1")</f>
        <v>COLLABS1</v>
      </c>
      <c r="E50" s="96"/>
      <c r="F50" s="96"/>
      <c r="G50" s="96"/>
      <c r="H50" s="96"/>
      <c r="I50" s="96"/>
      <c r="J50" s="96"/>
      <c r="K50" s="96">
        <f>IFERROR(__xludf.DUMMYFUNCTION("""COMPUTED_VALUE"""),220000.0)</f>
        <v>220000</v>
      </c>
      <c r="L50" s="99">
        <f>IFERROR(__xludf.DUMMYFUNCTION("""COMPUTED_VALUE"""),220000.0)</f>
        <v>220000</v>
      </c>
      <c r="M50" s="96"/>
      <c r="N50" s="96">
        <f>IFERROR(__xludf.DUMMYFUNCTION("""COMPUTED_VALUE"""),0.0)</f>
        <v>0</v>
      </c>
      <c r="O50" s="96">
        <f>IFERROR(__xludf.DUMMYFUNCTION("""COMPUTED_VALUE"""),0.0)</f>
        <v>0</v>
      </c>
      <c r="P50" s="96">
        <f>IFERROR(__xludf.DUMMYFUNCTION("""COMPUTED_VALUE"""),0.0)</f>
        <v>0</v>
      </c>
      <c r="Q50" s="129">
        <f>IFERROR(__xludf.DUMMYFUNCTION("""COMPUTED_VALUE"""),0.0)</f>
        <v>0</v>
      </c>
      <c r="R50" s="99"/>
    </row>
    <row r="51">
      <c r="A51" s="96">
        <f>IFERROR(__xludf.DUMMYFUNCTION("""COMPUTED_VALUE"""),1.0)</f>
        <v>1</v>
      </c>
      <c r="B51" s="98">
        <f>IFERROR(__xludf.DUMMYFUNCTION("""COMPUTED_VALUE"""),43743.0)</f>
        <v>43743</v>
      </c>
      <c r="C51" s="96" t="str">
        <f>IFERROR(__xludf.DUMMYFUNCTION("""COMPUTED_VALUE"""),"CONNECT")</f>
        <v>CONNECT</v>
      </c>
      <c r="D51" s="96" t="str">
        <f>IFERROR(__xludf.DUMMYFUNCTION("""COMPUTED_VALUE"""),"CONNECT1")</f>
        <v>CONNECT1</v>
      </c>
      <c r="E51" s="96"/>
      <c r="F51" s="96"/>
      <c r="G51" s="96"/>
      <c r="H51" s="96"/>
      <c r="I51" s="96"/>
      <c r="J51" s="96"/>
      <c r="K51" s="96">
        <f>IFERROR(__xludf.DUMMYFUNCTION("""COMPUTED_VALUE"""),1200000.0)</f>
        <v>1200000</v>
      </c>
      <c r="L51" s="99">
        <f>IFERROR(__xludf.DUMMYFUNCTION("""COMPUTED_VALUE"""),1200000.0)</f>
        <v>1200000</v>
      </c>
      <c r="M51" s="96"/>
      <c r="N51" s="96">
        <f>IFERROR(__xludf.DUMMYFUNCTION("""COMPUTED_VALUE"""),0.0)</f>
        <v>0</v>
      </c>
      <c r="O51" s="96">
        <f>IFERROR(__xludf.DUMMYFUNCTION("""COMPUTED_VALUE"""),0.0)</f>
        <v>0</v>
      </c>
      <c r="P51" s="96">
        <f>IFERROR(__xludf.DUMMYFUNCTION("""COMPUTED_VALUE"""),0.0)</f>
        <v>0</v>
      </c>
      <c r="Q51" s="129">
        <f>IFERROR(__xludf.DUMMYFUNCTION("""COMPUTED_VALUE"""),0.0)</f>
        <v>0</v>
      </c>
      <c r="R51" s="99"/>
    </row>
    <row r="52">
      <c r="A52" s="96">
        <f>IFERROR(__xludf.DUMMYFUNCTION("""COMPUTED_VALUE"""),1.0)</f>
        <v>1</v>
      </c>
      <c r="B52" s="98">
        <f>IFERROR(__xludf.DUMMYFUNCTION("""COMPUTED_VALUE"""),43743.0)</f>
        <v>43743</v>
      </c>
      <c r="C52" s="96" t="str">
        <f>IFERROR(__xludf.DUMMYFUNCTION("""COMPUTED_VALUE"""),"KARIEN EBAN")</f>
        <v>KARIEN EBAN</v>
      </c>
      <c r="D52" s="96" t="str">
        <f>IFERROR(__xludf.DUMMYFUNCTION("""COMPUTED_VALUE"""),"KARIEN EBAN1")</f>
        <v>KARIEN EBAN1</v>
      </c>
      <c r="E52" s="96"/>
      <c r="F52" s="96"/>
      <c r="G52" s="96"/>
      <c r="H52" s="96"/>
      <c r="I52" s="96"/>
      <c r="J52" s="96"/>
      <c r="K52" s="96">
        <f>IFERROR(__xludf.DUMMYFUNCTION("""COMPUTED_VALUE"""),1500000.0)</f>
        <v>1500000</v>
      </c>
      <c r="L52" s="99">
        <f>IFERROR(__xludf.DUMMYFUNCTION("""COMPUTED_VALUE"""),1500000.0)</f>
        <v>1500000</v>
      </c>
      <c r="M52" s="96"/>
      <c r="N52" s="96">
        <f>IFERROR(__xludf.DUMMYFUNCTION("""COMPUTED_VALUE"""),0.0)</f>
        <v>0</v>
      </c>
      <c r="O52" s="96">
        <f>IFERROR(__xludf.DUMMYFUNCTION("""COMPUTED_VALUE"""),0.0)</f>
        <v>0</v>
      </c>
      <c r="P52" s="96">
        <f>IFERROR(__xludf.DUMMYFUNCTION("""COMPUTED_VALUE"""),0.0)</f>
        <v>0</v>
      </c>
      <c r="Q52" s="129">
        <f>IFERROR(__xludf.DUMMYFUNCTION("""COMPUTED_VALUE"""),0.0)</f>
        <v>0</v>
      </c>
      <c r="R52" s="99"/>
    </row>
    <row r="53">
      <c r="A53" s="96">
        <f>IFERROR(__xludf.DUMMYFUNCTION("""COMPUTED_VALUE"""),1.0)</f>
        <v>1</v>
      </c>
      <c r="B53" s="98">
        <f>IFERROR(__xludf.DUMMYFUNCTION("""COMPUTED_VALUE"""),43743.0)</f>
        <v>43743</v>
      </c>
      <c r="C53" s="96" t="str">
        <f>IFERROR(__xludf.DUMMYFUNCTION("""COMPUTED_VALUE"""),"ZULU &amp; NDOMA")</f>
        <v>ZULU &amp; NDOMA</v>
      </c>
      <c r="D53" s="96" t="str">
        <f>IFERROR(__xludf.DUMMYFUNCTION("""COMPUTED_VALUE"""),"ZULU &amp; NDOMA1")</f>
        <v>ZULU &amp; NDOMA1</v>
      </c>
      <c r="E53" s="96"/>
      <c r="F53" s="96"/>
      <c r="G53" s="96"/>
      <c r="H53" s="96"/>
      <c r="I53" s="96"/>
      <c r="J53" s="96"/>
      <c r="K53" s="96">
        <f>IFERROR(__xludf.DUMMYFUNCTION("""COMPUTED_VALUE"""),165400.0)</f>
        <v>165400</v>
      </c>
      <c r="L53" s="99">
        <f>IFERROR(__xludf.DUMMYFUNCTION("""COMPUTED_VALUE"""),165400.0)</f>
        <v>165400</v>
      </c>
      <c r="M53" s="96"/>
      <c r="N53" s="96">
        <f>IFERROR(__xludf.DUMMYFUNCTION("""COMPUTED_VALUE"""),0.0)</f>
        <v>0</v>
      </c>
      <c r="O53" s="96">
        <f>IFERROR(__xludf.DUMMYFUNCTION("""COMPUTED_VALUE"""),0.0)</f>
        <v>0</v>
      </c>
      <c r="P53" s="96">
        <f>IFERROR(__xludf.DUMMYFUNCTION("""COMPUTED_VALUE"""),0.0)</f>
        <v>0</v>
      </c>
      <c r="Q53" s="129">
        <f>IFERROR(__xludf.DUMMYFUNCTION("""COMPUTED_VALUE"""),0.0)</f>
        <v>0</v>
      </c>
      <c r="R53" s="99"/>
    </row>
    <row r="54">
      <c r="A54" s="96">
        <f>IFERROR(__xludf.DUMMYFUNCTION("""COMPUTED_VALUE"""),1.0)</f>
        <v>1</v>
      </c>
      <c r="B54" s="98">
        <f>IFERROR(__xludf.DUMMYFUNCTION("""COMPUTED_VALUE"""),43743.0)</f>
        <v>43743</v>
      </c>
      <c r="C54" s="96" t="str">
        <f>IFERROR(__xludf.DUMMYFUNCTION("""COMPUTED_VALUE"""),"TIWA AGBA")</f>
        <v>TIWA AGBA</v>
      </c>
      <c r="D54" s="96" t="str">
        <f>IFERROR(__xludf.DUMMYFUNCTION("""COMPUTED_VALUE"""),"TIWA AGBA1")</f>
        <v>TIWA AGBA1</v>
      </c>
      <c r="E54" s="96"/>
      <c r="F54" s="96"/>
      <c r="G54" s="96"/>
      <c r="H54" s="96"/>
      <c r="I54" s="96"/>
      <c r="J54" s="96"/>
      <c r="K54" s="96">
        <f>IFERROR(__xludf.DUMMYFUNCTION("""COMPUTED_VALUE"""),5000.0)</f>
        <v>5000</v>
      </c>
      <c r="L54" s="99">
        <f>IFERROR(__xludf.DUMMYFUNCTION("""COMPUTED_VALUE"""),5000.0)</f>
        <v>5000</v>
      </c>
      <c r="M54" s="96"/>
      <c r="N54" s="96">
        <f>IFERROR(__xludf.DUMMYFUNCTION("""COMPUTED_VALUE"""),0.0)</f>
        <v>0</v>
      </c>
      <c r="O54" s="96">
        <f>IFERROR(__xludf.DUMMYFUNCTION("""COMPUTED_VALUE"""),0.0)</f>
        <v>0</v>
      </c>
      <c r="P54" s="96">
        <f>IFERROR(__xludf.DUMMYFUNCTION("""COMPUTED_VALUE"""),0.0)</f>
        <v>0</v>
      </c>
      <c r="Q54" s="129">
        <f>IFERROR(__xludf.DUMMYFUNCTION("""COMPUTED_VALUE"""),0.0)</f>
        <v>0</v>
      </c>
      <c r="R54" s="99"/>
    </row>
    <row r="55">
      <c r="A55" s="96">
        <f>IFERROR(__xludf.DUMMYFUNCTION("""COMPUTED_VALUE"""),1.0)</f>
        <v>1</v>
      </c>
      <c r="B55" s="98">
        <f>IFERROR(__xludf.DUMMYFUNCTION("""COMPUTED_VALUE"""),43743.0)</f>
        <v>43743</v>
      </c>
      <c r="C55" s="96" t="str">
        <f>IFERROR(__xludf.DUMMYFUNCTION("""COMPUTED_VALUE"""),"PAPA AJASCO BETTE")</f>
        <v>PAPA AJASCO BETTE</v>
      </c>
      <c r="D55" s="96" t="str">
        <f>IFERROR(__xludf.DUMMYFUNCTION("""COMPUTED_VALUE"""),"PAPA AJASCO BETTE1")</f>
        <v>PAPA AJASCO BETTE1</v>
      </c>
      <c r="E55" s="96"/>
      <c r="F55" s="96"/>
      <c r="G55" s="96"/>
      <c r="H55" s="96"/>
      <c r="I55" s="96"/>
      <c r="J55" s="96"/>
      <c r="K55" s="96">
        <f>IFERROR(__xludf.DUMMYFUNCTION("""COMPUTED_VALUE"""),200000.0)</f>
        <v>200000</v>
      </c>
      <c r="L55" s="99">
        <f>IFERROR(__xludf.DUMMYFUNCTION("""COMPUTED_VALUE"""),200000.0)</f>
        <v>200000</v>
      </c>
      <c r="M55" s="96"/>
      <c r="N55" s="96">
        <f>IFERROR(__xludf.DUMMYFUNCTION("""COMPUTED_VALUE"""),0.0)</f>
        <v>0</v>
      </c>
      <c r="O55" s="96">
        <f>IFERROR(__xludf.DUMMYFUNCTION("""COMPUTED_VALUE"""),0.0)</f>
        <v>0</v>
      </c>
      <c r="P55" s="96">
        <f>IFERROR(__xludf.DUMMYFUNCTION("""COMPUTED_VALUE"""),0.0)</f>
        <v>0</v>
      </c>
      <c r="Q55" s="129">
        <f>IFERROR(__xludf.DUMMYFUNCTION("""COMPUTED_VALUE"""),0.0)</f>
        <v>0</v>
      </c>
      <c r="R55" s="99"/>
    </row>
    <row r="56">
      <c r="A56" s="96">
        <f>IFERROR(__xludf.DUMMYFUNCTION("""COMPUTED_VALUE"""),2.0)</f>
        <v>2</v>
      </c>
      <c r="B56" s="98">
        <f>IFERROR(__xludf.DUMMYFUNCTION("""COMPUTED_VALUE"""),44027.0)</f>
        <v>44027</v>
      </c>
      <c r="C56" s="96" t="str">
        <f>IFERROR(__xludf.DUMMYFUNCTION("""COMPUTED_VALUE"""),"REMMY BODES")</f>
        <v>REMMY BODES</v>
      </c>
      <c r="D56" s="96" t="str">
        <f>IFERROR(__xludf.DUMMYFUNCTION("""COMPUTED_VALUE"""),"REMMY BODES2")</f>
        <v>REMMY BODES2</v>
      </c>
      <c r="E56" s="96"/>
      <c r="F56" s="96"/>
      <c r="G56" s="96"/>
      <c r="H56" s="96"/>
      <c r="I56" s="96"/>
      <c r="J56" s="96"/>
      <c r="K56" s="96">
        <f>IFERROR(__xludf.DUMMYFUNCTION("""COMPUTED_VALUE"""),200000.0)</f>
        <v>200000</v>
      </c>
      <c r="L56" s="99">
        <f>IFERROR(__xludf.DUMMYFUNCTION("""COMPUTED_VALUE"""),200000.0)</f>
        <v>200000</v>
      </c>
      <c r="M56" s="96"/>
      <c r="N56" s="96">
        <f>IFERROR(__xludf.DUMMYFUNCTION("""COMPUTED_VALUE"""),0.0)</f>
        <v>0</v>
      </c>
      <c r="O56" s="96">
        <f>IFERROR(__xludf.DUMMYFUNCTION("""COMPUTED_VALUE"""),0.0)</f>
        <v>0</v>
      </c>
      <c r="P56" s="96">
        <f>IFERROR(__xludf.DUMMYFUNCTION("""COMPUTED_VALUE"""),0.0)</f>
        <v>0</v>
      </c>
      <c r="Q56" s="129">
        <f>IFERROR(__xludf.DUMMYFUNCTION("""COMPUTED_VALUE"""),0.0)</f>
        <v>0</v>
      </c>
      <c r="R56" s="99"/>
    </row>
    <row r="57">
      <c r="A57" s="96">
        <f>IFERROR(__xludf.DUMMYFUNCTION("""COMPUTED_VALUE"""),2.0)</f>
        <v>2</v>
      </c>
      <c r="B57" s="98">
        <f>IFERROR(__xludf.DUMMYFUNCTION("""COMPUTED_VALUE"""),44027.0)</f>
        <v>44027</v>
      </c>
      <c r="C57" s="96" t="str">
        <f>IFERROR(__xludf.DUMMYFUNCTION("""COMPUTED_VALUE"""),"CORNWELL")</f>
        <v>CORNWELL</v>
      </c>
      <c r="D57" s="96" t="str">
        <f>IFERROR(__xludf.DUMMYFUNCTION("""COMPUTED_VALUE"""),"CORNWELL2")</f>
        <v>CORNWELL2</v>
      </c>
      <c r="E57" s="96"/>
      <c r="F57" s="96"/>
      <c r="G57" s="96"/>
      <c r="H57" s="96"/>
      <c r="I57" s="96"/>
      <c r="J57" s="96"/>
      <c r="K57" s="96">
        <f>IFERROR(__xludf.DUMMYFUNCTION("""COMPUTED_VALUE"""),5000000.0)</f>
        <v>5000000</v>
      </c>
      <c r="L57" s="99">
        <f>IFERROR(__xludf.DUMMYFUNCTION("""COMPUTED_VALUE"""),5000000.0)</f>
        <v>5000000</v>
      </c>
      <c r="M57" s="96"/>
      <c r="N57" s="96">
        <f>IFERROR(__xludf.DUMMYFUNCTION("""COMPUTED_VALUE"""),0.0)</f>
        <v>0</v>
      </c>
      <c r="O57" s="96">
        <f>IFERROR(__xludf.DUMMYFUNCTION("""COMPUTED_VALUE"""),0.0)</f>
        <v>0</v>
      </c>
      <c r="P57" s="96">
        <f>IFERROR(__xludf.DUMMYFUNCTION("""COMPUTED_VALUE"""),0.0)</f>
        <v>0</v>
      </c>
      <c r="Q57" s="129">
        <f>IFERROR(__xludf.DUMMYFUNCTION("""COMPUTED_VALUE"""),0.0)</f>
        <v>0</v>
      </c>
      <c r="R57" s="99"/>
    </row>
    <row r="58">
      <c r="A58" s="96">
        <f>IFERROR(__xludf.DUMMYFUNCTION("""COMPUTED_VALUE"""),1.0)</f>
        <v>1</v>
      </c>
      <c r="B58" s="98">
        <f>IFERROR(__xludf.DUMMYFUNCTION("""COMPUTED_VALUE"""),44027.0)</f>
        <v>44027</v>
      </c>
      <c r="C58" s="96" t="str">
        <f>IFERROR(__xludf.DUMMYFUNCTION("""COMPUTED_VALUE"""),"LIVINUS")</f>
        <v>LIVINUS</v>
      </c>
      <c r="D58" s="96" t="str">
        <f>IFERROR(__xludf.DUMMYFUNCTION("""COMPUTED_VALUE"""),"LIVINUS1")</f>
        <v>LIVINUS1</v>
      </c>
      <c r="E58" s="96"/>
      <c r="F58" s="96"/>
      <c r="G58" s="96"/>
      <c r="H58" s="96"/>
      <c r="I58" s="96"/>
      <c r="J58" s="96"/>
      <c r="K58" s="96">
        <f>IFERROR(__xludf.DUMMYFUNCTION("""COMPUTED_VALUE"""),240000.0)</f>
        <v>240000</v>
      </c>
      <c r="L58" s="99">
        <f>IFERROR(__xludf.DUMMYFUNCTION("""COMPUTED_VALUE"""),240000.0)</f>
        <v>240000</v>
      </c>
      <c r="M58" s="96"/>
      <c r="N58" s="96">
        <f>IFERROR(__xludf.DUMMYFUNCTION("""COMPUTED_VALUE"""),0.0)</f>
        <v>0</v>
      </c>
      <c r="O58" s="96">
        <f>IFERROR(__xludf.DUMMYFUNCTION("""COMPUTED_VALUE"""),0.0)</f>
        <v>0</v>
      </c>
      <c r="P58" s="96">
        <f>IFERROR(__xludf.DUMMYFUNCTION("""COMPUTED_VALUE"""),0.0)</f>
        <v>0</v>
      </c>
      <c r="Q58" s="129">
        <f>IFERROR(__xludf.DUMMYFUNCTION("""COMPUTED_VALUE"""),0.0)</f>
        <v>0</v>
      </c>
      <c r="R58" s="99"/>
    </row>
    <row r="59">
      <c r="A59" s="96">
        <f>IFERROR(__xludf.DUMMYFUNCTION("""COMPUTED_VALUE"""),1.0)</f>
        <v>1</v>
      </c>
      <c r="B59" s="98">
        <f>IFERROR(__xludf.DUMMYFUNCTION("""COMPUTED_VALUE"""),44027.0)</f>
        <v>44027</v>
      </c>
      <c r="C59" s="96" t="str">
        <f>IFERROR(__xludf.DUMMYFUNCTION("""COMPUTED_VALUE"""),"JAMES AKAN")</f>
        <v>JAMES AKAN</v>
      </c>
      <c r="D59" s="96" t="str">
        <f>IFERROR(__xludf.DUMMYFUNCTION("""COMPUTED_VALUE"""),"JAMES AKAN1")</f>
        <v>JAMES AKAN1</v>
      </c>
      <c r="E59" s="96"/>
      <c r="F59" s="96"/>
      <c r="G59" s="96"/>
      <c r="H59" s="96"/>
      <c r="I59" s="96"/>
      <c r="J59" s="96"/>
      <c r="K59" s="96">
        <f>IFERROR(__xludf.DUMMYFUNCTION("""COMPUTED_VALUE"""),245000.0)</f>
        <v>245000</v>
      </c>
      <c r="L59" s="99">
        <f>IFERROR(__xludf.DUMMYFUNCTION("""COMPUTED_VALUE"""),245000.0)</f>
        <v>245000</v>
      </c>
      <c r="M59" s="96"/>
      <c r="N59" s="96">
        <f>IFERROR(__xludf.DUMMYFUNCTION("""COMPUTED_VALUE"""),0.0)</f>
        <v>0</v>
      </c>
      <c r="O59" s="96">
        <f>IFERROR(__xludf.DUMMYFUNCTION("""COMPUTED_VALUE"""),0.0)</f>
        <v>0</v>
      </c>
      <c r="P59" s="96">
        <f>IFERROR(__xludf.DUMMYFUNCTION("""COMPUTED_VALUE"""),0.0)</f>
        <v>0</v>
      </c>
      <c r="Q59" s="129">
        <f>IFERROR(__xludf.DUMMYFUNCTION("""COMPUTED_VALUE"""),0.0)</f>
        <v>0</v>
      </c>
      <c r="R59" s="99"/>
    </row>
    <row r="60">
      <c r="A60" s="96">
        <f>IFERROR(__xludf.DUMMYFUNCTION("""COMPUTED_VALUE"""),1.0)</f>
        <v>1</v>
      </c>
      <c r="B60" s="98">
        <f>IFERROR(__xludf.DUMMYFUNCTION("""COMPUTED_VALUE"""),44029.0)</f>
        <v>44029</v>
      </c>
      <c r="C60" s="96" t="str">
        <f>IFERROR(__xludf.DUMMYFUNCTION("""COMPUTED_VALUE"""),"RECTOR W.")</f>
        <v>RECTOR W.</v>
      </c>
      <c r="D60" s="96" t="str">
        <f>IFERROR(__xludf.DUMMYFUNCTION("""COMPUTED_VALUE"""),"RECTOR W.1")</f>
        <v>RECTOR W.1</v>
      </c>
      <c r="E60" s="96">
        <f>IFERROR(__xludf.DUMMYFUNCTION("""COMPUTED_VALUE"""),1316.0)</f>
        <v>1316</v>
      </c>
      <c r="F60" s="96">
        <f>IFERROR(__xludf.DUMMYFUNCTION("""COMPUTED_VALUE"""),160.0)</f>
        <v>160</v>
      </c>
      <c r="G60" s="96"/>
      <c r="H60" s="96">
        <f>IFERROR(__xludf.DUMMYFUNCTION("""COMPUTED_VALUE"""),20.0)</f>
        <v>20</v>
      </c>
      <c r="I60" s="96">
        <f>IFERROR(__xludf.DUMMYFUNCTION("""COMPUTED_VALUE"""),0.0)</f>
        <v>0</v>
      </c>
      <c r="J60" s="96">
        <f>IFERROR(__xludf.DUMMYFUNCTION("""COMPUTED_VALUE"""),780.0)</f>
        <v>780</v>
      </c>
      <c r="K60" s="96"/>
      <c r="L60" s="99">
        <f>IFERROR(__xludf.DUMMYFUNCTION("""COMPUTED_VALUE"""),-1010880.0)</f>
        <v>-1010880</v>
      </c>
      <c r="M60" s="96">
        <f>IFERROR(__xludf.DUMMYFUNCTION("""COMPUTED_VALUE"""),8.0)</f>
        <v>8</v>
      </c>
      <c r="N60" s="96">
        <f>IFERROR(__xludf.DUMMYFUNCTION("""COMPUTED_VALUE"""),0.0)</f>
        <v>0</v>
      </c>
      <c r="O60" s="96">
        <f>IFERROR(__xludf.DUMMYFUNCTION("""COMPUTED_VALUE"""),20.0)</f>
        <v>20</v>
      </c>
      <c r="P60" s="96">
        <f>IFERROR(__xludf.DUMMYFUNCTION("""COMPUTED_VALUE"""),36.0)</f>
        <v>36</v>
      </c>
      <c r="Q60" s="129">
        <f>IFERROR(__xludf.DUMMYFUNCTION("""COMPUTED_VALUE"""),1296.0)</f>
        <v>1296</v>
      </c>
      <c r="R60" s="99">
        <f>IFERROR(__xludf.DUMMYFUNCTION("""COMPUTED_VALUE"""),1010880.0)</f>
        <v>1010880</v>
      </c>
    </row>
    <row r="61">
      <c r="A61" s="96">
        <f>IFERROR(__xludf.DUMMYFUNCTION("""COMPUTED_VALUE"""),2.0)</f>
        <v>2</v>
      </c>
      <c r="B61" s="98">
        <f>IFERROR(__xludf.DUMMYFUNCTION("""COMPUTED_VALUE"""),44030.0)</f>
        <v>44030</v>
      </c>
      <c r="C61" s="96" t="str">
        <f>IFERROR(__xludf.DUMMYFUNCTION("""COMPUTED_VALUE"""),"CONNECT")</f>
        <v>CONNECT</v>
      </c>
      <c r="D61" s="96" t="str">
        <f>IFERROR(__xludf.DUMMYFUNCTION("""COMPUTED_VALUE"""),"CONNECT2")</f>
        <v>CONNECT2</v>
      </c>
      <c r="E61" s="96"/>
      <c r="F61" s="96"/>
      <c r="G61" s="96"/>
      <c r="H61" s="96"/>
      <c r="I61" s="96"/>
      <c r="J61" s="96"/>
      <c r="K61" s="96"/>
      <c r="L61" s="99">
        <f>IFERROR(__xludf.DUMMYFUNCTION("""COMPUTED_VALUE"""),0.0)</f>
        <v>0</v>
      </c>
      <c r="M61" s="96"/>
      <c r="N61" s="96">
        <f>IFERROR(__xludf.DUMMYFUNCTION("""COMPUTED_VALUE"""),0.0)</f>
        <v>0</v>
      </c>
      <c r="O61" s="96">
        <f>IFERROR(__xludf.DUMMYFUNCTION("""COMPUTED_VALUE"""),0.0)</f>
        <v>0</v>
      </c>
      <c r="P61" s="96">
        <f>IFERROR(__xludf.DUMMYFUNCTION("""COMPUTED_VALUE"""),0.0)</f>
        <v>0</v>
      </c>
      <c r="Q61" s="129">
        <f>IFERROR(__xludf.DUMMYFUNCTION("""COMPUTED_VALUE"""),0.0)</f>
        <v>0</v>
      </c>
      <c r="R61" s="99"/>
    </row>
    <row r="62">
      <c r="A62" s="96">
        <f>IFERROR(__xludf.DUMMYFUNCTION("""COMPUTED_VALUE"""),2.0)</f>
        <v>2</v>
      </c>
      <c r="B62" s="98">
        <f>IFERROR(__xludf.DUMMYFUNCTION("""COMPUTED_VALUE"""),44028.0)</f>
        <v>44028</v>
      </c>
      <c r="C62" s="96" t="str">
        <f>IFERROR(__xludf.DUMMYFUNCTION("""COMPUTED_VALUE"""),"RECTOR W.")</f>
        <v>RECTOR W.</v>
      </c>
      <c r="D62" s="96" t="str">
        <f>IFERROR(__xludf.DUMMYFUNCTION("""COMPUTED_VALUE"""),"RECTOR W.2")</f>
        <v>RECTOR W.2</v>
      </c>
      <c r="E62" s="96"/>
      <c r="F62" s="96"/>
      <c r="G62" s="96"/>
      <c r="H62" s="96"/>
      <c r="I62" s="96"/>
      <c r="J62" s="96"/>
      <c r="K62" s="96">
        <f>IFERROR(__xludf.DUMMYFUNCTION("""COMPUTED_VALUE"""),567000.0)</f>
        <v>567000</v>
      </c>
      <c r="L62" s="99">
        <f>IFERROR(__xludf.DUMMYFUNCTION("""COMPUTED_VALUE"""),567000.0)</f>
        <v>567000</v>
      </c>
      <c r="M62" s="96"/>
      <c r="N62" s="96">
        <f>IFERROR(__xludf.DUMMYFUNCTION("""COMPUTED_VALUE"""),0.0)</f>
        <v>0</v>
      </c>
      <c r="O62" s="96">
        <f>IFERROR(__xludf.DUMMYFUNCTION("""COMPUTED_VALUE"""),0.0)</f>
        <v>0</v>
      </c>
      <c r="P62" s="96">
        <f>IFERROR(__xludf.DUMMYFUNCTION("""COMPUTED_VALUE"""),0.0)</f>
        <v>0</v>
      </c>
      <c r="Q62" s="129">
        <f>IFERROR(__xludf.DUMMYFUNCTION("""COMPUTED_VALUE"""),0.0)</f>
        <v>0</v>
      </c>
      <c r="R62" s="99"/>
    </row>
    <row r="63">
      <c r="A63" s="96">
        <f>IFERROR(__xludf.DUMMYFUNCTION("""COMPUTED_VALUE"""),3.0)</f>
        <v>3</v>
      </c>
      <c r="B63" s="98">
        <f>IFERROR(__xludf.DUMMYFUNCTION("""COMPUTED_VALUE"""),44028.0)</f>
        <v>44028</v>
      </c>
      <c r="C63" s="96" t="str">
        <f>IFERROR(__xludf.DUMMYFUNCTION("""COMPUTED_VALUE"""),"RECTOR W.")</f>
        <v>RECTOR W.</v>
      </c>
      <c r="D63" s="96" t="str">
        <f>IFERROR(__xludf.DUMMYFUNCTION("""COMPUTED_VALUE"""),"RECTOR W.3")</f>
        <v>RECTOR W.3</v>
      </c>
      <c r="E63" s="96"/>
      <c r="F63" s="96"/>
      <c r="G63" s="96"/>
      <c r="H63" s="96"/>
      <c r="I63" s="96"/>
      <c r="J63" s="96"/>
      <c r="K63" s="96">
        <f>IFERROR(__xludf.DUMMYFUNCTION("""COMPUTED_VALUE"""),50000.0)</f>
        <v>50000</v>
      </c>
      <c r="L63" s="99">
        <f>IFERROR(__xludf.DUMMYFUNCTION("""COMPUTED_VALUE"""),50000.0)</f>
        <v>50000</v>
      </c>
      <c r="M63" s="96"/>
      <c r="N63" s="96">
        <f>IFERROR(__xludf.DUMMYFUNCTION("""COMPUTED_VALUE"""),0.0)</f>
        <v>0</v>
      </c>
      <c r="O63" s="96">
        <f>IFERROR(__xludf.DUMMYFUNCTION("""COMPUTED_VALUE"""),0.0)</f>
        <v>0</v>
      </c>
      <c r="P63" s="96">
        <f>IFERROR(__xludf.DUMMYFUNCTION("""COMPUTED_VALUE"""),0.0)</f>
        <v>0</v>
      </c>
      <c r="Q63" s="129">
        <f>IFERROR(__xludf.DUMMYFUNCTION("""COMPUTED_VALUE"""),0.0)</f>
        <v>0</v>
      </c>
      <c r="R63" s="99"/>
    </row>
    <row r="64">
      <c r="A64" s="96">
        <f>IFERROR(__xludf.DUMMYFUNCTION("""COMPUTED_VALUE"""),4.0)</f>
        <v>4</v>
      </c>
      <c r="B64" s="98">
        <f>IFERROR(__xludf.DUMMYFUNCTION("""COMPUTED_VALUE"""),44028.0)</f>
        <v>44028</v>
      </c>
      <c r="C64" s="96" t="str">
        <f>IFERROR(__xludf.DUMMYFUNCTION("""COMPUTED_VALUE"""),"RECTOR W.")</f>
        <v>RECTOR W.</v>
      </c>
      <c r="D64" s="96" t="str">
        <f>IFERROR(__xludf.DUMMYFUNCTION("""COMPUTED_VALUE"""),"RECTOR W.4")</f>
        <v>RECTOR W.4</v>
      </c>
      <c r="E64" s="96"/>
      <c r="F64" s="96"/>
      <c r="G64" s="96"/>
      <c r="H64" s="96"/>
      <c r="I64" s="96"/>
      <c r="J64" s="96"/>
      <c r="K64" s="96">
        <f>IFERROR(__xludf.DUMMYFUNCTION("""COMPUTED_VALUE"""),30000.0)</f>
        <v>30000</v>
      </c>
      <c r="L64" s="99">
        <f>IFERROR(__xludf.DUMMYFUNCTION("""COMPUTED_VALUE"""),30000.0)</f>
        <v>30000</v>
      </c>
      <c r="M64" s="96"/>
      <c r="N64" s="96">
        <f>IFERROR(__xludf.DUMMYFUNCTION("""COMPUTED_VALUE"""),0.0)</f>
        <v>0</v>
      </c>
      <c r="O64" s="96">
        <f>IFERROR(__xludf.DUMMYFUNCTION("""COMPUTED_VALUE"""),0.0)</f>
        <v>0</v>
      </c>
      <c r="P64" s="96">
        <f>IFERROR(__xludf.DUMMYFUNCTION("""COMPUTED_VALUE"""),0.0)</f>
        <v>0</v>
      </c>
      <c r="Q64" s="129">
        <f>IFERROR(__xludf.DUMMYFUNCTION("""COMPUTED_VALUE"""),0.0)</f>
        <v>0</v>
      </c>
      <c r="R64" s="99"/>
    </row>
    <row r="65">
      <c r="A65" s="96">
        <f>IFERROR(__xludf.DUMMYFUNCTION("""COMPUTED_VALUE"""),5.0)</f>
        <v>5</v>
      </c>
      <c r="B65" s="98">
        <f>IFERROR(__xludf.DUMMYFUNCTION("""COMPUTED_VALUE"""),44028.0)</f>
        <v>44028</v>
      </c>
      <c r="C65" s="96" t="str">
        <f>IFERROR(__xludf.DUMMYFUNCTION("""COMPUTED_VALUE"""),"RECTOR W.")</f>
        <v>RECTOR W.</v>
      </c>
      <c r="D65" s="96" t="str">
        <f>IFERROR(__xludf.DUMMYFUNCTION("""COMPUTED_VALUE"""),"RECTOR W.5")</f>
        <v>RECTOR W.5</v>
      </c>
      <c r="E65" s="96"/>
      <c r="F65" s="96"/>
      <c r="G65" s="96"/>
      <c r="H65" s="96"/>
      <c r="I65" s="96"/>
      <c r="J65" s="96"/>
      <c r="K65" s="96">
        <f>IFERROR(__xludf.DUMMYFUNCTION("""COMPUTED_VALUE"""),5000.0)</f>
        <v>5000</v>
      </c>
      <c r="L65" s="99">
        <f>IFERROR(__xludf.DUMMYFUNCTION("""COMPUTED_VALUE"""),5000.0)</f>
        <v>5000</v>
      </c>
      <c r="M65" s="96"/>
      <c r="N65" s="96">
        <f>IFERROR(__xludf.DUMMYFUNCTION("""COMPUTED_VALUE"""),0.0)</f>
        <v>0</v>
      </c>
      <c r="O65" s="96">
        <f>IFERROR(__xludf.DUMMYFUNCTION("""COMPUTED_VALUE"""),0.0)</f>
        <v>0</v>
      </c>
      <c r="P65" s="96">
        <f>IFERROR(__xludf.DUMMYFUNCTION("""COMPUTED_VALUE"""),0.0)</f>
        <v>0</v>
      </c>
      <c r="Q65" s="129">
        <f>IFERROR(__xludf.DUMMYFUNCTION("""COMPUTED_VALUE"""),0.0)</f>
        <v>0</v>
      </c>
      <c r="R65" s="99"/>
    </row>
    <row r="66">
      <c r="A66" s="96">
        <f>IFERROR(__xludf.DUMMYFUNCTION("""COMPUTED_VALUE"""),3.0)</f>
        <v>3</v>
      </c>
      <c r="B66" s="98">
        <f>IFERROR(__xludf.DUMMYFUNCTION("""COMPUTED_VALUE"""),44029.0)</f>
        <v>44029</v>
      </c>
      <c r="C66" s="96" t="str">
        <f>IFERROR(__xludf.DUMMYFUNCTION("""COMPUTED_VALUE"""),"CORNWELL")</f>
        <v>CORNWELL</v>
      </c>
      <c r="D66" s="96" t="str">
        <f>IFERROR(__xludf.DUMMYFUNCTION("""COMPUTED_VALUE"""),"CORNWELL3")</f>
        <v>CORNWELL3</v>
      </c>
      <c r="E66" s="96"/>
      <c r="F66" s="96"/>
      <c r="G66" s="96"/>
      <c r="H66" s="96"/>
      <c r="I66" s="96"/>
      <c r="J66" s="96"/>
      <c r="K66" s="96">
        <f>IFERROR(__xludf.DUMMYFUNCTION("""COMPUTED_VALUE"""),5000000.0)</f>
        <v>5000000</v>
      </c>
      <c r="L66" s="99">
        <f>IFERROR(__xludf.DUMMYFUNCTION("""COMPUTED_VALUE"""),5000000.0)</f>
        <v>5000000</v>
      </c>
      <c r="M66" s="96"/>
      <c r="N66" s="96">
        <f>IFERROR(__xludf.DUMMYFUNCTION("""COMPUTED_VALUE"""),0.0)</f>
        <v>0</v>
      </c>
      <c r="O66" s="96">
        <f>IFERROR(__xludf.DUMMYFUNCTION("""COMPUTED_VALUE"""),0.0)</f>
        <v>0</v>
      </c>
      <c r="P66" s="96">
        <f>IFERROR(__xludf.DUMMYFUNCTION("""COMPUTED_VALUE"""),0.0)</f>
        <v>0</v>
      </c>
      <c r="Q66" s="129">
        <f>IFERROR(__xludf.DUMMYFUNCTION("""COMPUTED_VALUE"""),0.0)</f>
        <v>0</v>
      </c>
      <c r="R66" s="99"/>
    </row>
    <row r="67">
      <c r="A67" s="96">
        <f>IFERROR(__xludf.DUMMYFUNCTION("""COMPUTED_VALUE"""),2.0)</f>
        <v>2</v>
      </c>
      <c r="B67" s="98">
        <f>IFERROR(__xludf.DUMMYFUNCTION("""COMPUTED_VALUE"""),44029.0)</f>
        <v>44029</v>
      </c>
      <c r="C67" s="96" t="str">
        <f>IFERROR(__xludf.DUMMYFUNCTION("""COMPUTED_VALUE"""),"NDOMA BODE I.D")</f>
        <v>NDOMA BODE I.D</v>
      </c>
      <c r="D67" s="96" t="str">
        <f>IFERROR(__xludf.DUMMYFUNCTION("""COMPUTED_VALUE"""),"NDOMA BODE I.D2")</f>
        <v>NDOMA BODE I.D2</v>
      </c>
      <c r="E67" s="96"/>
      <c r="F67" s="96"/>
      <c r="G67" s="96"/>
      <c r="H67" s="96"/>
      <c r="I67" s="96"/>
      <c r="J67" s="96"/>
      <c r="K67" s="96">
        <f>IFERROR(__xludf.DUMMYFUNCTION("""COMPUTED_VALUE"""),200000.0)</f>
        <v>200000</v>
      </c>
      <c r="L67" s="99">
        <f>IFERROR(__xludf.DUMMYFUNCTION("""COMPUTED_VALUE"""),200000.0)</f>
        <v>200000</v>
      </c>
      <c r="M67" s="96"/>
      <c r="N67" s="96">
        <f>IFERROR(__xludf.DUMMYFUNCTION("""COMPUTED_VALUE"""),0.0)</f>
        <v>0</v>
      </c>
      <c r="O67" s="96">
        <f>IFERROR(__xludf.DUMMYFUNCTION("""COMPUTED_VALUE"""),0.0)</f>
        <v>0</v>
      </c>
      <c r="P67" s="96">
        <f>IFERROR(__xludf.DUMMYFUNCTION("""COMPUTED_VALUE"""),0.0)</f>
        <v>0</v>
      </c>
      <c r="Q67" s="129">
        <f>IFERROR(__xludf.DUMMYFUNCTION("""COMPUTED_VALUE"""),0.0)</f>
        <v>0</v>
      </c>
      <c r="R67" s="99"/>
    </row>
    <row r="68">
      <c r="A68" s="96">
        <f>IFERROR(__xludf.DUMMYFUNCTION("""COMPUTED_VALUE"""),3.0)</f>
        <v>3</v>
      </c>
      <c r="B68" s="98">
        <f>IFERROR(__xludf.DUMMYFUNCTION("""COMPUTED_VALUE"""),44029.0)</f>
        <v>44029</v>
      </c>
      <c r="C68" s="96" t="str">
        <f>IFERROR(__xludf.DUMMYFUNCTION("""COMPUTED_VALUE"""),"NDOMA BODE I.D")</f>
        <v>NDOMA BODE I.D</v>
      </c>
      <c r="D68" s="96" t="str">
        <f>IFERROR(__xludf.DUMMYFUNCTION("""COMPUTED_VALUE"""),"NDOMA BODE I.D3")</f>
        <v>NDOMA BODE I.D3</v>
      </c>
      <c r="E68" s="96"/>
      <c r="F68" s="96"/>
      <c r="G68" s="96"/>
      <c r="H68" s="96"/>
      <c r="I68" s="96"/>
      <c r="J68" s="96"/>
      <c r="K68" s="96">
        <f>IFERROR(__xludf.DUMMYFUNCTION("""COMPUTED_VALUE"""),25550.0)</f>
        <v>25550</v>
      </c>
      <c r="L68" s="99">
        <f>IFERROR(__xludf.DUMMYFUNCTION("""COMPUTED_VALUE"""),25550.0)</f>
        <v>25550</v>
      </c>
      <c r="M68" s="96"/>
      <c r="N68" s="96">
        <f>IFERROR(__xludf.DUMMYFUNCTION("""COMPUTED_VALUE"""),0.0)</f>
        <v>0</v>
      </c>
      <c r="O68" s="96">
        <f>IFERROR(__xludf.DUMMYFUNCTION("""COMPUTED_VALUE"""),0.0)</f>
        <v>0</v>
      </c>
      <c r="P68" s="96">
        <f>IFERROR(__xludf.DUMMYFUNCTION("""COMPUTED_VALUE"""),0.0)</f>
        <v>0</v>
      </c>
      <c r="Q68" s="129">
        <f>IFERROR(__xludf.DUMMYFUNCTION("""COMPUTED_VALUE"""),0.0)</f>
        <v>0</v>
      </c>
      <c r="R68" s="99"/>
    </row>
    <row r="69">
      <c r="A69" s="96">
        <f>IFERROR(__xludf.DUMMYFUNCTION("""COMPUTED_VALUE"""),2.0)</f>
        <v>2</v>
      </c>
      <c r="B69" s="98">
        <f>IFERROR(__xludf.DUMMYFUNCTION("""COMPUTED_VALUE"""),44029.0)</f>
        <v>44029</v>
      </c>
      <c r="C69" s="96" t="str">
        <f>IFERROR(__xludf.DUMMYFUNCTION("""COMPUTED_VALUE"""),"LIVINUS")</f>
        <v>LIVINUS</v>
      </c>
      <c r="D69" s="96" t="str">
        <f>IFERROR(__xludf.DUMMYFUNCTION("""COMPUTED_VALUE"""),"LIVINUS2")</f>
        <v>LIVINUS2</v>
      </c>
      <c r="E69" s="96"/>
      <c r="F69" s="96"/>
      <c r="G69" s="96"/>
      <c r="H69" s="96"/>
      <c r="I69" s="96"/>
      <c r="J69" s="96"/>
      <c r="K69" s="96">
        <f>IFERROR(__xludf.DUMMYFUNCTION("""COMPUTED_VALUE"""),300000.0)</f>
        <v>300000</v>
      </c>
      <c r="L69" s="99">
        <f>IFERROR(__xludf.DUMMYFUNCTION("""COMPUTED_VALUE"""),300000.0)</f>
        <v>300000</v>
      </c>
      <c r="M69" s="96"/>
      <c r="N69" s="96">
        <f>IFERROR(__xludf.DUMMYFUNCTION("""COMPUTED_VALUE"""),0.0)</f>
        <v>0</v>
      </c>
      <c r="O69" s="96">
        <f>IFERROR(__xludf.DUMMYFUNCTION("""COMPUTED_VALUE"""),0.0)</f>
        <v>0</v>
      </c>
      <c r="P69" s="96">
        <f>IFERROR(__xludf.DUMMYFUNCTION("""COMPUTED_VALUE"""),0.0)</f>
        <v>0</v>
      </c>
      <c r="Q69" s="129">
        <f>IFERROR(__xludf.DUMMYFUNCTION("""COMPUTED_VALUE"""),0.0)</f>
        <v>0</v>
      </c>
      <c r="R69" s="99"/>
    </row>
    <row r="70">
      <c r="A70" s="96">
        <f>IFERROR(__xludf.DUMMYFUNCTION("""COMPUTED_VALUE"""),3.0)</f>
        <v>3</v>
      </c>
      <c r="B70" s="98">
        <f>IFERROR(__xludf.DUMMYFUNCTION("""COMPUTED_VALUE"""),44030.0)</f>
        <v>44030</v>
      </c>
      <c r="C70" s="96" t="str">
        <f>IFERROR(__xludf.DUMMYFUNCTION("""COMPUTED_VALUE"""),"CONNECT")</f>
        <v>CONNECT</v>
      </c>
      <c r="D70" s="96" t="str">
        <f>IFERROR(__xludf.DUMMYFUNCTION("""COMPUTED_VALUE"""),"CONNECT3")</f>
        <v>CONNECT3</v>
      </c>
      <c r="E70" s="96">
        <f>IFERROR(__xludf.DUMMYFUNCTION("""COMPUTED_VALUE"""),1916.0)</f>
        <v>1916</v>
      </c>
      <c r="F70" s="96">
        <f>IFERROR(__xludf.DUMMYFUNCTION("""COMPUTED_VALUE"""),240.0)</f>
        <v>240</v>
      </c>
      <c r="G70" s="96"/>
      <c r="H70" s="96">
        <f>IFERROR(__xludf.DUMMYFUNCTION("""COMPUTED_VALUE"""),30.0)</f>
        <v>30</v>
      </c>
      <c r="I70" s="96"/>
      <c r="J70" s="96">
        <f>IFERROR(__xludf.DUMMYFUNCTION("""COMPUTED_VALUE"""),780.0)</f>
        <v>780</v>
      </c>
      <c r="K70" s="96"/>
      <c r="L70" s="99">
        <f>IFERROR(__xludf.DUMMYFUNCTION("""COMPUTED_VALUE"""),-1471080.0)</f>
        <v>-1471080</v>
      </c>
      <c r="M70" s="96">
        <f>IFERROR(__xludf.DUMMYFUNCTION("""COMPUTED_VALUE"""),8.0)</f>
        <v>8</v>
      </c>
      <c r="N70" s="96">
        <f>IFERROR(__xludf.DUMMYFUNCTION("""COMPUTED_VALUE"""),0.0)</f>
        <v>0</v>
      </c>
      <c r="O70" s="96">
        <f>IFERROR(__xludf.DUMMYFUNCTION("""COMPUTED_VALUE"""),29.0)</f>
        <v>29</v>
      </c>
      <c r="P70" s="96">
        <f>IFERROR(__xludf.DUMMYFUNCTION("""COMPUTED_VALUE"""),59.0)</f>
        <v>59</v>
      </c>
      <c r="Q70" s="129">
        <f>IFERROR(__xludf.DUMMYFUNCTION("""COMPUTED_VALUE"""),1886.0)</f>
        <v>1886</v>
      </c>
      <c r="R70" s="99">
        <f>IFERROR(__xludf.DUMMYFUNCTION("""COMPUTED_VALUE"""),1471080.0)</f>
        <v>1471080</v>
      </c>
    </row>
    <row r="71">
      <c r="A71" s="96">
        <f>IFERROR(__xludf.DUMMYFUNCTION("""COMPUTED_VALUE"""),2.0)</f>
        <v>2</v>
      </c>
      <c r="B71" s="98">
        <f>IFERROR(__xludf.DUMMYFUNCTION("""COMPUTED_VALUE"""),44030.0)</f>
        <v>44030</v>
      </c>
      <c r="C71" s="96" t="str">
        <f>IFERROR(__xludf.DUMMYFUNCTION("""COMPUTED_VALUE"""),"LYDIA HNSON ")</f>
        <v>LYDIA HNSON </v>
      </c>
      <c r="D71" s="96" t="str">
        <f>IFERROR(__xludf.DUMMYFUNCTION("""COMPUTED_VALUE"""),"LYDIA HNSON 2")</f>
        <v>LYDIA HNSON 2</v>
      </c>
      <c r="E71" s="96">
        <f>IFERROR(__xludf.DUMMYFUNCTION("""COMPUTED_VALUE"""),223.0)</f>
        <v>223</v>
      </c>
      <c r="F71" s="96">
        <f>IFERROR(__xludf.DUMMYFUNCTION("""COMPUTED_VALUE"""),32.0)</f>
        <v>32</v>
      </c>
      <c r="G71" s="96"/>
      <c r="H71" s="96">
        <f>IFERROR(__xludf.DUMMYFUNCTION("""COMPUTED_VALUE"""),4.0)</f>
        <v>4</v>
      </c>
      <c r="I71" s="96">
        <f>IFERROR(__xludf.DUMMYFUNCTION("""COMPUTED_VALUE"""),0.0)</f>
        <v>0</v>
      </c>
      <c r="J71" s="96">
        <f>IFERROR(__xludf.DUMMYFUNCTION("""COMPUTED_VALUE"""),780.0)</f>
        <v>780</v>
      </c>
      <c r="K71" s="96"/>
      <c r="L71" s="99">
        <f>IFERROR(__xludf.DUMMYFUNCTION("""COMPUTED_VALUE"""),-170820.0)</f>
        <v>-170820</v>
      </c>
      <c r="M71" s="96">
        <f>IFERROR(__xludf.DUMMYFUNCTION("""COMPUTED_VALUE"""),8.0)</f>
        <v>8</v>
      </c>
      <c r="N71" s="96">
        <f>IFERROR(__xludf.DUMMYFUNCTION("""COMPUTED_VALUE"""),0.0)</f>
        <v>0</v>
      </c>
      <c r="O71" s="96">
        <f>IFERROR(__xludf.DUMMYFUNCTION("""COMPUTED_VALUE"""),3.0)</f>
        <v>3</v>
      </c>
      <c r="P71" s="96">
        <f>IFERROR(__xludf.DUMMYFUNCTION("""COMPUTED_VALUE"""),30.0)</f>
        <v>30</v>
      </c>
      <c r="Q71" s="129">
        <f>IFERROR(__xludf.DUMMYFUNCTION("""COMPUTED_VALUE"""),219.0)</f>
        <v>219</v>
      </c>
      <c r="R71" s="99">
        <f>IFERROR(__xludf.DUMMYFUNCTION("""COMPUTED_VALUE"""),170820.0)</f>
        <v>170820</v>
      </c>
    </row>
    <row r="72">
      <c r="A72" s="96">
        <f>IFERROR(__xludf.DUMMYFUNCTION("""COMPUTED_VALUE"""),4.0)</f>
        <v>4</v>
      </c>
      <c r="B72" s="98">
        <f>IFERROR(__xludf.DUMMYFUNCTION("""COMPUTED_VALUE"""),44030.0)</f>
        <v>44030</v>
      </c>
      <c r="C72" s="96" t="str">
        <f>IFERROR(__xludf.DUMMYFUNCTION("""COMPUTED_VALUE"""),"NDOMA BODE I.D")</f>
        <v>NDOMA BODE I.D</v>
      </c>
      <c r="D72" s="96" t="str">
        <f>IFERROR(__xludf.DUMMYFUNCTION("""COMPUTED_VALUE"""),"NDOMA BODE I.D4")</f>
        <v>NDOMA BODE I.D4</v>
      </c>
      <c r="E72" s="96">
        <f>IFERROR(__xludf.DUMMYFUNCTION("""COMPUTED_VALUE"""),1065.0)</f>
        <v>1065</v>
      </c>
      <c r="F72" s="96">
        <f>IFERROR(__xludf.DUMMYFUNCTION("""COMPUTED_VALUE"""),140.0)</f>
        <v>140</v>
      </c>
      <c r="G72" s="96"/>
      <c r="H72" s="96">
        <f>IFERROR(__xludf.DUMMYFUNCTION("""COMPUTED_VALUE"""),17.0)</f>
        <v>17</v>
      </c>
      <c r="I72" s="96"/>
      <c r="J72" s="96">
        <f>IFERROR(__xludf.DUMMYFUNCTION("""COMPUTED_VALUE"""),790.0)</f>
        <v>790</v>
      </c>
      <c r="K72" s="96"/>
      <c r="L72" s="99">
        <f>IFERROR(__xludf.DUMMYFUNCTION("""COMPUTED_VALUE"""),-825550.0)</f>
        <v>-825550</v>
      </c>
      <c r="M72" s="96">
        <f>IFERROR(__xludf.DUMMYFUNCTION("""COMPUTED_VALUE"""),8.24)</f>
        <v>8.24</v>
      </c>
      <c r="N72" s="96">
        <f>IFERROR(__xludf.DUMMYFUNCTION("""COMPUTED_VALUE"""),3.0)</f>
        <v>3</v>
      </c>
      <c r="O72" s="96">
        <f>IFERROR(__xludf.DUMMYFUNCTION("""COMPUTED_VALUE"""),16.0)</f>
        <v>16</v>
      </c>
      <c r="P72" s="96">
        <f>IFERROR(__xludf.DUMMYFUNCTION("""COMPUTED_VALUE"""),37.0)</f>
        <v>37</v>
      </c>
      <c r="Q72" s="129">
        <f>IFERROR(__xludf.DUMMYFUNCTION("""COMPUTED_VALUE"""),1045.0)</f>
        <v>1045</v>
      </c>
      <c r="R72" s="99">
        <f>IFERROR(__xludf.DUMMYFUNCTION("""COMPUTED_VALUE"""),825550.0)</f>
        <v>825550</v>
      </c>
    </row>
    <row r="73">
      <c r="A73" s="96">
        <f>IFERROR(__xludf.DUMMYFUNCTION("""COMPUTED_VALUE"""),3.0)</f>
        <v>3</v>
      </c>
      <c r="B73" s="98">
        <f>IFERROR(__xludf.DUMMYFUNCTION("""COMPUTED_VALUE"""),44030.0)</f>
        <v>44030</v>
      </c>
      <c r="C73" s="96" t="str">
        <f>IFERROR(__xludf.DUMMYFUNCTION("""COMPUTED_VALUE"""),"LIVINUS")</f>
        <v>LIVINUS</v>
      </c>
      <c r="D73" s="96" t="str">
        <f>IFERROR(__xludf.DUMMYFUNCTION("""COMPUTED_VALUE"""),"LIVINUS3")</f>
        <v>LIVINUS3</v>
      </c>
      <c r="E73" s="96">
        <f>IFERROR(__xludf.DUMMYFUNCTION("""COMPUTED_VALUE"""),854.0)</f>
        <v>854</v>
      </c>
      <c r="F73" s="96">
        <f>IFERROR(__xludf.DUMMYFUNCTION("""COMPUTED_VALUE"""),112.5)</f>
        <v>112.5</v>
      </c>
      <c r="G73" s="96"/>
      <c r="H73" s="96">
        <f>IFERROR(__xludf.DUMMYFUNCTION("""COMPUTED_VALUE"""),13.0)</f>
        <v>13</v>
      </c>
      <c r="I73" s="96"/>
      <c r="J73" s="96">
        <f>IFERROR(__xludf.DUMMYFUNCTION("""COMPUTED_VALUE"""),780.0)</f>
        <v>780</v>
      </c>
      <c r="K73" s="96"/>
      <c r="L73" s="99">
        <f>IFERROR(__xludf.DUMMYFUNCTION("""COMPUTED_VALUE"""),-652080.0)</f>
        <v>-652080</v>
      </c>
      <c r="M73" s="96">
        <f>IFERROR(__xludf.DUMMYFUNCTION("""COMPUTED_VALUE"""),8.65)</f>
        <v>8.65</v>
      </c>
      <c r="N73" s="96">
        <f>IFERROR(__xludf.DUMMYFUNCTION("""COMPUTED_VALUE"""),5.0)</f>
        <v>5</v>
      </c>
      <c r="O73" s="96">
        <f>IFERROR(__xludf.DUMMYFUNCTION("""COMPUTED_VALUE"""),13.0)</f>
        <v>13</v>
      </c>
      <c r="P73" s="96">
        <f>IFERROR(__xludf.DUMMYFUNCTION("""COMPUTED_VALUE"""),17.0)</f>
        <v>17</v>
      </c>
      <c r="Q73" s="129">
        <f>IFERROR(__xludf.DUMMYFUNCTION("""COMPUTED_VALUE"""),836.0)</f>
        <v>836</v>
      </c>
      <c r="R73" s="99">
        <f>IFERROR(__xludf.DUMMYFUNCTION("""COMPUTED_VALUE"""),652080.0)</f>
        <v>652080</v>
      </c>
    </row>
    <row r="74">
      <c r="A74" s="96">
        <f>IFERROR(__xludf.DUMMYFUNCTION("""COMPUTED_VALUE"""),4.0)</f>
        <v>4</v>
      </c>
      <c r="B74" s="98">
        <f>IFERROR(__xludf.DUMMYFUNCTION("""COMPUTED_VALUE"""),44030.0)</f>
        <v>44030</v>
      </c>
      <c r="C74" s="96" t="str">
        <f>IFERROR(__xludf.DUMMYFUNCTION("""COMPUTED_VALUE"""),"CONNECT")</f>
        <v>CONNECT</v>
      </c>
      <c r="D74" s="96" t="str">
        <f>IFERROR(__xludf.DUMMYFUNCTION("""COMPUTED_VALUE"""),"CONNECT4")</f>
        <v>CONNECT4</v>
      </c>
      <c r="E74" s="96"/>
      <c r="F74" s="96"/>
      <c r="G74" s="96"/>
      <c r="H74" s="96"/>
      <c r="I74" s="96"/>
      <c r="J74" s="96"/>
      <c r="K74" s="96">
        <f>IFERROR(__xludf.DUMMYFUNCTION("""COMPUTED_VALUE"""),300000.0)</f>
        <v>300000</v>
      </c>
      <c r="L74" s="99">
        <f>IFERROR(__xludf.DUMMYFUNCTION("""COMPUTED_VALUE"""),300000.0)</f>
        <v>300000</v>
      </c>
      <c r="M74" s="96"/>
      <c r="N74" s="96">
        <f>IFERROR(__xludf.DUMMYFUNCTION("""COMPUTED_VALUE"""),0.0)</f>
        <v>0</v>
      </c>
      <c r="O74" s="96">
        <f>IFERROR(__xludf.DUMMYFUNCTION("""COMPUTED_VALUE"""),0.0)</f>
        <v>0</v>
      </c>
      <c r="P74" s="96">
        <f>IFERROR(__xludf.DUMMYFUNCTION("""COMPUTED_VALUE"""),0.0)</f>
        <v>0</v>
      </c>
      <c r="Q74" s="129">
        <f>IFERROR(__xludf.DUMMYFUNCTION("""COMPUTED_VALUE"""),0.0)</f>
        <v>0</v>
      </c>
      <c r="R74" s="99"/>
    </row>
    <row r="75">
      <c r="A75" s="96">
        <f>IFERROR(__xludf.DUMMYFUNCTION("""COMPUTED_VALUE"""),5.0)</f>
        <v>5</v>
      </c>
      <c r="B75" s="98">
        <f>IFERROR(__xludf.DUMMYFUNCTION("""COMPUTED_VALUE"""),44030.0)</f>
        <v>44030</v>
      </c>
      <c r="C75" s="96" t="str">
        <f>IFERROR(__xludf.DUMMYFUNCTION("""COMPUTED_VALUE"""),"CONNECT")</f>
        <v>CONNECT</v>
      </c>
      <c r="D75" s="96" t="str">
        <f>IFERROR(__xludf.DUMMYFUNCTION("""COMPUTED_VALUE"""),"CONNECT5")</f>
        <v>CONNECT5</v>
      </c>
      <c r="E75" s="96"/>
      <c r="F75" s="96"/>
      <c r="G75" s="96"/>
      <c r="H75" s="96"/>
      <c r="I75" s="96"/>
      <c r="J75" s="96"/>
      <c r="K75" s="96">
        <f>IFERROR(__xludf.DUMMYFUNCTION("""COMPUTED_VALUE"""),800000.0)</f>
        <v>800000</v>
      </c>
      <c r="L75" s="99">
        <f>IFERROR(__xludf.DUMMYFUNCTION("""COMPUTED_VALUE"""),800000.0)</f>
        <v>800000</v>
      </c>
      <c r="M75" s="96"/>
      <c r="N75" s="96">
        <f>IFERROR(__xludf.DUMMYFUNCTION("""COMPUTED_VALUE"""),0.0)</f>
        <v>0</v>
      </c>
      <c r="O75" s="96">
        <f>IFERROR(__xludf.DUMMYFUNCTION("""COMPUTED_VALUE"""),0.0)</f>
        <v>0</v>
      </c>
      <c r="P75" s="96">
        <f>IFERROR(__xludf.DUMMYFUNCTION("""COMPUTED_VALUE"""),0.0)</f>
        <v>0</v>
      </c>
      <c r="Q75" s="129">
        <f>IFERROR(__xludf.DUMMYFUNCTION("""COMPUTED_VALUE"""),0.0)</f>
        <v>0</v>
      </c>
      <c r="R75" s="99"/>
    </row>
    <row r="76">
      <c r="A76" s="96">
        <f>IFERROR(__xludf.DUMMYFUNCTION("""COMPUTED_VALUE"""),2.0)</f>
        <v>2</v>
      </c>
      <c r="B76" s="98">
        <f>IFERROR(__xludf.DUMMYFUNCTION("""COMPUTED_VALUE"""),44030.0)</f>
        <v>44030</v>
      </c>
      <c r="C76" s="96" t="str">
        <f>IFERROR(__xludf.DUMMYFUNCTION("""COMPUTED_VALUE"""),"KARIEN EBAN")</f>
        <v>KARIEN EBAN</v>
      </c>
      <c r="D76" s="96" t="str">
        <f>IFERROR(__xludf.DUMMYFUNCTION("""COMPUTED_VALUE"""),"KARIEN EBAN2")</f>
        <v>KARIEN EBAN2</v>
      </c>
      <c r="E76" s="96"/>
      <c r="F76" s="96"/>
      <c r="G76" s="96"/>
      <c r="H76" s="96"/>
      <c r="I76" s="96"/>
      <c r="J76" s="96"/>
      <c r="K76" s="96">
        <f>IFERROR(__xludf.DUMMYFUNCTION("""COMPUTED_VALUE"""),100000.0)</f>
        <v>100000</v>
      </c>
      <c r="L76" s="99">
        <f>IFERROR(__xludf.DUMMYFUNCTION("""COMPUTED_VALUE"""),100000.0)</f>
        <v>100000</v>
      </c>
      <c r="M76" s="96"/>
      <c r="N76" s="96">
        <f>IFERROR(__xludf.DUMMYFUNCTION("""COMPUTED_VALUE"""),0.0)</f>
        <v>0</v>
      </c>
      <c r="O76" s="96">
        <f>IFERROR(__xludf.DUMMYFUNCTION("""COMPUTED_VALUE"""),0.0)</f>
        <v>0</v>
      </c>
      <c r="P76" s="96">
        <f>IFERROR(__xludf.DUMMYFUNCTION("""COMPUTED_VALUE"""),0.0)</f>
        <v>0</v>
      </c>
      <c r="Q76" s="129">
        <f>IFERROR(__xludf.DUMMYFUNCTION("""COMPUTED_VALUE"""),0.0)</f>
        <v>0</v>
      </c>
      <c r="R76" s="99"/>
    </row>
    <row r="77">
      <c r="A77" s="96">
        <f>IFERROR(__xludf.DUMMYFUNCTION("""COMPUTED_VALUE"""),1.0)</f>
        <v>1</v>
      </c>
      <c r="B77" s="98">
        <f>IFERROR(__xludf.DUMMYFUNCTION("""COMPUTED_VALUE"""),44030.0)</f>
        <v>44030</v>
      </c>
      <c r="C77" s="96" t="str">
        <f>IFERROR(__xludf.DUMMYFUNCTION("""COMPUTED_VALUE"""),"EDDY OKO")</f>
        <v>EDDY OKO</v>
      </c>
      <c r="D77" s="96" t="str">
        <f>IFERROR(__xludf.DUMMYFUNCTION("""COMPUTED_VALUE"""),"EDDY OKO1")</f>
        <v>EDDY OKO1</v>
      </c>
      <c r="E77" s="96"/>
      <c r="F77" s="96"/>
      <c r="G77" s="96"/>
      <c r="H77" s="96"/>
      <c r="I77" s="96"/>
      <c r="J77" s="96"/>
      <c r="K77" s="96">
        <f>IFERROR(__xludf.DUMMYFUNCTION("""COMPUTED_VALUE"""),200000.0)</f>
        <v>200000</v>
      </c>
      <c r="L77" s="99">
        <f>IFERROR(__xludf.DUMMYFUNCTION("""COMPUTED_VALUE"""),200000.0)</f>
        <v>200000</v>
      </c>
      <c r="M77" s="96"/>
      <c r="N77" s="96">
        <f>IFERROR(__xludf.DUMMYFUNCTION("""COMPUTED_VALUE"""),0.0)</f>
        <v>0</v>
      </c>
      <c r="O77" s="96">
        <f>IFERROR(__xludf.DUMMYFUNCTION("""COMPUTED_VALUE"""),0.0)</f>
        <v>0</v>
      </c>
      <c r="P77" s="96">
        <f>IFERROR(__xludf.DUMMYFUNCTION("""COMPUTED_VALUE"""),0.0)</f>
        <v>0</v>
      </c>
      <c r="Q77" s="129">
        <f>IFERROR(__xludf.DUMMYFUNCTION("""COMPUTED_VALUE"""),0.0)</f>
        <v>0</v>
      </c>
      <c r="R77" s="99"/>
    </row>
    <row r="78">
      <c r="A78" s="96">
        <f>IFERROR(__xludf.DUMMYFUNCTION("""COMPUTED_VALUE"""),3.0)</f>
        <v>3</v>
      </c>
      <c r="B78" s="98">
        <f>IFERROR(__xludf.DUMMYFUNCTION("""COMPUTED_VALUE"""),44030.0)</f>
        <v>44030</v>
      </c>
      <c r="C78" s="96" t="str">
        <f>IFERROR(__xludf.DUMMYFUNCTION("""COMPUTED_VALUE"""),"LYDIA HNSON ")</f>
        <v>LYDIA HNSON </v>
      </c>
      <c r="D78" s="96" t="str">
        <f>IFERROR(__xludf.DUMMYFUNCTION("""COMPUTED_VALUE"""),"LYDIA HNSON 3")</f>
        <v>LYDIA HNSON 3</v>
      </c>
      <c r="E78" s="96"/>
      <c r="F78" s="96"/>
      <c r="G78" s="96"/>
      <c r="H78" s="96"/>
      <c r="I78" s="96"/>
      <c r="J78" s="96"/>
      <c r="K78" s="96">
        <f>IFERROR(__xludf.DUMMYFUNCTION("""COMPUTED_VALUE"""),100000.0)</f>
        <v>100000</v>
      </c>
      <c r="L78" s="99">
        <f>IFERROR(__xludf.DUMMYFUNCTION("""COMPUTED_VALUE"""),100000.0)</f>
        <v>100000</v>
      </c>
      <c r="M78" s="96"/>
      <c r="N78" s="96">
        <f>IFERROR(__xludf.DUMMYFUNCTION("""COMPUTED_VALUE"""),0.0)</f>
        <v>0</v>
      </c>
      <c r="O78" s="96">
        <f>IFERROR(__xludf.DUMMYFUNCTION("""COMPUTED_VALUE"""),0.0)</f>
        <v>0</v>
      </c>
      <c r="P78" s="96">
        <f>IFERROR(__xludf.DUMMYFUNCTION("""COMPUTED_VALUE"""),0.0)</f>
        <v>0</v>
      </c>
      <c r="Q78" s="129">
        <f>IFERROR(__xludf.DUMMYFUNCTION("""COMPUTED_VALUE"""),0.0)</f>
        <v>0</v>
      </c>
      <c r="R78" s="99"/>
    </row>
    <row r="79">
      <c r="A79" s="96">
        <f>IFERROR(__xludf.DUMMYFUNCTION("""COMPUTED_VALUE"""),4.0)</f>
        <v>4</v>
      </c>
      <c r="B79" s="98">
        <f>IFERROR(__xludf.DUMMYFUNCTION("""COMPUTED_VALUE"""),44030.0)</f>
        <v>44030</v>
      </c>
      <c r="C79" s="96" t="str">
        <f>IFERROR(__xludf.DUMMYFUNCTION("""COMPUTED_VALUE"""),"LYDIA HNSON ")</f>
        <v>LYDIA HNSON </v>
      </c>
      <c r="D79" s="96" t="str">
        <f>IFERROR(__xludf.DUMMYFUNCTION("""COMPUTED_VALUE"""),"LYDIA HNSON 4")</f>
        <v>LYDIA HNSON 4</v>
      </c>
      <c r="E79" s="96"/>
      <c r="F79" s="96"/>
      <c r="G79" s="96"/>
      <c r="H79" s="96"/>
      <c r="I79" s="96"/>
      <c r="J79" s="96"/>
      <c r="K79" s="96">
        <f>IFERROR(__xludf.DUMMYFUNCTION("""COMPUTED_VALUE"""),500.0)</f>
        <v>500</v>
      </c>
      <c r="L79" s="99">
        <f>IFERROR(__xludf.DUMMYFUNCTION("""COMPUTED_VALUE"""),500.0)</f>
        <v>500</v>
      </c>
      <c r="M79" s="96"/>
      <c r="N79" s="96">
        <f>IFERROR(__xludf.DUMMYFUNCTION("""COMPUTED_VALUE"""),0.0)</f>
        <v>0</v>
      </c>
      <c r="O79" s="96">
        <f>IFERROR(__xludf.DUMMYFUNCTION("""COMPUTED_VALUE"""),0.0)</f>
        <v>0</v>
      </c>
      <c r="P79" s="96">
        <f>IFERROR(__xludf.DUMMYFUNCTION("""COMPUTED_VALUE"""),0.0)</f>
        <v>0</v>
      </c>
      <c r="Q79" s="129">
        <f>IFERROR(__xludf.DUMMYFUNCTION("""COMPUTED_VALUE"""),0.0)</f>
        <v>0</v>
      </c>
      <c r="R79" s="99"/>
    </row>
    <row r="80">
      <c r="A80" s="96">
        <f>IFERROR(__xludf.DUMMYFUNCTION("""COMPUTED_VALUE"""),2.0)</f>
        <v>2</v>
      </c>
      <c r="B80" s="98">
        <f>IFERROR(__xludf.DUMMYFUNCTION("""COMPUTED_VALUE"""),44030.0)</f>
        <v>44030</v>
      </c>
      <c r="C80" s="96" t="str">
        <f>IFERROR(__xludf.DUMMYFUNCTION("""COMPUTED_VALUE""")," MAXWELL AGRO")</f>
        <v> MAXWELL AGRO</v>
      </c>
      <c r="D80" s="96" t="str">
        <f>IFERROR(__xludf.DUMMYFUNCTION("""COMPUTED_VALUE""")," MAXWELL AGRO2")</f>
        <v> MAXWELL AGRO2</v>
      </c>
      <c r="E80" s="96"/>
      <c r="F80" s="96"/>
      <c r="G80" s="96"/>
      <c r="H80" s="96"/>
      <c r="I80" s="96"/>
      <c r="J80" s="96"/>
      <c r="K80" s="96">
        <f>IFERROR(__xludf.DUMMYFUNCTION("""COMPUTED_VALUE"""),100000.0)</f>
        <v>100000</v>
      </c>
      <c r="L80" s="99">
        <f>IFERROR(__xludf.DUMMYFUNCTION("""COMPUTED_VALUE"""),100000.0)</f>
        <v>100000</v>
      </c>
      <c r="M80" s="96"/>
      <c r="N80" s="96">
        <f>IFERROR(__xludf.DUMMYFUNCTION("""COMPUTED_VALUE"""),0.0)</f>
        <v>0</v>
      </c>
      <c r="O80" s="96">
        <f>IFERROR(__xludf.DUMMYFUNCTION("""COMPUTED_VALUE"""),0.0)</f>
        <v>0</v>
      </c>
      <c r="P80" s="96">
        <f>IFERROR(__xludf.DUMMYFUNCTION("""COMPUTED_VALUE"""),0.0)</f>
        <v>0</v>
      </c>
      <c r="Q80" s="129">
        <f>IFERROR(__xludf.DUMMYFUNCTION("""COMPUTED_VALUE"""),0.0)</f>
        <v>0</v>
      </c>
      <c r="R80" s="99"/>
    </row>
    <row r="81">
      <c r="A81" s="96">
        <f>IFERROR(__xludf.DUMMYFUNCTION("""COMPUTED_VALUE"""),2.0)</f>
        <v>2</v>
      </c>
      <c r="B81" s="98">
        <f>IFERROR(__xludf.DUMMYFUNCTION("""COMPUTED_VALUE"""),44032.0)</f>
        <v>44032</v>
      </c>
      <c r="C81" s="96" t="str">
        <f>IFERROR(__xludf.DUMMYFUNCTION("""COMPUTED_VALUE"""),"ANDRDEW GREAT")</f>
        <v>ANDRDEW GREAT</v>
      </c>
      <c r="D81" s="96" t="str">
        <f>IFERROR(__xludf.DUMMYFUNCTION("""COMPUTED_VALUE"""),"ANDRDEW GREAT2")</f>
        <v>ANDRDEW GREAT2</v>
      </c>
      <c r="E81" s="96">
        <f>IFERROR(__xludf.DUMMYFUNCTION("""COMPUTED_VALUE"""),644.0)</f>
        <v>644</v>
      </c>
      <c r="F81" s="96">
        <f>IFERROR(__xludf.DUMMYFUNCTION("""COMPUTED_VALUE"""),92.5)</f>
        <v>92.5</v>
      </c>
      <c r="G81" s="96"/>
      <c r="H81" s="96">
        <f>IFERROR(__xludf.DUMMYFUNCTION("""COMPUTED_VALUE"""),10.0)</f>
        <v>10</v>
      </c>
      <c r="I81" s="96"/>
      <c r="J81" s="96">
        <f>IFERROR(__xludf.DUMMYFUNCTION("""COMPUTED_VALUE"""),783.74)</f>
        <v>783.74</v>
      </c>
      <c r="K81" s="96"/>
      <c r="L81" s="99">
        <f>IFERROR(__xludf.DUMMYFUNCTION("""COMPUTED_VALUE"""),-490620.0)</f>
        <v>-490620</v>
      </c>
      <c r="M81" s="96">
        <f>IFERROR(__xludf.DUMMYFUNCTION("""COMPUTED_VALUE"""),9.25)</f>
        <v>9.25</v>
      </c>
      <c r="N81" s="96">
        <f>IFERROR(__xludf.DUMMYFUNCTION("""COMPUTED_VALUE"""),8.0)</f>
        <v>8</v>
      </c>
      <c r="O81" s="96">
        <f>IFERROR(__xludf.DUMMYFUNCTION("""COMPUTED_VALUE"""),9.0)</f>
        <v>9</v>
      </c>
      <c r="P81" s="96">
        <f>IFERROR(__xludf.DUMMYFUNCTION("""COMPUTED_VALUE"""),59.0)</f>
        <v>59</v>
      </c>
      <c r="Q81" s="129">
        <f>IFERROR(__xludf.DUMMYFUNCTION("""COMPUTED_VALUE"""),626.0)</f>
        <v>626</v>
      </c>
      <c r="R81" s="99">
        <f>IFERROR(__xludf.DUMMYFUNCTION("""COMPUTED_VALUE"""),490620.0)</f>
        <v>490620</v>
      </c>
    </row>
    <row r="82">
      <c r="A82" s="96">
        <f>IFERROR(__xludf.DUMMYFUNCTION("""COMPUTED_VALUE"""),3.0)</f>
        <v>3</v>
      </c>
      <c r="B82" s="98">
        <f>IFERROR(__xludf.DUMMYFUNCTION("""COMPUTED_VALUE"""),44032.0)</f>
        <v>44032</v>
      </c>
      <c r="C82" s="96" t="str">
        <f>IFERROR(__xludf.DUMMYFUNCTION("""COMPUTED_VALUE"""),"ANDRDEW GREAT")</f>
        <v>ANDRDEW GREAT</v>
      </c>
      <c r="D82" s="96" t="str">
        <f>IFERROR(__xludf.DUMMYFUNCTION("""COMPUTED_VALUE"""),"ANDRDEW GREAT3")</f>
        <v>ANDRDEW GREAT3</v>
      </c>
      <c r="E82" s="96"/>
      <c r="F82" s="96"/>
      <c r="G82" s="96"/>
      <c r="H82" s="96"/>
      <c r="I82" s="96"/>
      <c r="J82" s="96"/>
      <c r="K82" s="96">
        <f>IFERROR(__xludf.DUMMYFUNCTION("""COMPUTED_VALUE"""),300000.0)</f>
        <v>300000</v>
      </c>
      <c r="L82" s="99">
        <f>IFERROR(__xludf.DUMMYFUNCTION("""COMPUTED_VALUE"""),300000.0)</f>
        <v>300000</v>
      </c>
      <c r="M82" s="96"/>
      <c r="N82" s="96">
        <f>IFERROR(__xludf.DUMMYFUNCTION("""COMPUTED_VALUE"""),0.0)</f>
        <v>0</v>
      </c>
      <c r="O82" s="96">
        <f>IFERROR(__xludf.DUMMYFUNCTION("""COMPUTED_VALUE"""),0.0)</f>
        <v>0</v>
      </c>
      <c r="P82" s="96">
        <f>IFERROR(__xludf.DUMMYFUNCTION("""COMPUTED_VALUE"""),0.0)</f>
        <v>0</v>
      </c>
      <c r="Q82" s="129">
        <f>IFERROR(__xludf.DUMMYFUNCTION("""COMPUTED_VALUE"""),0.0)</f>
        <v>0</v>
      </c>
      <c r="R82" s="99"/>
    </row>
    <row r="83">
      <c r="A83" s="96">
        <f>IFERROR(__xludf.DUMMYFUNCTION("""COMPUTED_VALUE"""),1.0)</f>
        <v>1</v>
      </c>
      <c r="B83" s="98">
        <f>IFERROR(__xludf.DUMMYFUNCTION("""COMPUTED_VALUE"""),44032.0)</f>
        <v>44032</v>
      </c>
      <c r="C83" s="96" t="str">
        <f>IFERROR(__xludf.DUMMYFUNCTION("""COMPUTED_VALUE"""),"MATIAT REINA")</f>
        <v>MATIAT REINA</v>
      </c>
      <c r="D83" s="96" t="str">
        <f>IFERROR(__xludf.DUMMYFUNCTION("""COMPUTED_VALUE"""),"MATIAT REINA1")</f>
        <v>MATIAT REINA1</v>
      </c>
      <c r="E83" s="96"/>
      <c r="F83" s="96"/>
      <c r="G83" s="96"/>
      <c r="H83" s="96"/>
      <c r="I83" s="96"/>
      <c r="J83" s="96"/>
      <c r="K83" s="96">
        <f>IFERROR(__xludf.DUMMYFUNCTION("""COMPUTED_VALUE"""),200000.0)</f>
        <v>200000</v>
      </c>
      <c r="L83" s="99">
        <f>IFERROR(__xludf.DUMMYFUNCTION("""COMPUTED_VALUE"""),200000.0)</f>
        <v>200000</v>
      </c>
      <c r="M83" s="96"/>
      <c r="N83" s="96">
        <f>IFERROR(__xludf.DUMMYFUNCTION("""COMPUTED_VALUE"""),0.0)</f>
        <v>0</v>
      </c>
      <c r="O83" s="96">
        <f>IFERROR(__xludf.DUMMYFUNCTION("""COMPUTED_VALUE"""),0.0)</f>
        <v>0</v>
      </c>
      <c r="P83" s="96">
        <f>IFERROR(__xludf.DUMMYFUNCTION("""COMPUTED_VALUE"""),0.0)</f>
        <v>0</v>
      </c>
      <c r="Q83" s="129">
        <f>IFERROR(__xludf.DUMMYFUNCTION("""COMPUTED_VALUE"""),0.0)</f>
        <v>0</v>
      </c>
      <c r="R83" s="99"/>
    </row>
    <row r="84">
      <c r="A84" s="96">
        <f>IFERROR(__xludf.DUMMYFUNCTION("""COMPUTED_VALUE"""),1.0)</f>
        <v>1</v>
      </c>
      <c r="B84" s="98">
        <f>IFERROR(__xludf.DUMMYFUNCTION("""COMPUTED_VALUE"""),44032.0)</f>
        <v>44032</v>
      </c>
      <c r="C84" s="96" t="str">
        <f>IFERROR(__xludf.DUMMYFUNCTION("""COMPUTED_VALUE"""),"ASMAN")</f>
        <v>ASMAN</v>
      </c>
      <c r="D84" s="96" t="str">
        <f>IFERROR(__xludf.DUMMYFUNCTION("""COMPUTED_VALUE"""),"ASMAN1")</f>
        <v>ASMAN1</v>
      </c>
      <c r="E84" s="96"/>
      <c r="F84" s="96"/>
      <c r="G84" s="96"/>
      <c r="H84" s="96"/>
      <c r="I84" s="96"/>
      <c r="J84" s="96"/>
      <c r="K84" s="96">
        <f>IFERROR(__xludf.DUMMYFUNCTION("""COMPUTED_VALUE"""),200000.0)</f>
        <v>200000</v>
      </c>
      <c r="L84" s="99">
        <f>IFERROR(__xludf.DUMMYFUNCTION("""COMPUTED_VALUE"""),200000.0)</f>
        <v>200000</v>
      </c>
      <c r="M84" s="96"/>
      <c r="N84" s="96">
        <f>IFERROR(__xludf.DUMMYFUNCTION("""COMPUTED_VALUE"""),0.0)</f>
        <v>0</v>
      </c>
      <c r="O84" s="96">
        <f>IFERROR(__xludf.DUMMYFUNCTION("""COMPUTED_VALUE"""),0.0)</f>
        <v>0</v>
      </c>
      <c r="P84" s="96">
        <f>IFERROR(__xludf.DUMMYFUNCTION("""COMPUTED_VALUE"""),0.0)</f>
        <v>0</v>
      </c>
      <c r="Q84" s="129">
        <f>IFERROR(__xludf.DUMMYFUNCTION("""COMPUTED_VALUE"""),0.0)</f>
        <v>0</v>
      </c>
      <c r="R84" s="99"/>
    </row>
    <row r="85">
      <c r="A85" s="96">
        <f>IFERROR(__xludf.DUMMYFUNCTION("""COMPUTED_VALUE"""),2.0)</f>
        <v>2</v>
      </c>
      <c r="B85" s="98">
        <f>IFERROR(__xludf.DUMMYFUNCTION("""COMPUTED_VALUE"""),44032.0)</f>
        <v>44032</v>
      </c>
      <c r="C85" s="96" t="str">
        <f>IFERROR(__xludf.DUMMYFUNCTION("""COMPUTED_VALUE"""),"JAMES AKAN")</f>
        <v>JAMES AKAN</v>
      </c>
      <c r="D85" s="96" t="str">
        <f>IFERROR(__xludf.DUMMYFUNCTION("""COMPUTED_VALUE"""),"JAMES AKAN2")</f>
        <v>JAMES AKAN2</v>
      </c>
      <c r="E85" s="96"/>
      <c r="F85" s="96"/>
      <c r="G85" s="96"/>
      <c r="H85" s="96"/>
      <c r="I85" s="96"/>
      <c r="J85" s="96"/>
      <c r="K85" s="96">
        <f>IFERROR(__xludf.DUMMYFUNCTION("""COMPUTED_VALUE"""),300000.0)</f>
        <v>300000</v>
      </c>
      <c r="L85" s="99">
        <f>IFERROR(__xludf.DUMMYFUNCTION("""COMPUTED_VALUE"""),300000.0)</f>
        <v>300000</v>
      </c>
      <c r="M85" s="96"/>
      <c r="N85" s="96">
        <f>IFERROR(__xludf.DUMMYFUNCTION("""COMPUTED_VALUE"""),0.0)</f>
        <v>0</v>
      </c>
      <c r="O85" s="96">
        <f>IFERROR(__xludf.DUMMYFUNCTION("""COMPUTED_VALUE"""),0.0)</f>
        <v>0</v>
      </c>
      <c r="P85" s="96">
        <f>IFERROR(__xludf.DUMMYFUNCTION("""COMPUTED_VALUE"""),0.0)</f>
        <v>0</v>
      </c>
      <c r="Q85" s="129">
        <f>IFERROR(__xludf.DUMMYFUNCTION("""COMPUTED_VALUE"""),0.0)</f>
        <v>0</v>
      </c>
      <c r="R85" s="99"/>
    </row>
    <row r="86">
      <c r="A86" s="96">
        <f>IFERROR(__xludf.DUMMYFUNCTION("""COMPUTED_VALUE"""),5.0)</f>
        <v>5</v>
      </c>
      <c r="B86" s="98">
        <f>IFERROR(__xludf.DUMMYFUNCTION("""COMPUTED_VALUE"""),44032.0)</f>
        <v>44032</v>
      </c>
      <c r="C86" s="96" t="str">
        <f>IFERROR(__xludf.DUMMYFUNCTION("""COMPUTED_VALUE"""),"LYDIA HNSON ")</f>
        <v>LYDIA HNSON </v>
      </c>
      <c r="D86" s="96" t="str">
        <f>IFERROR(__xludf.DUMMYFUNCTION("""COMPUTED_VALUE"""),"LYDIA HNSON 5")</f>
        <v>LYDIA HNSON 5</v>
      </c>
      <c r="E86" s="96"/>
      <c r="F86" s="96"/>
      <c r="G86" s="96"/>
      <c r="H86" s="96"/>
      <c r="I86" s="96"/>
      <c r="J86" s="96"/>
      <c r="K86" s="96">
        <f>IFERROR(__xludf.DUMMYFUNCTION("""COMPUTED_VALUE"""),300000.0)</f>
        <v>300000</v>
      </c>
      <c r="L86" s="99">
        <f>IFERROR(__xludf.DUMMYFUNCTION("""COMPUTED_VALUE"""),300000.0)</f>
        <v>300000</v>
      </c>
      <c r="M86" s="96"/>
      <c r="N86" s="96">
        <f>IFERROR(__xludf.DUMMYFUNCTION("""COMPUTED_VALUE"""),0.0)</f>
        <v>0</v>
      </c>
      <c r="O86" s="96">
        <f>IFERROR(__xludf.DUMMYFUNCTION("""COMPUTED_VALUE"""),0.0)</f>
        <v>0</v>
      </c>
      <c r="P86" s="96">
        <f>IFERROR(__xludf.DUMMYFUNCTION("""COMPUTED_VALUE"""),0.0)</f>
        <v>0</v>
      </c>
      <c r="Q86" s="129">
        <f>IFERROR(__xludf.DUMMYFUNCTION("""COMPUTED_VALUE"""),0.0)</f>
        <v>0</v>
      </c>
      <c r="R86" s="99"/>
    </row>
    <row r="87">
      <c r="A87" s="96">
        <f>IFERROR(__xludf.DUMMYFUNCTION("""COMPUTED_VALUE"""),3.0)</f>
        <v>3</v>
      </c>
      <c r="B87" s="98">
        <f>IFERROR(__xludf.DUMMYFUNCTION("""COMPUTED_VALUE"""),44032.0)</f>
        <v>44032</v>
      </c>
      <c r="C87" s="96" t="str">
        <f>IFERROR(__xludf.DUMMYFUNCTION("""COMPUTED_VALUE""")," MAXWELL AGRO")</f>
        <v> MAXWELL AGRO</v>
      </c>
      <c r="D87" s="96" t="str">
        <f>IFERROR(__xludf.DUMMYFUNCTION("""COMPUTED_VALUE""")," MAXWELL AGRO3")</f>
        <v> MAXWELL AGRO3</v>
      </c>
      <c r="E87" s="96"/>
      <c r="F87" s="96"/>
      <c r="G87" s="96"/>
      <c r="H87" s="96"/>
      <c r="I87" s="96"/>
      <c r="J87" s="96"/>
      <c r="K87" s="96">
        <f>IFERROR(__xludf.DUMMYFUNCTION("""COMPUTED_VALUE"""),140000.0)</f>
        <v>140000</v>
      </c>
      <c r="L87" s="99">
        <f>IFERROR(__xludf.DUMMYFUNCTION("""COMPUTED_VALUE"""),140000.0)</f>
        <v>140000</v>
      </c>
      <c r="M87" s="96"/>
      <c r="N87" s="96">
        <f>IFERROR(__xludf.DUMMYFUNCTION("""COMPUTED_VALUE"""),0.0)</f>
        <v>0</v>
      </c>
      <c r="O87" s="96">
        <f>IFERROR(__xludf.DUMMYFUNCTION("""COMPUTED_VALUE"""),0.0)</f>
        <v>0</v>
      </c>
      <c r="P87" s="96">
        <f>IFERROR(__xludf.DUMMYFUNCTION("""COMPUTED_VALUE"""),0.0)</f>
        <v>0</v>
      </c>
      <c r="Q87" s="129">
        <f>IFERROR(__xludf.DUMMYFUNCTION("""COMPUTED_VALUE"""),0.0)</f>
        <v>0</v>
      </c>
      <c r="R87" s="99"/>
    </row>
    <row r="88">
      <c r="A88" s="96">
        <f>IFERROR(__xludf.DUMMYFUNCTION("""COMPUTED_VALUE"""),4.0)</f>
        <v>4</v>
      </c>
      <c r="B88" s="98">
        <f>IFERROR(__xludf.DUMMYFUNCTION("""COMPUTED_VALUE"""),44033.0)</f>
        <v>44033</v>
      </c>
      <c r="C88" s="96" t="str">
        <f>IFERROR(__xludf.DUMMYFUNCTION("""COMPUTED_VALUE"""),"LIVINUS")</f>
        <v>LIVINUS</v>
      </c>
      <c r="D88" s="96" t="str">
        <f>IFERROR(__xludf.DUMMYFUNCTION("""COMPUTED_VALUE"""),"LIVINUS4")</f>
        <v>LIVINUS4</v>
      </c>
      <c r="E88" s="96">
        <f>IFERROR(__xludf.DUMMYFUNCTION("""COMPUTED_VALUE"""),1166.0)</f>
        <v>1166</v>
      </c>
      <c r="F88" s="96">
        <f>IFERROR(__xludf.DUMMYFUNCTION("""COMPUTED_VALUE"""),173.0)</f>
        <v>173</v>
      </c>
      <c r="G88" s="96"/>
      <c r="H88" s="96">
        <f>IFERROR(__xludf.DUMMYFUNCTION("""COMPUTED_VALUE"""),19.0)</f>
        <v>19</v>
      </c>
      <c r="I88" s="96"/>
      <c r="J88" s="96">
        <f>IFERROR(__xludf.DUMMYFUNCTION("""COMPUTED_VALUE"""),780.0)</f>
        <v>780</v>
      </c>
      <c r="K88" s="96"/>
      <c r="L88" s="99">
        <f>IFERROR(__xludf.DUMMYFUNCTION("""COMPUTED_VALUE"""),-884520.0)</f>
        <v>-884520</v>
      </c>
      <c r="M88" s="96">
        <f>IFERROR(__xludf.DUMMYFUNCTION("""COMPUTED_VALUE"""),9.11)</f>
        <v>9.11</v>
      </c>
      <c r="N88" s="96">
        <f>IFERROR(__xludf.DUMMYFUNCTION("""COMPUTED_VALUE"""),13.0)</f>
        <v>13</v>
      </c>
      <c r="O88" s="96">
        <f>IFERROR(__xludf.DUMMYFUNCTION("""COMPUTED_VALUE"""),18.0)</f>
        <v>18</v>
      </c>
      <c r="P88" s="96">
        <f>IFERROR(__xludf.DUMMYFUNCTION("""COMPUTED_VALUE"""),0.0)</f>
        <v>0</v>
      </c>
      <c r="Q88" s="129">
        <f>IFERROR(__xludf.DUMMYFUNCTION("""COMPUTED_VALUE"""),1134.0)</f>
        <v>1134</v>
      </c>
      <c r="R88" s="99">
        <f>IFERROR(__xludf.DUMMYFUNCTION("""COMPUTED_VALUE"""),884520.0)</f>
        <v>884520</v>
      </c>
    </row>
    <row r="89">
      <c r="A89" s="96">
        <f>IFERROR(__xludf.DUMMYFUNCTION("""COMPUTED_VALUE"""),4.0)</f>
        <v>4</v>
      </c>
      <c r="B89" s="98">
        <f>IFERROR(__xludf.DUMMYFUNCTION("""COMPUTED_VALUE"""),44030.0)</f>
        <v>44030</v>
      </c>
      <c r="C89" s="96" t="str">
        <f>IFERROR(__xludf.DUMMYFUNCTION("""COMPUTED_VALUE""")," MAXWELL AGRO")</f>
        <v> MAXWELL AGRO</v>
      </c>
      <c r="D89" s="96" t="str">
        <f>IFERROR(__xludf.DUMMYFUNCTION("""COMPUTED_VALUE""")," MAXWELL AGRO4")</f>
        <v> MAXWELL AGRO4</v>
      </c>
      <c r="E89" s="96">
        <f>IFERROR(__xludf.DUMMYFUNCTION("""COMPUTED_VALUE"""),387.0)</f>
        <v>387</v>
      </c>
      <c r="F89" s="96">
        <f>IFERROR(__xludf.DUMMYFUNCTION("""COMPUTED_VALUE"""),48.0)</f>
        <v>48</v>
      </c>
      <c r="G89" s="96"/>
      <c r="H89" s="96">
        <f>IFERROR(__xludf.DUMMYFUNCTION("""COMPUTED_VALUE"""),6.0)</f>
        <v>6</v>
      </c>
      <c r="I89" s="96"/>
      <c r="J89" s="96">
        <f>IFERROR(__xludf.DUMMYFUNCTION("""COMPUTED_VALUE"""),780.0)</f>
        <v>780</v>
      </c>
      <c r="K89" s="96"/>
      <c r="L89" s="99">
        <f>IFERROR(__xludf.DUMMYFUNCTION("""COMPUTED_VALUE"""),-297180.0)</f>
        <v>-297180</v>
      </c>
      <c r="M89" s="96">
        <f>IFERROR(__xludf.DUMMYFUNCTION("""COMPUTED_VALUE"""),8.0)</f>
        <v>8</v>
      </c>
      <c r="N89" s="96">
        <f>IFERROR(__xludf.DUMMYFUNCTION("""COMPUTED_VALUE"""),0.0)</f>
        <v>0</v>
      </c>
      <c r="O89" s="96">
        <f>IFERROR(__xludf.DUMMYFUNCTION("""COMPUTED_VALUE"""),6.0)</f>
        <v>6</v>
      </c>
      <c r="P89" s="96">
        <f>IFERROR(__xludf.DUMMYFUNCTION("""COMPUTED_VALUE"""),2.0)</f>
        <v>2</v>
      </c>
      <c r="Q89" s="129">
        <f>IFERROR(__xludf.DUMMYFUNCTION("""COMPUTED_VALUE"""),381.0)</f>
        <v>381</v>
      </c>
      <c r="R89" s="99">
        <f>IFERROR(__xludf.DUMMYFUNCTION("""COMPUTED_VALUE"""),297180.0)</f>
        <v>297180</v>
      </c>
    </row>
    <row r="90">
      <c r="A90" s="96">
        <f>IFERROR(__xludf.DUMMYFUNCTION("""COMPUTED_VALUE"""),6.0)</f>
        <v>6</v>
      </c>
      <c r="B90" s="98">
        <f>IFERROR(__xludf.DUMMYFUNCTION("""COMPUTED_VALUE"""),44033.0)</f>
        <v>44033</v>
      </c>
      <c r="C90" s="96" t="str">
        <f>IFERROR(__xludf.DUMMYFUNCTION("""COMPUTED_VALUE"""),"LYDIA HNSON ")</f>
        <v>LYDIA HNSON </v>
      </c>
      <c r="D90" s="96" t="str">
        <f>IFERROR(__xludf.DUMMYFUNCTION("""COMPUTED_VALUE"""),"LYDIA HNSON 6")</f>
        <v>LYDIA HNSON 6</v>
      </c>
      <c r="E90" s="96"/>
      <c r="F90" s="96"/>
      <c r="G90" s="96"/>
      <c r="H90" s="96"/>
      <c r="I90" s="96"/>
      <c r="J90" s="96"/>
      <c r="K90" s="96">
        <f>IFERROR(__xludf.DUMMYFUNCTION("""COMPUTED_VALUE"""),50000.0)</f>
        <v>50000</v>
      </c>
      <c r="L90" s="99">
        <f>IFERROR(__xludf.DUMMYFUNCTION("""COMPUTED_VALUE"""),50000.0)</f>
        <v>50000</v>
      </c>
      <c r="M90" s="96"/>
      <c r="N90" s="96">
        <f>IFERROR(__xludf.DUMMYFUNCTION("""COMPUTED_VALUE"""),0.0)</f>
        <v>0</v>
      </c>
      <c r="O90" s="96">
        <f>IFERROR(__xludf.DUMMYFUNCTION("""COMPUTED_VALUE"""),0.0)</f>
        <v>0</v>
      </c>
      <c r="P90" s="96">
        <f>IFERROR(__xludf.DUMMYFUNCTION("""COMPUTED_VALUE"""),0.0)</f>
        <v>0</v>
      </c>
      <c r="Q90" s="129">
        <f>IFERROR(__xludf.DUMMYFUNCTION("""COMPUTED_VALUE"""),0.0)</f>
        <v>0</v>
      </c>
      <c r="R90" s="99"/>
    </row>
    <row r="91">
      <c r="A91" s="96">
        <f>IFERROR(__xludf.DUMMYFUNCTION("""COMPUTED_VALUE"""),2.0)</f>
        <v>2</v>
      </c>
      <c r="B91" s="98">
        <f>IFERROR(__xludf.DUMMYFUNCTION("""COMPUTED_VALUE"""),44033.0)</f>
        <v>44033</v>
      </c>
      <c r="C91" s="96" t="str">
        <f>IFERROR(__xludf.DUMMYFUNCTION("""COMPUTED_VALUE"""),"OTU KOKO KEIBO")</f>
        <v>OTU KOKO KEIBO</v>
      </c>
      <c r="D91" s="96" t="str">
        <f>IFERROR(__xludf.DUMMYFUNCTION("""COMPUTED_VALUE"""),"OTU KOKO KEIBO2")</f>
        <v>OTU KOKO KEIBO2</v>
      </c>
      <c r="E91" s="96"/>
      <c r="F91" s="96"/>
      <c r="G91" s="96"/>
      <c r="H91" s="96"/>
      <c r="I91" s="96"/>
      <c r="J91" s="96"/>
      <c r="K91" s="96">
        <f>IFERROR(__xludf.DUMMYFUNCTION("""COMPUTED_VALUE"""),2.3E7)</f>
        <v>23000000</v>
      </c>
      <c r="L91" s="99">
        <f>IFERROR(__xludf.DUMMYFUNCTION("""COMPUTED_VALUE"""),2.3E7)</f>
        <v>23000000</v>
      </c>
      <c r="M91" s="96"/>
      <c r="N91" s="96">
        <f>IFERROR(__xludf.DUMMYFUNCTION("""COMPUTED_VALUE"""),0.0)</f>
        <v>0</v>
      </c>
      <c r="O91" s="96">
        <f>IFERROR(__xludf.DUMMYFUNCTION("""COMPUTED_VALUE"""),0.0)</f>
        <v>0</v>
      </c>
      <c r="P91" s="96">
        <f>IFERROR(__xludf.DUMMYFUNCTION("""COMPUTED_VALUE"""),0.0)</f>
        <v>0</v>
      </c>
      <c r="Q91" s="129">
        <f>IFERROR(__xludf.DUMMYFUNCTION("""COMPUTED_VALUE"""),0.0)</f>
        <v>0</v>
      </c>
      <c r="R91" s="99"/>
    </row>
    <row r="92">
      <c r="A92" s="96">
        <f>IFERROR(__xludf.DUMMYFUNCTION("""COMPUTED_VALUE"""),5.0)</f>
        <v>5</v>
      </c>
      <c r="B92" s="98">
        <f>IFERROR(__xludf.DUMMYFUNCTION("""COMPUTED_VALUE"""),44033.0)</f>
        <v>44033</v>
      </c>
      <c r="C92" s="96" t="str">
        <f>IFERROR(__xludf.DUMMYFUNCTION("""COMPUTED_VALUE"""),"LIVINUS")</f>
        <v>LIVINUS</v>
      </c>
      <c r="D92" s="96" t="str">
        <f>IFERROR(__xludf.DUMMYFUNCTION("""COMPUTED_VALUE"""),"LIVINUS5")</f>
        <v>LIVINUS5</v>
      </c>
      <c r="E92" s="96"/>
      <c r="F92" s="96"/>
      <c r="G92" s="96"/>
      <c r="H92" s="96"/>
      <c r="I92" s="96"/>
      <c r="J92" s="96"/>
      <c r="K92" s="96">
        <f>IFERROR(__xludf.DUMMYFUNCTION("""COMPUTED_VALUE"""),1680000.0)</f>
        <v>1680000</v>
      </c>
      <c r="L92" s="99">
        <f>IFERROR(__xludf.DUMMYFUNCTION("""COMPUTED_VALUE"""),1680000.0)</f>
        <v>1680000</v>
      </c>
      <c r="M92" s="96"/>
      <c r="N92" s="96">
        <f>IFERROR(__xludf.DUMMYFUNCTION("""COMPUTED_VALUE"""),0.0)</f>
        <v>0</v>
      </c>
      <c r="O92" s="96">
        <f>IFERROR(__xludf.DUMMYFUNCTION("""COMPUTED_VALUE"""),0.0)</f>
        <v>0</v>
      </c>
      <c r="P92" s="96">
        <f>IFERROR(__xludf.DUMMYFUNCTION("""COMPUTED_VALUE"""),0.0)</f>
        <v>0</v>
      </c>
      <c r="Q92" s="129">
        <f>IFERROR(__xludf.DUMMYFUNCTION("""COMPUTED_VALUE"""),0.0)</f>
        <v>0</v>
      </c>
      <c r="R92" s="99"/>
    </row>
    <row r="93">
      <c r="A93" s="96">
        <f>IFERROR(__xludf.DUMMYFUNCTION("""COMPUTED_VALUE"""),1.0)</f>
        <v>1</v>
      </c>
      <c r="B93" s="98">
        <f>IFERROR(__xludf.DUMMYFUNCTION("""COMPUTED_VALUE"""),44033.0)</f>
        <v>44033</v>
      </c>
      <c r="C93" s="96" t="str">
        <f>IFERROR(__xludf.DUMMYFUNCTION("""COMPUTED_VALUE"""),"NDOMA PETER")</f>
        <v>NDOMA PETER</v>
      </c>
      <c r="D93" s="96" t="str">
        <f>IFERROR(__xludf.DUMMYFUNCTION("""COMPUTED_VALUE"""),"NDOMA PETER1")</f>
        <v>NDOMA PETER1</v>
      </c>
      <c r="E93" s="96"/>
      <c r="F93" s="96"/>
      <c r="G93" s="96"/>
      <c r="H93" s="96"/>
      <c r="I93" s="96"/>
      <c r="J93" s="96"/>
      <c r="K93" s="96">
        <f>IFERROR(__xludf.DUMMYFUNCTION("""COMPUTED_VALUE"""),400000.0)</f>
        <v>400000</v>
      </c>
      <c r="L93" s="99">
        <f>IFERROR(__xludf.DUMMYFUNCTION("""COMPUTED_VALUE"""),400000.0)</f>
        <v>400000</v>
      </c>
      <c r="M93" s="96"/>
      <c r="N93" s="96">
        <f>IFERROR(__xludf.DUMMYFUNCTION("""COMPUTED_VALUE"""),0.0)</f>
        <v>0</v>
      </c>
      <c r="O93" s="96">
        <f>IFERROR(__xludf.DUMMYFUNCTION("""COMPUTED_VALUE"""),0.0)</f>
        <v>0</v>
      </c>
      <c r="P93" s="96">
        <f>IFERROR(__xludf.DUMMYFUNCTION("""COMPUTED_VALUE"""),0.0)</f>
        <v>0</v>
      </c>
      <c r="Q93" s="129">
        <f>IFERROR(__xludf.DUMMYFUNCTION("""COMPUTED_VALUE"""),0.0)</f>
        <v>0</v>
      </c>
      <c r="R93" s="99"/>
    </row>
    <row r="94">
      <c r="A94" s="96">
        <f>IFERROR(__xludf.DUMMYFUNCTION("""COMPUTED_VALUE"""),3.0)</f>
        <v>3</v>
      </c>
      <c r="B94" s="98">
        <f>IFERROR(__xludf.DUMMYFUNCTION("""COMPUTED_VALUE"""),44032.0)</f>
        <v>44032</v>
      </c>
      <c r="C94" s="96" t="str">
        <f>IFERROR(__xludf.DUMMYFUNCTION("""COMPUTED_VALUE"""),"JAMES AKAN")</f>
        <v>JAMES AKAN</v>
      </c>
      <c r="D94" s="96" t="str">
        <f>IFERROR(__xludf.DUMMYFUNCTION("""COMPUTED_VALUE"""),"JAMES AKAN3")</f>
        <v>JAMES AKAN3</v>
      </c>
      <c r="E94" s="96"/>
      <c r="F94" s="96"/>
      <c r="G94" s="96"/>
      <c r="H94" s="96"/>
      <c r="I94" s="96"/>
      <c r="J94" s="96"/>
      <c r="K94" s="96">
        <f>IFERROR(__xludf.DUMMYFUNCTION("""COMPUTED_VALUE"""),-145000.0)</f>
        <v>-145000</v>
      </c>
      <c r="L94" s="99">
        <f>IFERROR(__xludf.DUMMYFUNCTION("""COMPUTED_VALUE"""),-145000.0)</f>
        <v>-145000</v>
      </c>
      <c r="M94" s="96"/>
      <c r="N94" s="96">
        <f>IFERROR(__xludf.DUMMYFUNCTION("""COMPUTED_VALUE"""),0.0)</f>
        <v>0</v>
      </c>
      <c r="O94" s="96">
        <f>IFERROR(__xludf.DUMMYFUNCTION("""COMPUTED_VALUE"""),0.0)</f>
        <v>0</v>
      </c>
      <c r="P94" s="96">
        <f>IFERROR(__xludf.DUMMYFUNCTION("""COMPUTED_VALUE"""),0.0)</f>
        <v>0</v>
      </c>
      <c r="Q94" s="129">
        <f>IFERROR(__xludf.DUMMYFUNCTION("""COMPUTED_VALUE"""),0.0)</f>
        <v>0</v>
      </c>
      <c r="R94" s="99"/>
    </row>
    <row r="95">
      <c r="A95" s="96">
        <f>IFERROR(__xludf.DUMMYFUNCTION("""COMPUTED_VALUE"""),2.0)</f>
        <v>2</v>
      </c>
      <c r="B95" s="98">
        <f>IFERROR(__xludf.DUMMYFUNCTION("""COMPUTED_VALUE"""),44029.0)</f>
        <v>44029</v>
      </c>
      <c r="C95" s="96" t="str">
        <f>IFERROR(__xludf.DUMMYFUNCTION("""COMPUTED_VALUE"""),"ZULU &amp; NDOMA")</f>
        <v>ZULU &amp; NDOMA</v>
      </c>
      <c r="D95" s="96" t="str">
        <f>IFERROR(__xludf.DUMMYFUNCTION("""COMPUTED_VALUE"""),"ZULU &amp; NDOMA2")</f>
        <v>ZULU &amp; NDOMA2</v>
      </c>
      <c r="E95" s="96"/>
      <c r="F95" s="96"/>
      <c r="G95" s="96"/>
      <c r="H95" s="96"/>
      <c r="I95" s="96"/>
      <c r="J95" s="96"/>
      <c r="K95" s="96">
        <f>IFERROR(__xludf.DUMMYFUNCTION("""COMPUTED_VALUE"""),29000.0)</f>
        <v>29000</v>
      </c>
      <c r="L95" s="99">
        <f>IFERROR(__xludf.DUMMYFUNCTION("""COMPUTED_VALUE"""),29000.0)</f>
        <v>29000</v>
      </c>
      <c r="M95" s="96"/>
      <c r="N95" s="96">
        <f>IFERROR(__xludf.DUMMYFUNCTION("""COMPUTED_VALUE"""),0.0)</f>
        <v>0</v>
      </c>
      <c r="O95" s="96">
        <f>IFERROR(__xludf.DUMMYFUNCTION("""COMPUTED_VALUE"""),0.0)</f>
        <v>0</v>
      </c>
      <c r="P95" s="96">
        <f>IFERROR(__xludf.DUMMYFUNCTION("""COMPUTED_VALUE"""),0.0)</f>
        <v>0</v>
      </c>
      <c r="Q95" s="129">
        <f>IFERROR(__xludf.DUMMYFUNCTION("""COMPUTED_VALUE"""),0.0)</f>
        <v>0</v>
      </c>
      <c r="R95" s="99"/>
    </row>
    <row r="96">
      <c r="A96" s="96">
        <f>IFERROR(__xludf.DUMMYFUNCTION("""COMPUTED_VALUE"""),6.0)</f>
        <v>6</v>
      </c>
      <c r="B96" s="98">
        <f>IFERROR(__xludf.DUMMYFUNCTION("""COMPUTED_VALUE"""),44030.0)</f>
        <v>44030</v>
      </c>
      <c r="C96" s="96" t="str">
        <f>IFERROR(__xludf.DUMMYFUNCTION("""COMPUTED_VALUE"""),"LIVINUS")</f>
        <v>LIVINUS</v>
      </c>
      <c r="D96" s="96" t="str">
        <f>IFERROR(__xludf.DUMMYFUNCTION("""COMPUTED_VALUE"""),"LIVINUS6")</f>
        <v>LIVINUS6</v>
      </c>
      <c r="E96" s="96"/>
      <c r="F96" s="96"/>
      <c r="G96" s="96"/>
      <c r="H96" s="96"/>
      <c r="I96" s="96"/>
      <c r="J96" s="96"/>
      <c r="K96" s="96">
        <f>IFERROR(__xludf.DUMMYFUNCTION("""COMPUTED_VALUE"""),112080.0)</f>
        <v>112080</v>
      </c>
      <c r="L96" s="99">
        <f>IFERROR(__xludf.DUMMYFUNCTION("""COMPUTED_VALUE"""),112080.0)</f>
        <v>112080</v>
      </c>
      <c r="M96" s="96"/>
      <c r="N96" s="96">
        <f>IFERROR(__xludf.DUMMYFUNCTION("""COMPUTED_VALUE"""),0.0)</f>
        <v>0</v>
      </c>
      <c r="O96" s="96">
        <f>IFERROR(__xludf.DUMMYFUNCTION("""COMPUTED_VALUE"""),0.0)</f>
        <v>0</v>
      </c>
      <c r="P96" s="96">
        <f>IFERROR(__xludf.DUMMYFUNCTION("""COMPUTED_VALUE"""),0.0)</f>
        <v>0</v>
      </c>
      <c r="Q96" s="129">
        <f>IFERROR(__xludf.DUMMYFUNCTION("""COMPUTED_VALUE"""),0.0)</f>
        <v>0</v>
      </c>
      <c r="R96" s="99"/>
    </row>
    <row r="97">
      <c r="A97" s="96">
        <f>IFERROR(__xludf.DUMMYFUNCTION("""COMPUTED_VALUE"""),7.0)</f>
        <v>7</v>
      </c>
      <c r="B97" s="98">
        <f>IFERROR(__xludf.DUMMYFUNCTION("""COMPUTED_VALUE"""),44033.0)</f>
        <v>44033</v>
      </c>
      <c r="C97" s="96" t="str">
        <f>IFERROR(__xludf.DUMMYFUNCTION("""COMPUTED_VALUE"""),"LIVINUS")</f>
        <v>LIVINUS</v>
      </c>
      <c r="D97" s="96" t="str">
        <f>IFERROR(__xludf.DUMMYFUNCTION("""COMPUTED_VALUE"""),"LIVINUS7")</f>
        <v>LIVINUS7</v>
      </c>
      <c r="E97" s="96"/>
      <c r="F97" s="96"/>
      <c r="G97" s="96"/>
      <c r="H97" s="96"/>
      <c r="I97" s="96"/>
      <c r="J97" s="96"/>
      <c r="K97" s="96">
        <f>IFERROR(__xludf.DUMMYFUNCTION("""COMPUTED_VALUE"""),884520.0)</f>
        <v>884520</v>
      </c>
      <c r="L97" s="99">
        <f>IFERROR(__xludf.DUMMYFUNCTION("""COMPUTED_VALUE"""),884520.0)</f>
        <v>884520</v>
      </c>
      <c r="M97" s="96"/>
      <c r="N97" s="96">
        <f>IFERROR(__xludf.DUMMYFUNCTION("""COMPUTED_VALUE"""),0.0)</f>
        <v>0</v>
      </c>
      <c r="O97" s="96">
        <f>IFERROR(__xludf.DUMMYFUNCTION("""COMPUTED_VALUE"""),0.0)</f>
        <v>0</v>
      </c>
      <c r="P97" s="96">
        <f>IFERROR(__xludf.DUMMYFUNCTION("""COMPUTED_VALUE"""),0.0)</f>
        <v>0</v>
      </c>
      <c r="Q97" s="129">
        <f>IFERROR(__xludf.DUMMYFUNCTION("""COMPUTED_VALUE"""),0.0)</f>
        <v>0</v>
      </c>
      <c r="R97" s="99"/>
    </row>
    <row r="98">
      <c r="A98" s="96">
        <f>IFERROR(__xludf.DUMMYFUNCTION("""COMPUTED_VALUE"""),6.0)</f>
        <v>6</v>
      </c>
      <c r="B98" s="98">
        <f>IFERROR(__xludf.DUMMYFUNCTION("""COMPUTED_VALUE"""),44030.0)</f>
        <v>44030</v>
      </c>
      <c r="C98" s="96" t="str">
        <f>IFERROR(__xludf.DUMMYFUNCTION("""COMPUTED_VALUE"""),"CONNECT")</f>
        <v>CONNECT</v>
      </c>
      <c r="D98" s="96" t="str">
        <f>IFERROR(__xludf.DUMMYFUNCTION("""COMPUTED_VALUE"""),"CONNECT6")</f>
        <v>CONNECT6</v>
      </c>
      <c r="E98" s="96"/>
      <c r="F98" s="96"/>
      <c r="G98" s="96"/>
      <c r="H98" s="96"/>
      <c r="I98" s="96"/>
      <c r="J98" s="96"/>
      <c r="K98" s="96">
        <f>IFERROR(__xludf.DUMMYFUNCTION("""COMPUTED_VALUE"""),-5000.0)</f>
        <v>-5000</v>
      </c>
      <c r="L98" s="99">
        <f>IFERROR(__xludf.DUMMYFUNCTION("""COMPUTED_VALUE"""),-5000.0)</f>
        <v>-5000</v>
      </c>
      <c r="M98" s="96"/>
      <c r="N98" s="96">
        <f>IFERROR(__xludf.DUMMYFUNCTION("""COMPUTED_VALUE"""),0.0)</f>
        <v>0</v>
      </c>
      <c r="O98" s="96">
        <f>IFERROR(__xludf.DUMMYFUNCTION("""COMPUTED_VALUE"""),0.0)</f>
        <v>0</v>
      </c>
      <c r="P98" s="96">
        <f>IFERROR(__xludf.DUMMYFUNCTION("""COMPUTED_VALUE"""),0.0)</f>
        <v>0</v>
      </c>
      <c r="Q98" s="129">
        <f>IFERROR(__xludf.DUMMYFUNCTION("""COMPUTED_VALUE"""),0.0)</f>
        <v>0</v>
      </c>
      <c r="R98" s="99"/>
    </row>
    <row r="99">
      <c r="A99" s="96">
        <f>IFERROR(__xludf.DUMMYFUNCTION("""COMPUTED_VALUE"""),7.0)</f>
        <v>7</v>
      </c>
      <c r="B99" s="98">
        <f>IFERROR(__xludf.DUMMYFUNCTION("""COMPUTED_VALUE"""),44030.0)</f>
        <v>44030</v>
      </c>
      <c r="C99" s="96" t="str">
        <f>IFERROR(__xludf.DUMMYFUNCTION("""COMPUTED_VALUE"""),"CONNECT")</f>
        <v>CONNECT</v>
      </c>
      <c r="D99" s="96" t="str">
        <f>IFERROR(__xludf.DUMMYFUNCTION("""COMPUTED_VALUE"""),"CONNECT7")</f>
        <v>CONNECT7</v>
      </c>
      <c r="E99" s="96"/>
      <c r="F99" s="96"/>
      <c r="G99" s="96"/>
      <c r="H99" s="96"/>
      <c r="I99" s="96"/>
      <c r="J99" s="96"/>
      <c r="K99" s="96">
        <f>IFERROR(__xludf.DUMMYFUNCTION("""COMPUTED_VALUE"""),-23920.0)</f>
        <v>-23920</v>
      </c>
      <c r="L99" s="99">
        <f>IFERROR(__xludf.DUMMYFUNCTION("""COMPUTED_VALUE"""),-23920.0)</f>
        <v>-23920</v>
      </c>
      <c r="M99" s="96"/>
      <c r="N99" s="96">
        <f>IFERROR(__xludf.DUMMYFUNCTION("""COMPUTED_VALUE"""),0.0)</f>
        <v>0</v>
      </c>
      <c r="O99" s="96">
        <f>IFERROR(__xludf.DUMMYFUNCTION("""COMPUTED_VALUE"""),0.0)</f>
        <v>0</v>
      </c>
      <c r="P99" s="96">
        <f>IFERROR(__xludf.DUMMYFUNCTION("""COMPUTED_VALUE"""),0.0)</f>
        <v>0</v>
      </c>
      <c r="Q99" s="129">
        <f>IFERROR(__xludf.DUMMYFUNCTION("""COMPUTED_VALUE"""),0.0)</f>
        <v>0</v>
      </c>
      <c r="R99" s="99"/>
    </row>
    <row r="100">
      <c r="A100" s="96">
        <f>IFERROR(__xludf.DUMMYFUNCTION("""COMPUTED_VALUE"""),3.0)</f>
        <v>3</v>
      </c>
      <c r="B100" s="98">
        <f>IFERROR(__xludf.DUMMYFUNCTION("""COMPUTED_VALUE"""),44034.0)</f>
        <v>44034</v>
      </c>
      <c r="C100" s="96" t="str">
        <f>IFERROR(__xludf.DUMMYFUNCTION("""COMPUTED_VALUE"""),"ZULU &amp; NDOMA")</f>
        <v>ZULU &amp; NDOMA</v>
      </c>
      <c r="D100" s="96" t="str">
        <f>IFERROR(__xludf.DUMMYFUNCTION("""COMPUTED_VALUE"""),"ZULU &amp; NDOMA3")</f>
        <v>ZULU &amp; NDOMA3</v>
      </c>
      <c r="E100" s="96"/>
      <c r="F100" s="96"/>
      <c r="G100" s="96"/>
      <c r="H100" s="96"/>
      <c r="I100" s="96"/>
      <c r="J100" s="96"/>
      <c r="K100" s="96">
        <f>IFERROR(__xludf.DUMMYFUNCTION("""COMPUTED_VALUE"""),9000.0)</f>
        <v>9000</v>
      </c>
      <c r="L100" s="99">
        <f>IFERROR(__xludf.DUMMYFUNCTION("""COMPUTED_VALUE"""),9000.0)</f>
        <v>9000</v>
      </c>
      <c r="M100" s="96"/>
      <c r="N100" s="96">
        <f>IFERROR(__xludf.DUMMYFUNCTION("""COMPUTED_VALUE"""),0.0)</f>
        <v>0</v>
      </c>
      <c r="O100" s="96">
        <f>IFERROR(__xludf.DUMMYFUNCTION("""COMPUTED_VALUE"""),0.0)</f>
        <v>0</v>
      </c>
      <c r="P100" s="96">
        <f>IFERROR(__xludf.DUMMYFUNCTION("""COMPUTED_VALUE"""),0.0)</f>
        <v>0</v>
      </c>
      <c r="Q100" s="129">
        <f>IFERROR(__xludf.DUMMYFUNCTION("""COMPUTED_VALUE"""),0.0)</f>
        <v>0</v>
      </c>
      <c r="R100" s="99"/>
    </row>
    <row r="101">
      <c r="A101" s="96">
        <f>IFERROR(__xludf.DUMMYFUNCTION("""COMPUTED_VALUE"""),4.0)</f>
        <v>4</v>
      </c>
      <c r="B101" s="98">
        <f>IFERROR(__xludf.DUMMYFUNCTION("""COMPUTED_VALUE"""),44034.0)</f>
        <v>44034</v>
      </c>
      <c r="C101" s="96" t="str">
        <f>IFERROR(__xludf.DUMMYFUNCTION("""COMPUTED_VALUE"""),"CORNWELL")</f>
        <v>CORNWELL</v>
      </c>
      <c r="D101" s="96" t="str">
        <f>IFERROR(__xludf.DUMMYFUNCTION("""COMPUTED_VALUE"""),"CORNWELL4")</f>
        <v>CORNWELL4</v>
      </c>
      <c r="E101" s="96"/>
      <c r="F101" s="96"/>
      <c r="G101" s="96"/>
      <c r="H101" s="96"/>
      <c r="I101" s="96"/>
      <c r="J101" s="96"/>
      <c r="K101" s="96">
        <f>IFERROR(__xludf.DUMMYFUNCTION("""COMPUTED_VALUE"""),3725000.0)</f>
        <v>3725000</v>
      </c>
      <c r="L101" s="99">
        <f>IFERROR(__xludf.DUMMYFUNCTION("""COMPUTED_VALUE"""),3725000.0)</f>
        <v>3725000</v>
      </c>
      <c r="M101" s="96"/>
      <c r="N101" s="96">
        <f>IFERROR(__xludf.DUMMYFUNCTION("""COMPUTED_VALUE"""),0.0)</f>
        <v>0</v>
      </c>
      <c r="O101" s="96">
        <f>IFERROR(__xludf.DUMMYFUNCTION("""COMPUTED_VALUE"""),0.0)</f>
        <v>0</v>
      </c>
      <c r="P101" s="96">
        <f>IFERROR(__xludf.DUMMYFUNCTION("""COMPUTED_VALUE"""),0.0)</f>
        <v>0</v>
      </c>
      <c r="Q101" s="129">
        <f>IFERROR(__xludf.DUMMYFUNCTION("""COMPUTED_VALUE"""),0.0)</f>
        <v>0</v>
      </c>
      <c r="R101" s="99"/>
    </row>
    <row r="102">
      <c r="A102" s="96">
        <f>IFERROR(__xludf.DUMMYFUNCTION("""COMPUTED_VALUE"""),8.0)</f>
        <v>8</v>
      </c>
      <c r="B102" s="98">
        <f>IFERROR(__xludf.DUMMYFUNCTION("""COMPUTED_VALUE"""),44034.0)</f>
        <v>44034</v>
      </c>
      <c r="C102" s="96" t="str">
        <f>IFERROR(__xludf.DUMMYFUNCTION("""COMPUTED_VALUE"""),"CONNECT")</f>
        <v>CONNECT</v>
      </c>
      <c r="D102" s="96" t="str">
        <f>IFERROR(__xludf.DUMMYFUNCTION("""COMPUTED_VALUE"""),"CONNECT8")</f>
        <v>CONNECT8</v>
      </c>
      <c r="E102" s="96"/>
      <c r="F102" s="96"/>
      <c r="G102" s="96"/>
      <c r="H102" s="96"/>
      <c r="I102" s="96"/>
      <c r="J102" s="96"/>
      <c r="K102" s="96">
        <f>IFERROR(__xludf.DUMMYFUNCTION("""COMPUTED_VALUE"""),700000.0)</f>
        <v>700000</v>
      </c>
      <c r="L102" s="99">
        <f>IFERROR(__xludf.DUMMYFUNCTION("""COMPUTED_VALUE"""),700000.0)</f>
        <v>700000</v>
      </c>
      <c r="M102" s="96"/>
      <c r="N102" s="96">
        <f>IFERROR(__xludf.DUMMYFUNCTION("""COMPUTED_VALUE"""),0.0)</f>
        <v>0</v>
      </c>
      <c r="O102" s="96">
        <f>IFERROR(__xludf.DUMMYFUNCTION("""COMPUTED_VALUE"""),0.0)</f>
        <v>0</v>
      </c>
      <c r="P102" s="96">
        <f>IFERROR(__xludf.DUMMYFUNCTION("""COMPUTED_VALUE"""),0.0)</f>
        <v>0</v>
      </c>
      <c r="Q102" s="129">
        <f>IFERROR(__xludf.DUMMYFUNCTION("""COMPUTED_VALUE"""),0.0)</f>
        <v>0</v>
      </c>
      <c r="R102" s="99"/>
    </row>
    <row r="103">
      <c r="A103" s="96">
        <f>IFERROR(__xludf.DUMMYFUNCTION("""COMPUTED_VALUE"""),4.0)</f>
        <v>4</v>
      </c>
      <c r="B103" s="98">
        <f>IFERROR(__xludf.DUMMYFUNCTION("""COMPUTED_VALUE"""),44034.0)</f>
        <v>44034</v>
      </c>
      <c r="C103" s="96" t="str">
        <f>IFERROR(__xludf.DUMMYFUNCTION("""COMPUTED_VALUE"""),"ANDRDEW GREAT")</f>
        <v>ANDRDEW GREAT</v>
      </c>
      <c r="D103" s="96" t="str">
        <f>IFERROR(__xludf.DUMMYFUNCTION("""COMPUTED_VALUE"""),"ANDRDEW GREAT4")</f>
        <v>ANDRDEW GREAT4</v>
      </c>
      <c r="E103" s="96"/>
      <c r="F103" s="96"/>
      <c r="G103" s="96"/>
      <c r="H103" s="96"/>
      <c r="I103" s="96"/>
      <c r="J103" s="96"/>
      <c r="K103" s="96">
        <f>IFERROR(__xludf.DUMMYFUNCTION("""COMPUTED_VALUE"""),200000.0)</f>
        <v>200000</v>
      </c>
      <c r="L103" s="99">
        <f>IFERROR(__xludf.DUMMYFUNCTION("""COMPUTED_VALUE"""),200000.0)</f>
        <v>200000</v>
      </c>
      <c r="M103" s="96"/>
      <c r="N103" s="96">
        <f>IFERROR(__xludf.DUMMYFUNCTION("""COMPUTED_VALUE"""),0.0)</f>
        <v>0</v>
      </c>
      <c r="O103" s="96">
        <f>IFERROR(__xludf.DUMMYFUNCTION("""COMPUTED_VALUE"""),0.0)</f>
        <v>0</v>
      </c>
      <c r="P103" s="96">
        <f>IFERROR(__xludf.DUMMYFUNCTION("""COMPUTED_VALUE"""),0.0)</f>
        <v>0</v>
      </c>
      <c r="Q103" s="129">
        <f>IFERROR(__xludf.DUMMYFUNCTION("""COMPUTED_VALUE"""),0.0)</f>
        <v>0</v>
      </c>
      <c r="R103" s="99"/>
    </row>
    <row r="104">
      <c r="A104" s="96">
        <f>IFERROR(__xludf.DUMMYFUNCTION("""COMPUTED_VALUE"""),1.0)</f>
        <v>1</v>
      </c>
      <c r="B104" s="98">
        <f>IFERROR(__xludf.DUMMYFUNCTION("""COMPUTED_VALUE"""),44034.0)</f>
        <v>44034</v>
      </c>
      <c r="C104" s="96" t="str">
        <f>IFERROR(__xludf.DUMMYFUNCTION("""COMPUTED_VALUE"""),"ALFRED ALABI")</f>
        <v>ALFRED ALABI</v>
      </c>
      <c r="D104" s="96" t="str">
        <f>IFERROR(__xludf.DUMMYFUNCTION("""COMPUTED_VALUE"""),"ALFRED ALABI1")</f>
        <v>ALFRED ALABI1</v>
      </c>
      <c r="E104" s="96"/>
      <c r="F104" s="96"/>
      <c r="G104" s="96"/>
      <c r="H104" s="96"/>
      <c r="I104" s="96"/>
      <c r="J104" s="96"/>
      <c r="K104" s="96">
        <f>IFERROR(__xludf.DUMMYFUNCTION("""COMPUTED_VALUE"""),480000.0)</f>
        <v>480000</v>
      </c>
      <c r="L104" s="99">
        <f>IFERROR(__xludf.DUMMYFUNCTION("""COMPUTED_VALUE"""),480000.0)</f>
        <v>480000</v>
      </c>
      <c r="M104" s="96"/>
      <c r="N104" s="96">
        <f>IFERROR(__xludf.DUMMYFUNCTION("""COMPUTED_VALUE"""),0.0)</f>
        <v>0</v>
      </c>
      <c r="O104" s="96">
        <f>IFERROR(__xludf.DUMMYFUNCTION("""COMPUTED_VALUE"""),0.0)</f>
        <v>0</v>
      </c>
      <c r="P104" s="96">
        <f>IFERROR(__xludf.DUMMYFUNCTION("""COMPUTED_VALUE"""),0.0)</f>
        <v>0</v>
      </c>
      <c r="Q104" s="129">
        <f>IFERROR(__xludf.DUMMYFUNCTION("""COMPUTED_VALUE"""),0.0)</f>
        <v>0</v>
      </c>
      <c r="R104" s="99"/>
    </row>
    <row r="105">
      <c r="A105" s="96">
        <f>IFERROR(__xludf.DUMMYFUNCTION("""COMPUTED_VALUE"""),2.0)</f>
        <v>2</v>
      </c>
      <c r="B105" s="98">
        <f>IFERROR(__xludf.DUMMYFUNCTION("""COMPUTED_VALUE"""),44034.0)</f>
        <v>44034</v>
      </c>
      <c r="C105" s="96" t="str">
        <f>IFERROR(__xludf.DUMMYFUNCTION("""COMPUTED_VALUE"""),"EDWARD OKO")</f>
        <v>EDWARD OKO</v>
      </c>
      <c r="D105" s="96" t="str">
        <f>IFERROR(__xludf.DUMMYFUNCTION("""COMPUTED_VALUE"""),"EDWARD OKO2")</f>
        <v>EDWARD OKO2</v>
      </c>
      <c r="E105" s="96"/>
      <c r="F105" s="96"/>
      <c r="G105" s="96"/>
      <c r="H105" s="96"/>
      <c r="I105" s="96"/>
      <c r="J105" s="96"/>
      <c r="K105" s="96">
        <f>IFERROR(__xludf.DUMMYFUNCTION("""COMPUTED_VALUE"""),1000000.0)</f>
        <v>1000000</v>
      </c>
      <c r="L105" s="99">
        <f>IFERROR(__xludf.DUMMYFUNCTION("""COMPUTED_VALUE"""),1000000.0)</f>
        <v>1000000</v>
      </c>
      <c r="M105" s="96"/>
      <c r="N105" s="96">
        <f>IFERROR(__xludf.DUMMYFUNCTION("""COMPUTED_VALUE"""),0.0)</f>
        <v>0</v>
      </c>
      <c r="O105" s="96">
        <f>IFERROR(__xludf.DUMMYFUNCTION("""COMPUTED_VALUE"""),0.0)</f>
        <v>0</v>
      </c>
      <c r="P105" s="96">
        <f>IFERROR(__xludf.DUMMYFUNCTION("""COMPUTED_VALUE"""),0.0)</f>
        <v>0</v>
      </c>
      <c r="Q105" s="129">
        <f>IFERROR(__xludf.DUMMYFUNCTION("""COMPUTED_VALUE"""),0.0)</f>
        <v>0</v>
      </c>
      <c r="R105" s="99"/>
    </row>
    <row r="106">
      <c r="A106" s="96">
        <f>IFERROR(__xludf.DUMMYFUNCTION("""COMPUTED_VALUE"""),6.0)</f>
        <v>6</v>
      </c>
      <c r="B106" s="98">
        <f>IFERROR(__xludf.DUMMYFUNCTION("""COMPUTED_VALUE"""),44034.0)</f>
        <v>44034</v>
      </c>
      <c r="C106" s="96" t="str">
        <f>IFERROR(__xludf.DUMMYFUNCTION("""COMPUTED_VALUE"""),"RECTOR W.")</f>
        <v>RECTOR W.</v>
      </c>
      <c r="D106" s="96" t="str">
        <f>IFERROR(__xludf.DUMMYFUNCTION("""COMPUTED_VALUE"""),"RECTOR W.6")</f>
        <v>RECTOR W.6</v>
      </c>
      <c r="E106" s="96"/>
      <c r="F106" s="96"/>
      <c r="G106" s="96"/>
      <c r="H106" s="96"/>
      <c r="I106" s="96"/>
      <c r="J106" s="96"/>
      <c r="K106" s="96">
        <f>IFERROR(__xludf.DUMMYFUNCTION("""COMPUTED_VALUE"""),2500000.0)</f>
        <v>2500000</v>
      </c>
      <c r="L106" s="99">
        <f>IFERROR(__xludf.DUMMYFUNCTION("""COMPUTED_VALUE"""),2500000.0)</f>
        <v>2500000</v>
      </c>
      <c r="M106" s="96"/>
      <c r="N106" s="96">
        <f>IFERROR(__xludf.DUMMYFUNCTION("""COMPUTED_VALUE"""),0.0)</f>
        <v>0</v>
      </c>
      <c r="O106" s="96">
        <f>IFERROR(__xludf.DUMMYFUNCTION("""COMPUTED_VALUE"""),0.0)</f>
        <v>0</v>
      </c>
      <c r="P106" s="96">
        <f>IFERROR(__xludf.DUMMYFUNCTION("""COMPUTED_VALUE"""),0.0)</f>
        <v>0</v>
      </c>
      <c r="Q106" s="129">
        <f>IFERROR(__xludf.DUMMYFUNCTION("""COMPUTED_VALUE"""),0.0)</f>
        <v>0</v>
      </c>
      <c r="R106" s="99"/>
    </row>
    <row r="107">
      <c r="A107" s="96">
        <f>IFERROR(__xludf.DUMMYFUNCTION("""COMPUTED_VALUE"""),5.0)</f>
        <v>5</v>
      </c>
      <c r="B107" s="98">
        <f>IFERROR(__xludf.DUMMYFUNCTION("""COMPUTED_VALUE"""),44034.0)</f>
        <v>44034</v>
      </c>
      <c r="C107" s="96" t="str">
        <f>IFERROR(__xludf.DUMMYFUNCTION("""COMPUTED_VALUE"""),"NDOMA BODE I.D")</f>
        <v>NDOMA BODE I.D</v>
      </c>
      <c r="D107" s="96" t="str">
        <f>IFERROR(__xludf.DUMMYFUNCTION("""COMPUTED_VALUE"""),"NDOMA BODE I.D5")</f>
        <v>NDOMA BODE I.D5</v>
      </c>
      <c r="E107" s="96"/>
      <c r="F107" s="96"/>
      <c r="G107" s="96"/>
      <c r="H107" s="96"/>
      <c r="I107" s="96"/>
      <c r="J107" s="96"/>
      <c r="K107" s="96">
        <f>IFERROR(__xludf.DUMMYFUNCTION("""COMPUTED_VALUE"""),500000.0)</f>
        <v>500000</v>
      </c>
      <c r="L107" s="99">
        <f>IFERROR(__xludf.DUMMYFUNCTION("""COMPUTED_VALUE"""),500000.0)</f>
        <v>500000</v>
      </c>
      <c r="M107" s="96"/>
      <c r="N107" s="96">
        <f>IFERROR(__xludf.DUMMYFUNCTION("""COMPUTED_VALUE"""),0.0)</f>
        <v>0</v>
      </c>
      <c r="O107" s="96">
        <f>IFERROR(__xludf.DUMMYFUNCTION("""COMPUTED_VALUE"""),0.0)</f>
        <v>0</v>
      </c>
      <c r="P107" s="96">
        <f>IFERROR(__xludf.DUMMYFUNCTION("""COMPUTED_VALUE"""),0.0)</f>
        <v>0</v>
      </c>
      <c r="Q107" s="129">
        <f>IFERROR(__xludf.DUMMYFUNCTION("""COMPUTED_VALUE"""),0.0)</f>
        <v>0</v>
      </c>
      <c r="R107" s="99"/>
    </row>
    <row r="108">
      <c r="A108" s="96">
        <f>IFERROR(__xludf.DUMMYFUNCTION("""COMPUTED_VALUE"""),1.0)</f>
        <v>1</v>
      </c>
      <c r="B108" s="98">
        <f>IFERROR(__xludf.DUMMYFUNCTION("""COMPUTED_VALUE"""),44034.0)</f>
        <v>44034</v>
      </c>
      <c r="C108" s="96" t="str">
        <f>IFERROR(__xludf.DUMMYFUNCTION("""COMPUTED_VALUE"""),"OBINNA CHIELO")</f>
        <v>OBINNA CHIELO</v>
      </c>
      <c r="D108" s="96" t="str">
        <f>IFERROR(__xludf.DUMMYFUNCTION("""COMPUTED_VALUE"""),"OBINNA CHIELO1")</f>
        <v>OBINNA CHIELO1</v>
      </c>
      <c r="E108" s="96"/>
      <c r="F108" s="96"/>
      <c r="G108" s="96"/>
      <c r="H108" s="96"/>
      <c r="I108" s="96"/>
      <c r="J108" s="96"/>
      <c r="K108" s="96">
        <f>IFERROR(__xludf.DUMMYFUNCTION("""COMPUTED_VALUE"""),480000.0)</f>
        <v>480000</v>
      </c>
      <c r="L108" s="99">
        <f>IFERROR(__xludf.DUMMYFUNCTION("""COMPUTED_VALUE"""),480000.0)</f>
        <v>480000</v>
      </c>
      <c r="M108" s="96"/>
      <c r="N108" s="96">
        <f>IFERROR(__xludf.DUMMYFUNCTION("""COMPUTED_VALUE"""),0.0)</f>
        <v>0</v>
      </c>
      <c r="O108" s="96">
        <f>IFERROR(__xludf.DUMMYFUNCTION("""COMPUTED_VALUE"""),0.0)</f>
        <v>0</v>
      </c>
      <c r="P108" s="96">
        <f>IFERROR(__xludf.DUMMYFUNCTION("""COMPUTED_VALUE"""),0.0)</f>
        <v>0</v>
      </c>
      <c r="Q108" s="129">
        <f>IFERROR(__xludf.DUMMYFUNCTION("""COMPUTED_VALUE"""),0.0)</f>
        <v>0</v>
      </c>
      <c r="R108" s="99"/>
    </row>
    <row r="109">
      <c r="A109" s="96">
        <f>IFERROR(__xludf.DUMMYFUNCTION("""COMPUTED_VALUE"""),5.0)</f>
        <v>5</v>
      </c>
      <c r="B109" s="98">
        <f>IFERROR(__xludf.DUMMYFUNCTION("""COMPUTED_VALUE"""),44034.0)</f>
        <v>44034</v>
      </c>
      <c r="C109" s="96" t="str">
        <f>IFERROR(__xludf.DUMMYFUNCTION("""COMPUTED_VALUE""")," MAXWELL AGRO")</f>
        <v> MAXWELL AGRO</v>
      </c>
      <c r="D109" s="96" t="str">
        <f>IFERROR(__xludf.DUMMYFUNCTION("""COMPUTED_VALUE""")," MAXWELL AGRO5")</f>
        <v> MAXWELL AGRO5</v>
      </c>
      <c r="E109" s="96"/>
      <c r="F109" s="96"/>
      <c r="G109" s="96"/>
      <c r="H109" s="96"/>
      <c r="I109" s="96"/>
      <c r="J109" s="96"/>
      <c r="K109" s="96">
        <f>IFERROR(__xludf.DUMMYFUNCTION("""COMPUTED_VALUE"""),240000.0)</f>
        <v>240000</v>
      </c>
      <c r="L109" s="99">
        <f>IFERROR(__xludf.DUMMYFUNCTION("""COMPUTED_VALUE"""),240000.0)</f>
        <v>240000</v>
      </c>
      <c r="M109" s="96"/>
      <c r="N109" s="96">
        <f>IFERROR(__xludf.DUMMYFUNCTION("""COMPUTED_VALUE"""),0.0)</f>
        <v>0</v>
      </c>
      <c r="O109" s="96">
        <f>IFERROR(__xludf.DUMMYFUNCTION("""COMPUTED_VALUE"""),0.0)</f>
        <v>0</v>
      </c>
      <c r="P109" s="96">
        <f>IFERROR(__xludf.DUMMYFUNCTION("""COMPUTED_VALUE"""),0.0)</f>
        <v>0</v>
      </c>
      <c r="Q109" s="129">
        <f>IFERROR(__xludf.DUMMYFUNCTION("""COMPUTED_VALUE"""),0.0)</f>
        <v>0</v>
      </c>
      <c r="R109" s="99"/>
    </row>
    <row r="110">
      <c r="A110" s="96">
        <f>IFERROR(__xludf.DUMMYFUNCTION("""COMPUTED_VALUE"""),1.0)</f>
        <v>1</v>
      </c>
      <c r="B110" s="98">
        <f>IFERROR(__xludf.DUMMYFUNCTION("""COMPUTED_VALUE"""),44034.0)</f>
        <v>44034</v>
      </c>
      <c r="C110" s="96" t="str">
        <f>IFERROR(__xludf.DUMMYFUNCTION("""COMPUTED_VALUE"""),"EMMANUEL OKO ")</f>
        <v>EMMANUEL OKO </v>
      </c>
      <c r="D110" s="96" t="str">
        <f>IFERROR(__xludf.DUMMYFUNCTION("""COMPUTED_VALUE"""),"EMMANUEL OKO 1")</f>
        <v>EMMANUEL OKO 1</v>
      </c>
      <c r="E110" s="96"/>
      <c r="F110" s="96"/>
      <c r="G110" s="96"/>
      <c r="H110" s="96"/>
      <c r="I110" s="96"/>
      <c r="J110" s="96"/>
      <c r="K110" s="96">
        <f>IFERROR(__xludf.DUMMYFUNCTION("""COMPUTED_VALUE"""),235000.0)</f>
        <v>235000</v>
      </c>
      <c r="L110" s="99">
        <f>IFERROR(__xludf.DUMMYFUNCTION("""COMPUTED_VALUE"""),235000.0)</f>
        <v>235000</v>
      </c>
      <c r="M110" s="96"/>
      <c r="N110" s="96">
        <f>IFERROR(__xludf.DUMMYFUNCTION("""COMPUTED_VALUE"""),0.0)</f>
        <v>0</v>
      </c>
      <c r="O110" s="96">
        <f>IFERROR(__xludf.DUMMYFUNCTION("""COMPUTED_VALUE"""),0.0)</f>
        <v>0</v>
      </c>
      <c r="P110" s="96">
        <f>IFERROR(__xludf.DUMMYFUNCTION("""COMPUTED_VALUE"""),0.0)</f>
        <v>0</v>
      </c>
      <c r="Q110" s="129">
        <f>IFERROR(__xludf.DUMMYFUNCTION("""COMPUTED_VALUE"""),0.0)</f>
        <v>0</v>
      </c>
      <c r="R110" s="99"/>
    </row>
    <row r="111">
      <c r="A111" s="96">
        <f>IFERROR(__xludf.DUMMYFUNCTION("""COMPUTED_VALUE"""),2.0)</f>
        <v>2</v>
      </c>
      <c r="B111" s="98">
        <f>IFERROR(__xludf.DUMMYFUNCTION("""COMPUTED_VALUE"""),44034.0)</f>
        <v>44034</v>
      </c>
      <c r="C111" s="96" t="str">
        <f>IFERROR(__xludf.DUMMYFUNCTION("""COMPUTED_VALUE"""),"ETUK EFFI")</f>
        <v>ETUK EFFI</v>
      </c>
      <c r="D111" s="96" t="str">
        <f>IFERROR(__xludf.DUMMYFUNCTION("""COMPUTED_VALUE"""),"ETUK EFFI2")</f>
        <v>ETUK EFFI2</v>
      </c>
      <c r="E111" s="96"/>
      <c r="F111" s="96"/>
      <c r="G111" s="96"/>
      <c r="H111" s="96"/>
      <c r="I111" s="96"/>
      <c r="J111" s="96"/>
      <c r="K111" s="96">
        <f>IFERROR(__xludf.DUMMYFUNCTION("""COMPUTED_VALUE"""),500000.0)</f>
        <v>500000</v>
      </c>
      <c r="L111" s="99">
        <f>IFERROR(__xludf.DUMMYFUNCTION("""COMPUTED_VALUE"""),500000.0)</f>
        <v>500000</v>
      </c>
      <c r="M111" s="96"/>
      <c r="N111" s="96">
        <f>IFERROR(__xludf.DUMMYFUNCTION("""COMPUTED_VALUE"""),0.0)</f>
        <v>0</v>
      </c>
      <c r="O111" s="96">
        <f>IFERROR(__xludf.DUMMYFUNCTION("""COMPUTED_VALUE"""),0.0)</f>
        <v>0</v>
      </c>
      <c r="P111" s="96">
        <f>IFERROR(__xludf.DUMMYFUNCTION("""COMPUTED_VALUE"""),0.0)</f>
        <v>0</v>
      </c>
      <c r="Q111" s="129">
        <f>IFERROR(__xludf.DUMMYFUNCTION("""COMPUTED_VALUE"""),0.0)</f>
        <v>0</v>
      </c>
      <c r="R111" s="99"/>
    </row>
    <row r="112">
      <c r="A112" s="96">
        <f>IFERROR(__xludf.DUMMYFUNCTION("""COMPUTED_VALUE"""),7.0)</f>
        <v>7</v>
      </c>
      <c r="B112" s="98">
        <f>IFERROR(__xludf.DUMMYFUNCTION("""COMPUTED_VALUE"""),44034.0)</f>
        <v>44034</v>
      </c>
      <c r="C112" s="96" t="str">
        <f>IFERROR(__xludf.DUMMYFUNCTION("""COMPUTED_VALUE"""),"RECTOR W.")</f>
        <v>RECTOR W.</v>
      </c>
      <c r="D112" s="96" t="str">
        <f>IFERROR(__xludf.DUMMYFUNCTION("""COMPUTED_VALUE"""),"RECTOR W.7")</f>
        <v>RECTOR W.7</v>
      </c>
      <c r="E112" s="96"/>
      <c r="F112" s="96"/>
      <c r="G112" s="96"/>
      <c r="H112" s="96"/>
      <c r="I112" s="96"/>
      <c r="J112" s="96"/>
      <c r="K112" s="96">
        <f>IFERROR(__xludf.DUMMYFUNCTION("""COMPUTED_VALUE"""),358880.0)</f>
        <v>358880</v>
      </c>
      <c r="L112" s="99">
        <f>IFERROR(__xludf.DUMMYFUNCTION("""COMPUTED_VALUE"""),358880.0)</f>
        <v>358880</v>
      </c>
      <c r="M112" s="96"/>
      <c r="N112" s="96">
        <f>IFERROR(__xludf.DUMMYFUNCTION("""COMPUTED_VALUE"""),0.0)</f>
        <v>0</v>
      </c>
      <c r="O112" s="96">
        <f>IFERROR(__xludf.DUMMYFUNCTION("""COMPUTED_VALUE"""),0.0)</f>
        <v>0</v>
      </c>
      <c r="P112" s="96">
        <f>IFERROR(__xludf.DUMMYFUNCTION("""COMPUTED_VALUE"""),0.0)</f>
        <v>0</v>
      </c>
      <c r="Q112" s="129">
        <f>IFERROR(__xludf.DUMMYFUNCTION("""COMPUTED_VALUE"""),0.0)</f>
        <v>0</v>
      </c>
      <c r="R112" s="99"/>
    </row>
    <row r="113">
      <c r="A113" s="96">
        <f>IFERROR(__xludf.DUMMYFUNCTION("""COMPUTED_VALUE"""),3.0)</f>
        <v>3</v>
      </c>
      <c r="B113" s="98">
        <f>IFERROR(__xludf.DUMMYFUNCTION("""COMPUTED_VALUE"""),44035.0)</f>
        <v>44035</v>
      </c>
      <c r="C113" s="96" t="str">
        <f>IFERROR(__xludf.DUMMYFUNCTION("""COMPUTED_VALUE"""),"OTU KOKO KEIBO")</f>
        <v>OTU KOKO KEIBO</v>
      </c>
      <c r="D113" s="96" t="str">
        <f>IFERROR(__xludf.DUMMYFUNCTION("""COMPUTED_VALUE"""),"OTU KOKO KEIBO3")</f>
        <v>OTU KOKO KEIBO3</v>
      </c>
      <c r="E113" s="96"/>
      <c r="F113" s="96"/>
      <c r="G113" s="96"/>
      <c r="H113" s="96"/>
      <c r="I113" s="96"/>
      <c r="J113" s="96"/>
      <c r="K113" s="96">
        <f>IFERROR(__xludf.DUMMYFUNCTION("""COMPUTED_VALUE"""),600000.0)</f>
        <v>600000</v>
      </c>
      <c r="L113" s="99">
        <f>IFERROR(__xludf.DUMMYFUNCTION("""COMPUTED_VALUE"""),600000.0)</f>
        <v>600000</v>
      </c>
      <c r="M113" s="96"/>
      <c r="N113" s="96">
        <f>IFERROR(__xludf.DUMMYFUNCTION("""COMPUTED_VALUE"""),0.0)</f>
        <v>0</v>
      </c>
      <c r="O113" s="96">
        <f>IFERROR(__xludf.DUMMYFUNCTION("""COMPUTED_VALUE"""),0.0)</f>
        <v>0</v>
      </c>
      <c r="P113" s="96">
        <f>IFERROR(__xludf.DUMMYFUNCTION("""COMPUTED_VALUE"""),0.0)</f>
        <v>0</v>
      </c>
      <c r="Q113" s="129">
        <f>IFERROR(__xludf.DUMMYFUNCTION("""COMPUTED_VALUE"""),0.0)</f>
        <v>0</v>
      </c>
      <c r="R113" s="99"/>
    </row>
    <row r="114">
      <c r="A114" s="96">
        <f>IFERROR(__xludf.DUMMYFUNCTION("""COMPUTED_VALUE"""),1.0)</f>
        <v>1</v>
      </c>
      <c r="B114" s="98">
        <f>IFERROR(__xludf.DUMMYFUNCTION("""COMPUTED_VALUE"""),44035.0)</f>
        <v>44035</v>
      </c>
      <c r="C114" s="96" t="str">
        <f>IFERROR(__xludf.DUMMYFUNCTION("""COMPUTED_VALUE"""),"REIMON ALABA")</f>
        <v>REIMON ALABA</v>
      </c>
      <c r="D114" s="96" t="str">
        <f>IFERROR(__xludf.DUMMYFUNCTION("""COMPUTED_VALUE"""),"REIMON ALABA1")</f>
        <v>REIMON ALABA1</v>
      </c>
      <c r="E114" s="96"/>
      <c r="F114" s="96"/>
      <c r="G114" s="96"/>
      <c r="H114" s="96"/>
      <c r="I114" s="96"/>
      <c r="J114" s="96"/>
      <c r="K114" s="96">
        <f>IFERROR(__xludf.DUMMYFUNCTION("""COMPUTED_VALUE"""),150000.0)</f>
        <v>150000</v>
      </c>
      <c r="L114" s="99">
        <f>IFERROR(__xludf.DUMMYFUNCTION("""COMPUTED_VALUE"""),150000.0)</f>
        <v>150000</v>
      </c>
      <c r="M114" s="96"/>
      <c r="N114" s="96">
        <f>IFERROR(__xludf.DUMMYFUNCTION("""COMPUTED_VALUE"""),0.0)</f>
        <v>0</v>
      </c>
      <c r="O114" s="96">
        <f>IFERROR(__xludf.DUMMYFUNCTION("""COMPUTED_VALUE"""),0.0)</f>
        <v>0</v>
      </c>
      <c r="P114" s="96">
        <f>IFERROR(__xludf.DUMMYFUNCTION("""COMPUTED_VALUE"""),0.0)</f>
        <v>0</v>
      </c>
      <c r="Q114" s="129">
        <f>IFERROR(__xludf.DUMMYFUNCTION("""COMPUTED_VALUE"""),0.0)</f>
        <v>0</v>
      </c>
      <c r="R114" s="99"/>
    </row>
    <row r="115">
      <c r="A115" s="96">
        <f>IFERROR(__xludf.DUMMYFUNCTION("""COMPUTED_VALUE"""),7.0)</f>
        <v>7</v>
      </c>
      <c r="B115" s="98">
        <f>IFERROR(__xludf.DUMMYFUNCTION("""COMPUTED_VALUE"""),44036.0)</f>
        <v>44036</v>
      </c>
      <c r="C115" s="96" t="str">
        <f>IFERROR(__xludf.DUMMYFUNCTION("""COMPUTED_VALUE"""),"LYDIA HNSON ")</f>
        <v>LYDIA HNSON </v>
      </c>
      <c r="D115" s="96" t="str">
        <f>IFERROR(__xludf.DUMMYFUNCTION("""COMPUTED_VALUE"""),"LYDIA HNSON 7")</f>
        <v>LYDIA HNSON 7</v>
      </c>
      <c r="E115" s="96"/>
      <c r="F115" s="96"/>
      <c r="G115" s="96"/>
      <c r="H115" s="96"/>
      <c r="I115" s="96"/>
      <c r="J115" s="96"/>
      <c r="K115" s="96">
        <f>IFERROR(__xludf.DUMMYFUNCTION("""COMPUTED_VALUE"""),500000.0)</f>
        <v>500000</v>
      </c>
      <c r="L115" s="99">
        <f>IFERROR(__xludf.DUMMYFUNCTION("""COMPUTED_VALUE"""),500000.0)</f>
        <v>500000</v>
      </c>
      <c r="M115" s="96"/>
      <c r="N115" s="96">
        <f>IFERROR(__xludf.DUMMYFUNCTION("""COMPUTED_VALUE"""),0.0)</f>
        <v>0</v>
      </c>
      <c r="O115" s="96">
        <f>IFERROR(__xludf.DUMMYFUNCTION("""COMPUTED_VALUE"""),0.0)</f>
        <v>0</v>
      </c>
      <c r="P115" s="96">
        <f>IFERROR(__xludf.DUMMYFUNCTION("""COMPUTED_VALUE"""),0.0)</f>
        <v>0</v>
      </c>
      <c r="Q115" s="129">
        <f>IFERROR(__xludf.DUMMYFUNCTION("""COMPUTED_VALUE"""),0.0)</f>
        <v>0</v>
      </c>
      <c r="R115" s="99"/>
    </row>
    <row r="116">
      <c r="A116" s="96">
        <f>IFERROR(__xludf.DUMMYFUNCTION("""COMPUTED_VALUE"""),3.0)</f>
        <v>3</v>
      </c>
      <c r="B116" s="98">
        <f>IFERROR(__xludf.DUMMYFUNCTION("""COMPUTED_VALUE"""),44037.0)</f>
        <v>44037</v>
      </c>
      <c r="C116" s="96" t="str">
        <f>IFERROR(__xludf.DUMMYFUNCTION("""COMPUTED_VALUE"""),"ETUK EFFI")</f>
        <v>ETUK EFFI</v>
      </c>
      <c r="D116" s="96" t="str">
        <f>IFERROR(__xludf.DUMMYFUNCTION("""COMPUTED_VALUE"""),"ETUK EFFI3")</f>
        <v>ETUK EFFI3</v>
      </c>
      <c r="E116" s="96">
        <f>IFERROR(__xludf.DUMMYFUNCTION("""COMPUTED_VALUE"""),1372.0)</f>
        <v>1372</v>
      </c>
      <c r="F116" s="96">
        <f>IFERROR(__xludf.DUMMYFUNCTION("""COMPUTED_VALUE"""),182.5)</f>
        <v>182.5</v>
      </c>
      <c r="G116" s="96">
        <f>IFERROR(__xludf.DUMMYFUNCTION("""COMPUTED_VALUE"""),0.0)</f>
        <v>0</v>
      </c>
      <c r="H116" s="96">
        <f>IFERROR(__xludf.DUMMYFUNCTION("""COMPUTED_VALUE"""),21.0)</f>
        <v>21</v>
      </c>
      <c r="I116" s="96">
        <f>IFERROR(__xludf.DUMMYFUNCTION("""COMPUTED_VALUE"""),21.0)</f>
        <v>21</v>
      </c>
      <c r="J116" s="96">
        <f>IFERROR(__xludf.DUMMYFUNCTION("""COMPUTED_VALUE"""),780.0)</f>
        <v>780</v>
      </c>
      <c r="K116" s="96"/>
      <c r="L116" s="99">
        <f>IFERROR(__xludf.DUMMYFUNCTION("""COMPUTED_VALUE"""),-1063140.0)</f>
        <v>-1063140</v>
      </c>
      <c r="M116" s="96">
        <f>IFERROR(__xludf.DUMMYFUNCTION("""COMPUTED_VALUE"""),8.69)</f>
        <v>8.69</v>
      </c>
      <c r="N116" s="96">
        <f>IFERROR(__xludf.DUMMYFUNCTION("""COMPUTED_VALUE"""),9.0)</f>
        <v>9</v>
      </c>
      <c r="O116" s="96">
        <f>IFERROR(__xludf.DUMMYFUNCTION("""COMPUTED_VALUE"""),21.0)</f>
        <v>21</v>
      </c>
      <c r="P116" s="96">
        <f>IFERROR(__xludf.DUMMYFUNCTION("""COMPUTED_VALUE"""),40.0)</f>
        <v>40</v>
      </c>
      <c r="Q116" s="129">
        <f>IFERROR(__xludf.DUMMYFUNCTION("""COMPUTED_VALUE"""),1363.0)</f>
        <v>1363</v>
      </c>
      <c r="R116" s="99">
        <f>IFERROR(__xludf.DUMMYFUNCTION("""COMPUTED_VALUE"""),1063140.0)</f>
        <v>1063140</v>
      </c>
    </row>
    <row r="117">
      <c r="A117" s="96">
        <f>IFERROR(__xludf.DUMMYFUNCTION("""COMPUTED_VALUE"""),1.0)</f>
        <v>1</v>
      </c>
      <c r="B117" s="98">
        <f>IFERROR(__xludf.DUMMYFUNCTION("""COMPUTED_VALUE"""),44039.0)</f>
        <v>44039</v>
      </c>
      <c r="C117" s="96" t="str">
        <f>IFERROR(__xludf.DUMMYFUNCTION("""COMPUTED_VALUE"""),"MATIAT LOVE")</f>
        <v>MATIAT LOVE</v>
      </c>
      <c r="D117" s="96" t="str">
        <f>IFERROR(__xludf.DUMMYFUNCTION("""COMPUTED_VALUE"""),"MATIAT LOVE1")</f>
        <v>MATIAT LOVE1</v>
      </c>
      <c r="E117" s="96"/>
      <c r="F117" s="96"/>
      <c r="G117" s="96"/>
      <c r="H117" s="96"/>
      <c r="I117" s="96"/>
      <c r="J117" s="96"/>
      <c r="K117" s="96">
        <f>IFERROR(__xludf.DUMMYFUNCTION("""COMPUTED_VALUE"""),50000.0)</f>
        <v>50000</v>
      </c>
      <c r="L117" s="99">
        <f>IFERROR(__xludf.DUMMYFUNCTION("""COMPUTED_VALUE"""),50000.0)</f>
        <v>50000</v>
      </c>
      <c r="M117" s="96"/>
      <c r="N117" s="96">
        <f>IFERROR(__xludf.DUMMYFUNCTION("""COMPUTED_VALUE"""),0.0)</f>
        <v>0</v>
      </c>
      <c r="O117" s="96">
        <f>IFERROR(__xludf.DUMMYFUNCTION("""COMPUTED_VALUE"""),0.0)</f>
        <v>0</v>
      </c>
      <c r="P117" s="96">
        <f>IFERROR(__xludf.DUMMYFUNCTION("""COMPUTED_VALUE"""),0.0)</f>
        <v>0</v>
      </c>
      <c r="Q117" s="129">
        <f>IFERROR(__xludf.DUMMYFUNCTION("""COMPUTED_VALUE"""),0.0)</f>
        <v>0</v>
      </c>
      <c r="R117" s="99"/>
    </row>
    <row r="118">
      <c r="A118" s="96">
        <f>IFERROR(__xludf.DUMMYFUNCTION("""COMPUTED_VALUE"""),2.0)</f>
        <v>2</v>
      </c>
      <c r="B118" s="98">
        <f>IFERROR(__xludf.DUMMYFUNCTION("""COMPUTED_VALUE"""),44039.0)</f>
        <v>44039</v>
      </c>
      <c r="C118" s="96" t="str">
        <f>IFERROR(__xludf.DUMMYFUNCTION("""COMPUTED_VALUE"""),"CONFIDENCE")</f>
        <v>CONFIDENCE</v>
      </c>
      <c r="D118" s="96" t="str">
        <f>IFERROR(__xludf.DUMMYFUNCTION("""COMPUTED_VALUE"""),"CONFIDENCE2")</f>
        <v>CONFIDENCE2</v>
      </c>
      <c r="E118" s="96"/>
      <c r="F118" s="96"/>
      <c r="G118" s="96"/>
      <c r="H118" s="96"/>
      <c r="I118" s="96"/>
      <c r="J118" s="96"/>
      <c r="K118" s="96">
        <f>IFERROR(__xludf.DUMMYFUNCTION("""COMPUTED_VALUE"""),20000.0)</f>
        <v>20000</v>
      </c>
      <c r="L118" s="99">
        <f>IFERROR(__xludf.DUMMYFUNCTION("""COMPUTED_VALUE"""),20000.0)</f>
        <v>20000</v>
      </c>
      <c r="M118" s="96"/>
      <c r="N118" s="96">
        <f>IFERROR(__xludf.DUMMYFUNCTION("""COMPUTED_VALUE"""),0.0)</f>
        <v>0</v>
      </c>
      <c r="O118" s="96">
        <f>IFERROR(__xludf.DUMMYFUNCTION("""COMPUTED_VALUE"""),0.0)</f>
        <v>0</v>
      </c>
      <c r="P118" s="96">
        <f>IFERROR(__xludf.DUMMYFUNCTION("""COMPUTED_VALUE"""),0.0)</f>
        <v>0</v>
      </c>
      <c r="Q118" s="129">
        <f>IFERROR(__xludf.DUMMYFUNCTION("""COMPUTED_VALUE"""),0.0)</f>
        <v>0</v>
      </c>
      <c r="R118" s="99"/>
    </row>
    <row r="119">
      <c r="A119" s="96">
        <f>IFERROR(__xludf.DUMMYFUNCTION("""COMPUTED_VALUE"""),1.0)</f>
        <v>1</v>
      </c>
      <c r="B119" s="98">
        <f>IFERROR(__xludf.DUMMYFUNCTION("""COMPUTED_VALUE"""),44039.0)</f>
        <v>44039</v>
      </c>
      <c r="C119" s="96" t="str">
        <f>IFERROR(__xludf.DUMMYFUNCTION("""COMPUTED_VALUE"""),"ABANG. EDET")</f>
        <v>ABANG. EDET</v>
      </c>
      <c r="D119" s="96" t="str">
        <f>IFERROR(__xludf.DUMMYFUNCTION("""COMPUTED_VALUE"""),"ABANG. EDET1")</f>
        <v>ABANG. EDET1</v>
      </c>
      <c r="E119" s="96"/>
      <c r="F119" s="96"/>
      <c r="G119" s="96"/>
      <c r="H119" s="96"/>
      <c r="I119" s="96"/>
      <c r="J119" s="96"/>
      <c r="K119" s="96">
        <f>IFERROR(__xludf.DUMMYFUNCTION("""COMPUTED_VALUE"""),1000.0)</f>
        <v>1000</v>
      </c>
      <c r="L119" s="99">
        <f>IFERROR(__xludf.DUMMYFUNCTION("""COMPUTED_VALUE"""),1000.0)</f>
        <v>1000</v>
      </c>
      <c r="M119" s="96"/>
      <c r="N119" s="96">
        <f>IFERROR(__xludf.DUMMYFUNCTION("""COMPUTED_VALUE"""),0.0)</f>
        <v>0</v>
      </c>
      <c r="O119" s="96">
        <f>IFERROR(__xludf.DUMMYFUNCTION("""COMPUTED_VALUE"""),0.0)</f>
        <v>0</v>
      </c>
      <c r="P119" s="96">
        <f>IFERROR(__xludf.DUMMYFUNCTION("""COMPUTED_VALUE"""),0.0)</f>
        <v>0</v>
      </c>
      <c r="Q119" s="129">
        <f>IFERROR(__xludf.DUMMYFUNCTION("""COMPUTED_VALUE"""),0.0)</f>
        <v>0</v>
      </c>
      <c r="R119" s="99"/>
    </row>
    <row r="120">
      <c r="A120" s="96">
        <f>IFERROR(__xludf.DUMMYFUNCTION("""COMPUTED_VALUE"""),8.0)</f>
        <v>8</v>
      </c>
      <c r="B120" s="98">
        <f>IFERROR(__xludf.DUMMYFUNCTION("""COMPUTED_VALUE"""),44034.0)</f>
        <v>44034</v>
      </c>
      <c r="C120" s="96" t="str">
        <f>IFERROR(__xludf.DUMMYFUNCTION("""COMPUTED_VALUE"""),"LYDIA HNSON ")</f>
        <v>LYDIA HNSON </v>
      </c>
      <c r="D120" s="96" t="str">
        <f>IFERROR(__xludf.DUMMYFUNCTION("""COMPUTED_VALUE"""),"LYDIA HNSON 8")</f>
        <v>LYDIA HNSON 8</v>
      </c>
      <c r="E120" s="96">
        <f>IFERROR(__xludf.DUMMYFUNCTION("""COMPUTED_VALUE"""),795.0)</f>
        <v>795</v>
      </c>
      <c r="F120" s="96">
        <f>IFERROR(__xludf.DUMMYFUNCTION("""COMPUTED_VALUE"""),104.0)</f>
        <v>104</v>
      </c>
      <c r="G120" s="96"/>
      <c r="H120" s="96">
        <f>IFERROR(__xludf.DUMMYFUNCTION("""COMPUTED_VALUE"""),13.0)</f>
        <v>13</v>
      </c>
      <c r="I120" s="96"/>
      <c r="J120" s="96">
        <f>IFERROR(__xludf.DUMMYFUNCTION("""COMPUTED_VALUE"""),795.0)</f>
        <v>795</v>
      </c>
      <c r="K120" s="96"/>
      <c r="L120" s="99">
        <f>IFERROR(__xludf.DUMMYFUNCTION("""COMPUTED_VALUE"""),-621690.0)</f>
        <v>-621690</v>
      </c>
      <c r="M120" s="96">
        <f>IFERROR(__xludf.DUMMYFUNCTION("""COMPUTED_VALUE"""),8.0)</f>
        <v>8</v>
      </c>
      <c r="N120" s="96">
        <f>IFERROR(__xludf.DUMMYFUNCTION("""COMPUTED_VALUE"""),0.0)</f>
        <v>0</v>
      </c>
      <c r="O120" s="96">
        <f>IFERROR(__xludf.DUMMYFUNCTION("""COMPUTED_VALUE"""),12.0)</f>
        <v>12</v>
      </c>
      <c r="P120" s="96">
        <f>IFERROR(__xludf.DUMMYFUNCTION("""COMPUTED_VALUE"""),26.0)</f>
        <v>26</v>
      </c>
      <c r="Q120" s="129">
        <f>IFERROR(__xludf.DUMMYFUNCTION("""COMPUTED_VALUE"""),782.0)</f>
        <v>782</v>
      </c>
      <c r="R120" s="99">
        <f>IFERROR(__xludf.DUMMYFUNCTION("""COMPUTED_VALUE"""),621690.0)</f>
        <v>621690</v>
      </c>
    </row>
    <row r="121">
      <c r="A121" s="96">
        <f>IFERROR(__xludf.DUMMYFUNCTION("""COMPUTED_VALUE"""),9.0)</f>
        <v>9</v>
      </c>
      <c r="B121" s="98">
        <f>IFERROR(__xludf.DUMMYFUNCTION("""COMPUTED_VALUE"""),44039.0)</f>
        <v>44039</v>
      </c>
      <c r="C121" s="96" t="str">
        <f>IFERROR(__xludf.DUMMYFUNCTION("""COMPUTED_VALUE"""),"LYDIA HNSON ")</f>
        <v>LYDIA HNSON </v>
      </c>
      <c r="D121" s="96" t="str">
        <f>IFERROR(__xludf.DUMMYFUNCTION("""COMPUTED_VALUE"""),"LYDIA HNSON 9")</f>
        <v>LYDIA HNSON 9</v>
      </c>
      <c r="E121" s="96">
        <f>IFERROR(__xludf.DUMMYFUNCTION("""COMPUTED_VALUE"""),982.0)</f>
        <v>982</v>
      </c>
      <c r="F121" s="96">
        <f>IFERROR(__xludf.DUMMYFUNCTION("""COMPUTED_VALUE"""),128.0)</f>
        <v>128</v>
      </c>
      <c r="G121" s="96"/>
      <c r="H121" s="96">
        <f>IFERROR(__xludf.DUMMYFUNCTION("""COMPUTED_VALUE"""),16.0)</f>
        <v>16</v>
      </c>
      <c r="I121" s="96"/>
      <c r="J121" s="96">
        <f>IFERROR(__xludf.DUMMYFUNCTION("""COMPUTED_VALUE"""),795.0)</f>
        <v>795</v>
      </c>
      <c r="K121" s="96"/>
      <c r="L121" s="99">
        <f>IFERROR(__xludf.DUMMYFUNCTION("""COMPUTED_VALUE"""),-767970.0)</f>
        <v>-767970</v>
      </c>
      <c r="M121" s="96">
        <f>IFERROR(__xludf.DUMMYFUNCTION("""COMPUTED_VALUE"""),8.0)</f>
        <v>8</v>
      </c>
      <c r="N121" s="96">
        <f>IFERROR(__xludf.DUMMYFUNCTION("""COMPUTED_VALUE"""),0.0)</f>
        <v>0</v>
      </c>
      <c r="O121" s="96">
        <f>IFERROR(__xludf.DUMMYFUNCTION("""COMPUTED_VALUE"""),15.0)</f>
        <v>15</v>
      </c>
      <c r="P121" s="96">
        <f>IFERROR(__xludf.DUMMYFUNCTION("""COMPUTED_VALUE"""),21.0)</f>
        <v>21</v>
      </c>
      <c r="Q121" s="129">
        <f>IFERROR(__xludf.DUMMYFUNCTION("""COMPUTED_VALUE"""),966.0)</f>
        <v>966</v>
      </c>
      <c r="R121" s="99">
        <f>IFERROR(__xludf.DUMMYFUNCTION("""COMPUTED_VALUE"""),767970.0)</f>
        <v>767970</v>
      </c>
    </row>
    <row r="122">
      <c r="A122" s="96">
        <f>IFERROR(__xludf.DUMMYFUNCTION("""COMPUTED_VALUE"""),10.0)</f>
        <v>10</v>
      </c>
      <c r="B122" s="98">
        <f>IFERROR(__xludf.DUMMYFUNCTION("""COMPUTED_VALUE"""),44040.0)</f>
        <v>44040</v>
      </c>
      <c r="C122" s="96" t="str">
        <f>IFERROR(__xludf.DUMMYFUNCTION("""COMPUTED_VALUE"""),"LYDIA HNSON ")</f>
        <v>LYDIA HNSON </v>
      </c>
      <c r="D122" s="96" t="str">
        <f>IFERROR(__xludf.DUMMYFUNCTION("""COMPUTED_VALUE"""),"LYDIA HNSON 10")</f>
        <v>LYDIA HNSON 10</v>
      </c>
      <c r="E122" s="96">
        <f>IFERROR(__xludf.DUMMYFUNCTION("""COMPUTED_VALUE"""),272.0)</f>
        <v>272</v>
      </c>
      <c r="F122" s="96">
        <f>IFERROR(__xludf.DUMMYFUNCTION("""COMPUTED_VALUE"""),32.0)</f>
        <v>32</v>
      </c>
      <c r="G122" s="96"/>
      <c r="H122" s="96">
        <f>IFERROR(__xludf.DUMMYFUNCTION("""COMPUTED_VALUE"""),4.0)</f>
        <v>4</v>
      </c>
      <c r="I122" s="96"/>
      <c r="J122" s="96">
        <f>IFERROR(__xludf.DUMMYFUNCTION("""COMPUTED_VALUE"""),795.0)</f>
        <v>795</v>
      </c>
      <c r="K122" s="96"/>
      <c r="L122" s="99">
        <f>IFERROR(__xludf.DUMMYFUNCTION("""COMPUTED_VALUE"""),-213060.0)</f>
        <v>-213060</v>
      </c>
      <c r="M122" s="96">
        <f>IFERROR(__xludf.DUMMYFUNCTION("""COMPUTED_VALUE"""),8.0)</f>
        <v>8</v>
      </c>
      <c r="N122" s="96">
        <f>IFERROR(__xludf.DUMMYFUNCTION("""COMPUTED_VALUE"""),0.0)</f>
        <v>0</v>
      </c>
      <c r="O122" s="96">
        <f>IFERROR(__xludf.DUMMYFUNCTION("""COMPUTED_VALUE"""),4.0)</f>
        <v>4</v>
      </c>
      <c r="P122" s="96">
        <f>IFERROR(__xludf.DUMMYFUNCTION("""COMPUTED_VALUE"""),16.0)</f>
        <v>16</v>
      </c>
      <c r="Q122" s="129">
        <f>IFERROR(__xludf.DUMMYFUNCTION("""COMPUTED_VALUE"""),268.0)</f>
        <v>268</v>
      </c>
      <c r="R122" s="99">
        <f>IFERROR(__xludf.DUMMYFUNCTION("""COMPUTED_VALUE"""),213060.0)</f>
        <v>213060</v>
      </c>
    </row>
    <row r="123">
      <c r="A123" s="96">
        <f>IFERROR(__xludf.DUMMYFUNCTION("""COMPUTED_VALUE"""),3.0)</f>
        <v>3</v>
      </c>
      <c r="B123" s="98">
        <f>IFERROR(__xludf.DUMMYFUNCTION("""COMPUTED_VALUE"""),44041.0)</f>
        <v>44041</v>
      </c>
      <c r="C123" s="96" t="str">
        <f>IFERROR(__xludf.DUMMYFUNCTION("""COMPUTED_VALUE"""),"EDWARD OKO")</f>
        <v>EDWARD OKO</v>
      </c>
      <c r="D123" s="96" t="str">
        <f>IFERROR(__xludf.DUMMYFUNCTION("""COMPUTED_VALUE"""),"EDWARD OKO3")</f>
        <v>EDWARD OKO3</v>
      </c>
      <c r="E123" s="96">
        <f>IFERROR(__xludf.DUMMYFUNCTION("""COMPUTED_VALUE"""),985.0)</f>
        <v>985</v>
      </c>
      <c r="F123" s="96">
        <f>IFERROR(__xludf.DUMMYFUNCTION("""COMPUTED_VALUE"""),122.5)</f>
        <v>122.5</v>
      </c>
      <c r="G123" s="96"/>
      <c r="H123" s="96">
        <f>IFERROR(__xludf.DUMMYFUNCTION("""COMPUTED_VALUE"""),15.0)</f>
        <v>15</v>
      </c>
      <c r="I123" s="96"/>
      <c r="J123" s="96">
        <f>IFERROR(__xludf.DUMMYFUNCTION("""COMPUTED_VALUE"""),795.87)</f>
        <v>795.87</v>
      </c>
      <c r="K123" s="96"/>
      <c r="L123" s="99">
        <f>IFERROR(__xludf.DUMMYFUNCTION("""COMPUTED_VALUE"""),-770400.0)</f>
        <v>-770400</v>
      </c>
      <c r="M123" s="96">
        <f>IFERROR(__xludf.DUMMYFUNCTION("""COMPUTED_VALUE"""),8.17)</f>
        <v>8.17</v>
      </c>
      <c r="N123" s="96">
        <f>IFERROR(__xludf.DUMMYFUNCTION("""COMPUTED_VALUE"""),2.0)</f>
        <v>2</v>
      </c>
      <c r="O123" s="96">
        <f>IFERROR(__xludf.DUMMYFUNCTION("""COMPUTED_VALUE"""),15.0)</f>
        <v>15</v>
      </c>
      <c r="P123" s="96">
        <f>IFERROR(__xludf.DUMMYFUNCTION("""COMPUTED_VALUE"""),23.0)</f>
        <v>23</v>
      </c>
      <c r="Q123" s="129">
        <f>IFERROR(__xludf.DUMMYFUNCTION("""COMPUTED_VALUE"""),968.0)</f>
        <v>968</v>
      </c>
      <c r="R123" s="99">
        <f>IFERROR(__xludf.DUMMYFUNCTION("""COMPUTED_VALUE"""),770400.0)</f>
        <v>770400</v>
      </c>
    </row>
    <row r="124">
      <c r="A124" s="96">
        <f>IFERROR(__xludf.DUMMYFUNCTION("""COMPUTED_VALUE"""),2.0)</f>
        <v>2</v>
      </c>
      <c r="B124" s="98">
        <f>IFERROR(__xludf.DUMMYFUNCTION("""COMPUTED_VALUE"""),44030.0)</f>
        <v>44030</v>
      </c>
      <c r="C124" s="96" t="str">
        <f>IFERROR(__xludf.DUMMYFUNCTION("""COMPUTED_VALUE"""),"EDDY OKO")</f>
        <v>EDDY OKO</v>
      </c>
      <c r="D124" s="96" t="str">
        <f>IFERROR(__xludf.DUMMYFUNCTION("""COMPUTED_VALUE"""),"EDDY OKO2")</f>
        <v>EDDY OKO2</v>
      </c>
      <c r="E124" s="96"/>
      <c r="F124" s="96"/>
      <c r="G124" s="96"/>
      <c r="H124" s="96"/>
      <c r="I124" s="96"/>
      <c r="J124" s="96"/>
      <c r="K124" s="96">
        <f>IFERROR(__xludf.DUMMYFUNCTION("""COMPUTED_VALUE"""),-200000.0)</f>
        <v>-200000</v>
      </c>
      <c r="L124" s="99">
        <f>IFERROR(__xludf.DUMMYFUNCTION("""COMPUTED_VALUE"""),-200000.0)</f>
        <v>-200000</v>
      </c>
      <c r="M124" s="96"/>
      <c r="N124" s="96">
        <f>IFERROR(__xludf.DUMMYFUNCTION("""COMPUTED_VALUE"""),0.0)</f>
        <v>0</v>
      </c>
      <c r="O124" s="96">
        <f>IFERROR(__xludf.DUMMYFUNCTION("""COMPUTED_VALUE"""),0.0)</f>
        <v>0</v>
      </c>
      <c r="P124" s="96">
        <f>IFERROR(__xludf.DUMMYFUNCTION("""COMPUTED_VALUE"""),0.0)</f>
        <v>0</v>
      </c>
      <c r="Q124" s="129">
        <f>IFERROR(__xludf.DUMMYFUNCTION("""COMPUTED_VALUE"""),0.0)</f>
        <v>0</v>
      </c>
      <c r="R124" s="99"/>
    </row>
    <row r="125">
      <c r="A125" s="96">
        <f>IFERROR(__xludf.DUMMYFUNCTION("""COMPUTED_VALUE"""),4.0)</f>
        <v>4</v>
      </c>
      <c r="B125" s="98">
        <f>IFERROR(__xludf.DUMMYFUNCTION("""COMPUTED_VALUE"""),44030.0)</f>
        <v>44030</v>
      </c>
      <c r="C125" s="96" t="str">
        <f>IFERROR(__xludf.DUMMYFUNCTION("""COMPUTED_VALUE"""),"EDWARD OKO")</f>
        <v>EDWARD OKO</v>
      </c>
      <c r="D125" s="96" t="str">
        <f>IFERROR(__xludf.DUMMYFUNCTION("""COMPUTED_VALUE"""),"EDWARD OKO4")</f>
        <v>EDWARD OKO4</v>
      </c>
      <c r="E125" s="96"/>
      <c r="F125" s="96"/>
      <c r="G125" s="96"/>
      <c r="H125" s="96"/>
      <c r="I125" s="96"/>
      <c r="J125" s="96"/>
      <c r="K125" s="96">
        <f>IFERROR(__xludf.DUMMYFUNCTION("""COMPUTED_VALUE"""),200000.0)</f>
        <v>200000</v>
      </c>
      <c r="L125" s="99">
        <f>IFERROR(__xludf.DUMMYFUNCTION("""COMPUTED_VALUE"""),200000.0)</f>
        <v>200000</v>
      </c>
      <c r="M125" s="96"/>
      <c r="N125" s="96">
        <f>IFERROR(__xludf.DUMMYFUNCTION("""COMPUTED_VALUE"""),0.0)</f>
        <v>0</v>
      </c>
      <c r="O125" s="96">
        <f>IFERROR(__xludf.DUMMYFUNCTION("""COMPUTED_VALUE"""),0.0)</f>
        <v>0</v>
      </c>
      <c r="P125" s="96">
        <f>IFERROR(__xludf.DUMMYFUNCTION("""COMPUTED_VALUE"""),0.0)</f>
        <v>0</v>
      </c>
      <c r="Q125" s="129">
        <f>IFERROR(__xludf.DUMMYFUNCTION("""COMPUTED_VALUE"""),0.0)</f>
        <v>0</v>
      </c>
      <c r="R125" s="99"/>
    </row>
    <row r="126">
      <c r="A126" s="96">
        <f>IFERROR(__xludf.DUMMYFUNCTION("""COMPUTED_VALUE"""),4.0)</f>
        <v>4</v>
      </c>
      <c r="B126" s="98">
        <f>IFERROR(__xludf.DUMMYFUNCTION("""COMPUTED_VALUE"""),44040.0)</f>
        <v>44040</v>
      </c>
      <c r="C126" s="96" t="str">
        <f>IFERROR(__xludf.DUMMYFUNCTION("""COMPUTED_VALUE"""),"ETUK EFFI")</f>
        <v>ETUK EFFI</v>
      </c>
      <c r="D126" s="96" t="str">
        <f>IFERROR(__xludf.DUMMYFUNCTION("""COMPUTED_VALUE"""),"ETUK EFFI4")</f>
        <v>ETUK EFFI4</v>
      </c>
      <c r="E126" s="96"/>
      <c r="F126" s="96"/>
      <c r="G126" s="96"/>
      <c r="H126" s="96"/>
      <c r="I126" s="96"/>
      <c r="J126" s="96"/>
      <c r="K126" s="96">
        <f>IFERROR(__xludf.DUMMYFUNCTION("""COMPUTED_VALUE"""),1000000.0)</f>
        <v>1000000</v>
      </c>
      <c r="L126" s="99">
        <f>IFERROR(__xludf.DUMMYFUNCTION("""COMPUTED_VALUE"""),1000000.0)</f>
        <v>1000000</v>
      </c>
      <c r="M126" s="96"/>
      <c r="N126" s="96">
        <f>IFERROR(__xludf.DUMMYFUNCTION("""COMPUTED_VALUE"""),0.0)</f>
        <v>0</v>
      </c>
      <c r="O126" s="96">
        <f>IFERROR(__xludf.DUMMYFUNCTION("""COMPUTED_VALUE"""),0.0)</f>
        <v>0</v>
      </c>
      <c r="P126" s="96">
        <f>IFERROR(__xludf.DUMMYFUNCTION("""COMPUTED_VALUE"""),0.0)</f>
        <v>0</v>
      </c>
      <c r="Q126" s="129">
        <f>IFERROR(__xludf.DUMMYFUNCTION("""COMPUTED_VALUE"""),0.0)</f>
        <v>0</v>
      </c>
      <c r="R126" s="99"/>
    </row>
    <row r="127">
      <c r="A127" s="96">
        <f>IFERROR(__xludf.DUMMYFUNCTION("""COMPUTED_VALUE"""),8.0)</f>
        <v>8</v>
      </c>
      <c r="B127" s="98">
        <f>IFERROR(__xludf.DUMMYFUNCTION("""COMPUTED_VALUE"""),44040.0)</f>
        <v>44040</v>
      </c>
      <c r="C127" s="96" t="str">
        <f>IFERROR(__xludf.DUMMYFUNCTION("""COMPUTED_VALUE"""),"LIVINUS")</f>
        <v>LIVINUS</v>
      </c>
      <c r="D127" s="96" t="str">
        <f>IFERROR(__xludf.DUMMYFUNCTION("""COMPUTED_VALUE"""),"LIVINUS8")</f>
        <v>LIVINUS8</v>
      </c>
      <c r="E127" s="96"/>
      <c r="F127" s="96"/>
      <c r="G127" s="96"/>
      <c r="H127" s="96"/>
      <c r="I127" s="96"/>
      <c r="J127" s="96"/>
      <c r="K127" s="96">
        <f>IFERROR(__xludf.DUMMYFUNCTION("""COMPUTED_VALUE"""),1440000.0)</f>
        <v>1440000</v>
      </c>
      <c r="L127" s="99">
        <f>IFERROR(__xludf.DUMMYFUNCTION("""COMPUTED_VALUE"""),1440000.0)</f>
        <v>1440000</v>
      </c>
      <c r="M127" s="96"/>
      <c r="N127" s="96">
        <f>IFERROR(__xludf.DUMMYFUNCTION("""COMPUTED_VALUE"""),0.0)</f>
        <v>0</v>
      </c>
      <c r="O127" s="96">
        <f>IFERROR(__xludf.DUMMYFUNCTION("""COMPUTED_VALUE"""),0.0)</f>
        <v>0</v>
      </c>
      <c r="P127" s="96">
        <f>IFERROR(__xludf.DUMMYFUNCTION("""COMPUTED_VALUE"""),0.0)</f>
        <v>0</v>
      </c>
      <c r="Q127" s="129">
        <f>IFERROR(__xludf.DUMMYFUNCTION("""COMPUTED_VALUE"""),0.0)</f>
        <v>0</v>
      </c>
      <c r="R127" s="99"/>
    </row>
    <row r="128">
      <c r="A128" s="96">
        <f>IFERROR(__xludf.DUMMYFUNCTION("""COMPUTED_VALUE"""),11.0)</f>
        <v>11</v>
      </c>
      <c r="B128" s="98">
        <f>IFERROR(__xludf.DUMMYFUNCTION("""COMPUTED_VALUE"""),44040.0)</f>
        <v>44040</v>
      </c>
      <c r="C128" s="96" t="str">
        <f>IFERROR(__xludf.DUMMYFUNCTION("""COMPUTED_VALUE"""),"LYDIA HNSON ")</f>
        <v>LYDIA HNSON </v>
      </c>
      <c r="D128" s="96" t="str">
        <f>IFERROR(__xludf.DUMMYFUNCTION("""COMPUTED_VALUE"""),"LYDIA HNSON 11")</f>
        <v>LYDIA HNSON 11</v>
      </c>
      <c r="E128" s="96"/>
      <c r="F128" s="96"/>
      <c r="G128" s="96"/>
      <c r="H128" s="96"/>
      <c r="I128" s="96"/>
      <c r="J128" s="96"/>
      <c r="K128" s="96">
        <f>IFERROR(__xludf.DUMMYFUNCTION("""COMPUTED_VALUE"""),1000000.0)</f>
        <v>1000000</v>
      </c>
      <c r="L128" s="99">
        <f>IFERROR(__xludf.DUMMYFUNCTION("""COMPUTED_VALUE"""),1000000.0)</f>
        <v>1000000</v>
      </c>
      <c r="M128" s="96"/>
      <c r="N128" s="96">
        <f>IFERROR(__xludf.DUMMYFUNCTION("""COMPUTED_VALUE"""),0.0)</f>
        <v>0</v>
      </c>
      <c r="O128" s="96">
        <f>IFERROR(__xludf.DUMMYFUNCTION("""COMPUTED_VALUE"""),0.0)</f>
        <v>0</v>
      </c>
      <c r="P128" s="96">
        <f>IFERROR(__xludf.DUMMYFUNCTION("""COMPUTED_VALUE"""),0.0)</f>
        <v>0</v>
      </c>
      <c r="Q128" s="129">
        <f>IFERROR(__xludf.DUMMYFUNCTION("""COMPUTED_VALUE"""),0.0)</f>
        <v>0</v>
      </c>
      <c r="R128" s="99"/>
    </row>
    <row r="129">
      <c r="A129" s="96">
        <f>IFERROR(__xludf.DUMMYFUNCTION("""COMPUTED_VALUE"""),1.0)</f>
        <v>1</v>
      </c>
      <c r="B129" s="98">
        <f>IFERROR(__xludf.DUMMYFUNCTION("""COMPUTED_VALUE"""),44040.0)</f>
        <v>44040</v>
      </c>
      <c r="C129" s="96" t="str">
        <f>IFERROR(__xludf.DUMMYFUNCTION("""COMPUTED_VALUE"""),"OBI BESONG")</f>
        <v>OBI BESONG</v>
      </c>
      <c r="D129" s="96" t="str">
        <f>IFERROR(__xludf.DUMMYFUNCTION("""COMPUTED_VALUE"""),"OBI BESONG1")</f>
        <v>OBI BESONG1</v>
      </c>
      <c r="E129" s="96"/>
      <c r="F129" s="96"/>
      <c r="G129" s="96"/>
      <c r="H129" s="96"/>
      <c r="I129" s="96"/>
      <c r="J129" s="96"/>
      <c r="K129" s="96">
        <f>IFERROR(__xludf.DUMMYFUNCTION("""COMPUTED_VALUE"""),500000.0)</f>
        <v>500000</v>
      </c>
      <c r="L129" s="99">
        <f>IFERROR(__xludf.DUMMYFUNCTION("""COMPUTED_VALUE"""),500000.0)</f>
        <v>500000</v>
      </c>
      <c r="M129" s="96"/>
      <c r="N129" s="96">
        <f>IFERROR(__xludf.DUMMYFUNCTION("""COMPUTED_VALUE"""),0.0)</f>
        <v>0</v>
      </c>
      <c r="O129" s="96">
        <f>IFERROR(__xludf.DUMMYFUNCTION("""COMPUTED_VALUE"""),0.0)</f>
        <v>0</v>
      </c>
      <c r="P129" s="96">
        <f>IFERROR(__xludf.DUMMYFUNCTION("""COMPUTED_VALUE"""),0.0)</f>
        <v>0</v>
      </c>
      <c r="Q129" s="129">
        <f>IFERROR(__xludf.DUMMYFUNCTION("""COMPUTED_VALUE"""),0.0)</f>
        <v>0</v>
      </c>
      <c r="R129" s="99"/>
    </row>
    <row r="130">
      <c r="A130" s="96">
        <f>IFERROR(__xludf.DUMMYFUNCTION("""COMPUTED_VALUE"""),3.0)</f>
        <v>3</v>
      </c>
      <c r="B130" s="98">
        <f>IFERROR(__xludf.DUMMYFUNCTION("""COMPUTED_VALUE"""),44040.0)</f>
        <v>44040</v>
      </c>
      <c r="C130" s="96" t="str">
        <f>IFERROR(__xludf.DUMMYFUNCTION("""COMPUTED_VALUE"""),"KARIEN EBAN")</f>
        <v>KARIEN EBAN</v>
      </c>
      <c r="D130" s="96" t="str">
        <f>IFERROR(__xludf.DUMMYFUNCTION("""COMPUTED_VALUE"""),"KARIEN EBAN3")</f>
        <v>KARIEN EBAN3</v>
      </c>
      <c r="E130" s="96"/>
      <c r="F130" s="96"/>
      <c r="G130" s="96"/>
      <c r="H130" s="96"/>
      <c r="I130" s="96"/>
      <c r="J130" s="96"/>
      <c r="K130" s="96">
        <f>IFERROR(__xludf.DUMMYFUNCTION("""COMPUTED_VALUE"""),500000.0)</f>
        <v>500000</v>
      </c>
      <c r="L130" s="99">
        <f>IFERROR(__xludf.DUMMYFUNCTION("""COMPUTED_VALUE"""),500000.0)</f>
        <v>500000</v>
      </c>
      <c r="M130" s="96"/>
      <c r="N130" s="96">
        <f>IFERROR(__xludf.DUMMYFUNCTION("""COMPUTED_VALUE"""),0.0)</f>
        <v>0</v>
      </c>
      <c r="O130" s="96">
        <f>IFERROR(__xludf.DUMMYFUNCTION("""COMPUTED_VALUE"""),0.0)</f>
        <v>0</v>
      </c>
      <c r="P130" s="96">
        <f>IFERROR(__xludf.DUMMYFUNCTION("""COMPUTED_VALUE"""),0.0)</f>
        <v>0</v>
      </c>
      <c r="Q130" s="129">
        <f>IFERROR(__xludf.DUMMYFUNCTION("""COMPUTED_VALUE"""),0.0)</f>
        <v>0</v>
      </c>
      <c r="R130" s="99"/>
    </row>
    <row r="131">
      <c r="A131" s="96">
        <f>IFERROR(__xludf.DUMMYFUNCTION("""COMPUTED_VALUE"""),9.0)</f>
        <v>9</v>
      </c>
      <c r="B131" s="98">
        <f>IFERROR(__xludf.DUMMYFUNCTION("""COMPUTED_VALUE"""),44040.0)</f>
        <v>44040</v>
      </c>
      <c r="C131" s="96" t="str">
        <f>IFERROR(__xludf.DUMMYFUNCTION("""COMPUTED_VALUE"""),"LIVINUS")</f>
        <v>LIVINUS</v>
      </c>
      <c r="D131" s="96" t="str">
        <f>IFERROR(__xludf.DUMMYFUNCTION("""COMPUTED_VALUE"""),"LIVINUS9")</f>
        <v>LIVINUS9</v>
      </c>
      <c r="E131" s="96"/>
      <c r="F131" s="96"/>
      <c r="G131" s="96"/>
      <c r="H131" s="96"/>
      <c r="I131" s="96"/>
      <c r="J131" s="96"/>
      <c r="K131" s="96">
        <f>IFERROR(__xludf.DUMMYFUNCTION("""COMPUTED_VALUE"""),75000.0)</f>
        <v>75000</v>
      </c>
      <c r="L131" s="99">
        <f>IFERROR(__xludf.DUMMYFUNCTION("""COMPUTED_VALUE"""),75000.0)</f>
        <v>75000</v>
      </c>
      <c r="M131" s="96"/>
      <c r="N131" s="96">
        <f>IFERROR(__xludf.DUMMYFUNCTION("""COMPUTED_VALUE"""),0.0)</f>
        <v>0</v>
      </c>
      <c r="O131" s="96">
        <f>IFERROR(__xludf.DUMMYFUNCTION("""COMPUTED_VALUE"""),0.0)</f>
        <v>0</v>
      </c>
      <c r="P131" s="96">
        <f>IFERROR(__xludf.DUMMYFUNCTION("""COMPUTED_VALUE"""),0.0)</f>
        <v>0</v>
      </c>
      <c r="Q131" s="129">
        <f>IFERROR(__xludf.DUMMYFUNCTION("""COMPUTED_VALUE"""),0.0)</f>
        <v>0</v>
      </c>
      <c r="R131" s="99"/>
    </row>
    <row r="132">
      <c r="A132" s="96">
        <f>IFERROR(__xludf.DUMMYFUNCTION("""COMPUTED_VALUE"""),5.0)</f>
        <v>5</v>
      </c>
      <c r="B132" s="98">
        <f>IFERROR(__xludf.DUMMYFUNCTION("""COMPUTED_VALUE"""),44041.0)</f>
        <v>44041</v>
      </c>
      <c r="C132" s="96" t="str">
        <f>IFERROR(__xludf.DUMMYFUNCTION("""COMPUTED_VALUE"""),"EDWARD OKO")</f>
        <v>EDWARD OKO</v>
      </c>
      <c r="D132" s="96" t="str">
        <f>IFERROR(__xludf.DUMMYFUNCTION("""COMPUTED_VALUE"""),"EDWARD OKO5")</f>
        <v>EDWARD OKO5</v>
      </c>
      <c r="E132" s="96"/>
      <c r="F132" s="96"/>
      <c r="G132" s="96"/>
      <c r="H132" s="96"/>
      <c r="I132" s="96"/>
      <c r="J132" s="96"/>
      <c r="K132" s="96">
        <f>IFERROR(__xludf.DUMMYFUNCTION("""COMPUTED_VALUE"""),700000.0)</f>
        <v>700000</v>
      </c>
      <c r="L132" s="99">
        <f>IFERROR(__xludf.DUMMYFUNCTION("""COMPUTED_VALUE"""),700000.0)</f>
        <v>700000</v>
      </c>
      <c r="M132" s="96"/>
      <c r="N132" s="96">
        <f>IFERROR(__xludf.DUMMYFUNCTION("""COMPUTED_VALUE"""),0.0)</f>
        <v>0</v>
      </c>
      <c r="O132" s="96">
        <f>IFERROR(__xludf.DUMMYFUNCTION("""COMPUTED_VALUE"""),0.0)</f>
        <v>0</v>
      </c>
      <c r="P132" s="96">
        <f>IFERROR(__xludf.DUMMYFUNCTION("""COMPUTED_VALUE"""),0.0)</f>
        <v>0</v>
      </c>
      <c r="Q132" s="129">
        <f>IFERROR(__xludf.DUMMYFUNCTION("""COMPUTED_VALUE"""),0.0)</f>
        <v>0</v>
      </c>
      <c r="R132" s="99"/>
    </row>
    <row r="133">
      <c r="A133" s="96">
        <f>IFERROR(__xludf.DUMMYFUNCTION("""COMPUTED_VALUE"""),1.0)</f>
        <v>1</v>
      </c>
      <c r="B133" s="98">
        <f>IFERROR(__xludf.DUMMYFUNCTION("""COMPUTED_VALUE"""),44041.0)</f>
        <v>44041</v>
      </c>
      <c r="C133" s="96" t="str">
        <f>IFERROR(__xludf.DUMMYFUNCTION("""COMPUTED_VALUE"""),"CHINWE CHIDI")</f>
        <v>CHINWE CHIDI</v>
      </c>
      <c r="D133" s="96" t="str">
        <f>IFERROR(__xludf.DUMMYFUNCTION("""COMPUTED_VALUE"""),"CHINWE CHIDI1")</f>
        <v>CHINWE CHIDI1</v>
      </c>
      <c r="E133" s="96"/>
      <c r="F133" s="96"/>
      <c r="G133" s="96"/>
      <c r="H133" s="96"/>
      <c r="I133" s="96"/>
      <c r="J133" s="96"/>
      <c r="K133" s="96">
        <f>IFERROR(__xludf.DUMMYFUNCTION("""COMPUTED_VALUE"""),100000.0)</f>
        <v>100000</v>
      </c>
      <c r="L133" s="99">
        <f>IFERROR(__xludf.DUMMYFUNCTION("""COMPUTED_VALUE"""),100000.0)</f>
        <v>100000</v>
      </c>
      <c r="M133" s="96"/>
      <c r="N133" s="96">
        <f>IFERROR(__xludf.DUMMYFUNCTION("""COMPUTED_VALUE"""),0.0)</f>
        <v>0</v>
      </c>
      <c r="O133" s="96">
        <f>IFERROR(__xludf.DUMMYFUNCTION("""COMPUTED_VALUE"""),0.0)</f>
        <v>0</v>
      </c>
      <c r="P133" s="96">
        <f>IFERROR(__xludf.DUMMYFUNCTION("""COMPUTED_VALUE"""),0.0)</f>
        <v>0</v>
      </c>
      <c r="Q133" s="129">
        <f>IFERROR(__xludf.DUMMYFUNCTION("""COMPUTED_VALUE"""),0.0)</f>
        <v>0</v>
      </c>
      <c r="R133" s="99"/>
    </row>
    <row r="134">
      <c r="A134" s="96">
        <f>IFERROR(__xludf.DUMMYFUNCTION("""COMPUTED_VALUE"""),4.0)</f>
        <v>4</v>
      </c>
      <c r="B134" s="98">
        <f>IFERROR(__xludf.DUMMYFUNCTION("""COMPUTED_VALUE"""),44041.0)</f>
        <v>44041</v>
      </c>
      <c r="C134" s="96" t="str">
        <f>IFERROR(__xludf.DUMMYFUNCTION("""COMPUTED_VALUE"""),"JAMES AKAN")</f>
        <v>JAMES AKAN</v>
      </c>
      <c r="D134" s="96" t="str">
        <f>IFERROR(__xludf.DUMMYFUNCTION("""COMPUTED_VALUE"""),"JAMES AKAN4")</f>
        <v>JAMES AKAN4</v>
      </c>
      <c r="E134" s="96"/>
      <c r="F134" s="96"/>
      <c r="G134" s="96"/>
      <c r="H134" s="96"/>
      <c r="I134" s="96"/>
      <c r="J134" s="96"/>
      <c r="K134" s="96">
        <f>IFERROR(__xludf.DUMMYFUNCTION("""COMPUTED_VALUE"""),359600.0)</f>
        <v>359600</v>
      </c>
      <c r="L134" s="99">
        <f>IFERROR(__xludf.DUMMYFUNCTION("""COMPUTED_VALUE"""),359600.0)</f>
        <v>359600</v>
      </c>
      <c r="M134" s="96"/>
      <c r="N134" s="96">
        <f>IFERROR(__xludf.DUMMYFUNCTION("""COMPUTED_VALUE"""),0.0)</f>
        <v>0</v>
      </c>
      <c r="O134" s="96">
        <f>IFERROR(__xludf.DUMMYFUNCTION("""COMPUTED_VALUE"""),0.0)</f>
        <v>0</v>
      </c>
      <c r="P134" s="96">
        <f>IFERROR(__xludf.DUMMYFUNCTION("""COMPUTED_VALUE"""),0.0)</f>
        <v>0</v>
      </c>
      <c r="Q134" s="129">
        <f>IFERROR(__xludf.DUMMYFUNCTION("""COMPUTED_VALUE"""),0.0)</f>
        <v>0</v>
      </c>
      <c r="R134" s="99"/>
    </row>
    <row r="135">
      <c r="A135" s="96">
        <f>IFERROR(__xludf.DUMMYFUNCTION("""COMPUTED_VALUE"""),6.0)</f>
        <v>6</v>
      </c>
      <c r="B135" s="98">
        <f>IFERROR(__xludf.DUMMYFUNCTION("""COMPUTED_VALUE"""),44041.0)</f>
        <v>44041</v>
      </c>
      <c r="C135" s="96" t="str">
        <f>IFERROR(__xludf.DUMMYFUNCTION("""COMPUTED_VALUE"""),"NDOMA BODE I.D")</f>
        <v>NDOMA BODE I.D</v>
      </c>
      <c r="D135" s="96" t="str">
        <f>IFERROR(__xludf.DUMMYFUNCTION("""COMPUTED_VALUE"""),"NDOMA BODE I.D6")</f>
        <v>NDOMA BODE I.D6</v>
      </c>
      <c r="E135" s="96"/>
      <c r="F135" s="96"/>
      <c r="G135" s="96"/>
      <c r="H135" s="96"/>
      <c r="I135" s="96"/>
      <c r="J135" s="96"/>
      <c r="K135" s="96">
        <f>IFERROR(__xludf.DUMMYFUNCTION("""COMPUTED_VALUE"""),500000.0)</f>
        <v>500000</v>
      </c>
      <c r="L135" s="99">
        <f>IFERROR(__xludf.DUMMYFUNCTION("""COMPUTED_VALUE"""),500000.0)</f>
        <v>500000</v>
      </c>
      <c r="M135" s="96"/>
      <c r="N135" s="96">
        <f>IFERROR(__xludf.DUMMYFUNCTION("""COMPUTED_VALUE"""),0.0)</f>
        <v>0</v>
      </c>
      <c r="O135" s="96">
        <f>IFERROR(__xludf.DUMMYFUNCTION("""COMPUTED_VALUE"""),0.0)</f>
        <v>0</v>
      </c>
      <c r="P135" s="96">
        <f>IFERROR(__xludf.DUMMYFUNCTION("""COMPUTED_VALUE"""),0.0)</f>
        <v>0</v>
      </c>
      <c r="Q135" s="129">
        <f>IFERROR(__xludf.DUMMYFUNCTION("""COMPUTED_VALUE"""),0.0)</f>
        <v>0</v>
      </c>
      <c r="R135" s="99"/>
    </row>
    <row r="136">
      <c r="A136" s="96">
        <f>IFERROR(__xludf.DUMMYFUNCTION("""COMPUTED_VALUE"""),1.0)</f>
        <v>1</v>
      </c>
      <c r="B136" s="98">
        <f>IFERROR(__xludf.DUMMYFUNCTION("""COMPUTED_VALUE"""),44041.0)</f>
        <v>44041</v>
      </c>
      <c r="C136" s="96" t="str">
        <f>IFERROR(__xludf.DUMMYFUNCTION("""COMPUTED_VALUE"""),"EUGENE")</f>
        <v>EUGENE</v>
      </c>
      <c r="D136" s="96" t="str">
        <f>IFERROR(__xludf.DUMMYFUNCTION("""COMPUTED_VALUE"""),"EUGENE1")</f>
        <v>EUGENE1</v>
      </c>
      <c r="E136" s="96"/>
      <c r="F136" s="96"/>
      <c r="G136" s="96"/>
      <c r="H136" s="96"/>
      <c r="I136" s="96"/>
      <c r="J136" s="96"/>
      <c r="K136" s="96">
        <f>IFERROR(__xludf.DUMMYFUNCTION("""COMPUTED_VALUE"""),500000.0)</f>
        <v>500000</v>
      </c>
      <c r="L136" s="99">
        <f>IFERROR(__xludf.DUMMYFUNCTION("""COMPUTED_VALUE"""),500000.0)</f>
        <v>500000</v>
      </c>
      <c r="M136" s="96"/>
      <c r="N136" s="96">
        <f>IFERROR(__xludf.DUMMYFUNCTION("""COMPUTED_VALUE"""),0.0)</f>
        <v>0</v>
      </c>
      <c r="O136" s="96">
        <f>IFERROR(__xludf.DUMMYFUNCTION("""COMPUTED_VALUE"""),0.0)</f>
        <v>0</v>
      </c>
      <c r="P136" s="96">
        <f>IFERROR(__xludf.DUMMYFUNCTION("""COMPUTED_VALUE"""),0.0)</f>
        <v>0</v>
      </c>
      <c r="Q136" s="129">
        <f>IFERROR(__xludf.DUMMYFUNCTION("""COMPUTED_VALUE"""),0.0)</f>
        <v>0</v>
      </c>
      <c r="R136" s="99"/>
    </row>
    <row r="137">
      <c r="A137" s="96">
        <f>IFERROR(__xludf.DUMMYFUNCTION("""COMPUTED_VALUE"""),8.0)</f>
        <v>8</v>
      </c>
      <c r="B137" s="98">
        <f>IFERROR(__xludf.DUMMYFUNCTION("""COMPUTED_VALUE"""),44041.0)</f>
        <v>44041</v>
      </c>
      <c r="C137" s="96" t="str">
        <f>IFERROR(__xludf.DUMMYFUNCTION("""COMPUTED_VALUE"""),"RECTOR W.")</f>
        <v>RECTOR W.</v>
      </c>
      <c r="D137" s="96" t="str">
        <f>IFERROR(__xludf.DUMMYFUNCTION("""COMPUTED_VALUE"""),"RECTOR W.8")</f>
        <v>RECTOR W.8</v>
      </c>
      <c r="E137" s="96"/>
      <c r="F137" s="96"/>
      <c r="G137" s="96"/>
      <c r="H137" s="96"/>
      <c r="I137" s="96"/>
      <c r="J137" s="96"/>
      <c r="K137" s="96">
        <f>IFERROR(__xludf.DUMMYFUNCTION("""COMPUTED_VALUE"""),800000.0)</f>
        <v>800000</v>
      </c>
      <c r="L137" s="99">
        <f>IFERROR(__xludf.DUMMYFUNCTION("""COMPUTED_VALUE"""),800000.0)</f>
        <v>800000</v>
      </c>
      <c r="M137" s="96"/>
      <c r="N137" s="96">
        <f>IFERROR(__xludf.DUMMYFUNCTION("""COMPUTED_VALUE"""),0.0)</f>
        <v>0</v>
      </c>
      <c r="O137" s="96">
        <f>IFERROR(__xludf.DUMMYFUNCTION("""COMPUTED_VALUE"""),0.0)</f>
        <v>0</v>
      </c>
      <c r="P137" s="96">
        <f>IFERROR(__xludf.DUMMYFUNCTION("""COMPUTED_VALUE"""),0.0)</f>
        <v>0</v>
      </c>
      <c r="Q137" s="129">
        <f>IFERROR(__xludf.DUMMYFUNCTION("""COMPUTED_VALUE"""),0.0)</f>
        <v>0</v>
      </c>
      <c r="R137" s="99"/>
    </row>
    <row r="138">
      <c r="A138" s="96">
        <f>IFERROR(__xludf.DUMMYFUNCTION("""COMPUTED_VALUE"""),3.0)</f>
        <v>3</v>
      </c>
      <c r="B138" s="98">
        <f>IFERROR(__xludf.DUMMYFUNCTION("""COMPUTED_VALUE"""),44041.0)</f>
        <v>44041</v>
      </c>
      <c r="C138" s="96" t="str">
        <f>IFERROR(__xludf.DUMMYFUNCTION("""COMPUTED_VALUE"""),"REMMY BODES")</f>
        <v>REMMY BODES</v>
      </c>
      <c r="D138" s="96" t="str">
        <f>IFERROR(__xludf.DUMMYFUNCTION("""COMPUTED_VALUE"""),"REMMY BODES3")</f>
        <v>REMMY BODES3</v>
      </c>
      <c r="E138" s="96"/>
      <c r="F138" s="96"/>
      <c r="G138" s="96"/>
      <c r="H138" s="96"/>
      <c r="I138" s="96"/>
      <c r="J138" s="96"/>
      <c r="K138" s="96">
        <f>IFERROR(__xludf.DUMMYFUNCTION("""COMPUTED_VALUE"""),310000.0)</f>
        <v>310000</v>
      </c>
      <c r="L138" s="99">
        <f>IFERROR(__xludf.DUMMYFUNCTION("""COMPUTED_VALUE"""),310000.0)</f>
        <v>310000</v>
      </c>
      <c r="M138" s="96"/>
      <c r="N138" s="96">
        <f>IFERROR(__xludf.DUMMYFUNCTION("""COMPUTED_VALUE"""),0.0)</f>
        <v>0</v>
      </c>
      <c r="O138" s="96">
        <f>IFERROR(__xludf.DUMMYFUNCTION("""COMPUTED_VALUE"""),0.0)</f>
        <v>0</v>
      </c>
      <c r="P138" s="96">
        <f>IFERROR(__xludf.DUMMYFUNCTION("""COMPUTED_VALUE"""),0.0)</f>
        <v>0</v>
      </c>
      <c r="Q138" s="129">
        <f>IFERROR(__xludf.DUMMYFUNCTION("""COMPUTED_VALUE"""),0.0)</f>
        <v>0</v>
      </c>
      <c r="R138" s="99"/>
    </row>
    <row r="139">
      <c r="A139" s="96">
        <f>IFERROR(__xludf.DUMMYFUNCTION("""COMPUTED_VALUE"""),1.0)</f>
        <v>1</v>
      </c>
      <c r="B139" s="98">
        <f>IFERROR(__xludf.DUMMYFUNCTION("""COMPUTED_VALUE"""),44041.0)</f>
        <v>44041</v>
      </c>
      <c r="C139" s="96" t="str">
        <f>IFERROR(__xludf.DUMMYFUNCTION("""COMPUTED_VALUE"""),"ABANG. DUNLOP")</f>
        <v>ABANG. DUNLOP</v>
      </c>
      <c r="D139" s="96" t="str">
        <f>IFERROR(__xludf.DUMMYFUNCTION("""COMPUTED_VALUE"""),"ABANG. DUNLOP1")</f>
        <v>ABANG. DUNLOP1</v>
      </c>
      <c r="E139" s="96"/>
      <c r="F139" s="96"/>
      <c r="G139" s="96"/>
      <c r="H139" s="96"/>
      <c r="I139" s="96"/>
      <c r="J139" s="96"/>
      <c r="K139" s="96">
        <f>IFERROR(__xludf.DUMMYFUNCTION("""COMPUTED_VALUE"""),800000.0)</f>
        <v>800000</v>
      </c>
      <c r="L139" s="99">
        <f>IFERROR(__xludf.DUMMYFUNCTION("""COMPUTED_VALUE"""),800000.0)</f>
        <v>800000</v>
      </c>
      <c r="M139" s="96"/>
      <c r="N139" s="96">
        <f>IFERROR(__xludf.DUMMYFUNCTION("""COMPUTED_VALUE"""),0.0)</f>
        <v>0</v>
      </c>
      <c r="O139" s="96">
        <f>IFERROR(__xludf.DUMMYFUNCTION("""COMPUTED_VALUE"""),0.0)</f>
        <v>0</v>
      </c>
      <c r="P139" s="96">
        <f>IFERROR(__xludf.DUMMYFUNCTION("""COMPUTED_VALUE"""),0.0)</f>
        <v>0</v>
      </c>
      <c r="Q139" s="129">
        <f>IFERROR(__xludf.DUMMYFUNCTION("""COMPUTED_VALUE"""),0.0)</f>
        <v>0</v>
      </c>
      <c r="R139" s="99"/>
    </row>
    <row r="140">
      <c r="A140" s="96">
        <f>IFERROR(__xludf.DUMMYFUNCTION("""COMPUTED_VALUE"""),2.0)</f>
        <v>2</v>
      </c>
      <c r="B140" s="98">
        <f>IFERROR(__xludf.DUMMYFUNCTION("""COMPUTED_VALUE"""),44041.0)</f>
        <v>44041</v>
      </c>
      <c r="C140" s="96" t="str">
        <f>IFERROR(__xludf.DUMMYFUNCTION("""COMPUTED_VALUE"""),"BOSURU  BOSURU")</f>
        <v>BOSURU  BOSURU</v>
      </c>
      <c r="D140" s="96" t="str">
        <f>IFERROR(__xludf.DUMMYFUNCTION("""COMPUTED_VALUE"""),"BOSURU  BOSURU2")</f>
        <v>BOSURU  BOSURU2</v>
      </c>
      <c r="E140" s="96"/>
      <c r="F140" s="96"/>
      <c r="G140" s="96"/>
      <c r="H140" s="96"/>
      <c r="I140" s="96"/>
      <c r="J140" s="96"/>
      <c r="K140" s="96">
        <f>IFERROR(__xludf.DUMMYFUNCTION("""COMPUTED_VALUE"""),200000.0)</f>
        <v>200000</v>
      </c>
      <c r="L140" s="99">
        <f>IFERROR(__xludf.DUMMYFUNCTION("""COMPUTED_VALUE"""),200000.0)</f>
        <v>200000</v>
      </c>
      <c r="M140" s="96"/>
      <c r="N140" s="96">
        <f>IFERROR(__xludf.DUMMYFUNCTION("""COMPUTED_VALUE"""),0.0)</f>
        <v>0</v>
      </c>
      <c r="O140" s="96">
        <f>IFERROR(__xludf.DUMMYFUNCTION("""COMPUTED_VALUE"""),0.0)</f>
        <v>0</v>
      </c>
      <c r="P140" s="96">
        <f>IFERROR(__xludf.DUMMYFUNCTION("""COMPUTED_VALUE"""),0.0)</f>
        <v>0</v>
      </c>
      <c r="Q140" s="129">
        <f>IFERROR(__xludf.DUMMYFUNCTION("""COMPUTED_VALUE"""),0.0)</f>
        <v>0</v>
      </c>
      <c r="R140" s="99"/>
    </row>
    <row r="141">
      <c r="A141" s="96">
        <f>IFERROR(__xludf.DUMMYFUNCTION("""COMPUTED_VALUE"""),5.0)</f>
        <v>5</v>
      </c>
      <c r="B141" s="98">
        <f>IFERROR(__xludf.DUMMYFUNCTION("""COMPUTED_VALUE"""),44041.0)</f>
        <v>44041</v>
      </c>
      <c r="C141" s="96" t="str">
        <f>IFERROR(__xludf.DUMMYFUNCTION("""COMPUTED_VALUE"""),"CORNWELL")</f>
        <v>CORNWELL</v>
      </c>
      <c r="D141" s="96" t="str">
        <f>IFERROR(__xludf.DUMMYFUNCTION("""COMPUTED_VALUE"""),"CORNWELL5")</f>
        <v>CORNWELL5</v>
      </c>
      <c r="E141" s="96"/>
      <c r="F141" s="96"/>
      <c r="G141" s="96"/>
      <c r="H141" s="96"/>
      <c r="I141" s="96"/>
      <c r="J141" s="96"/>
      <c r="K141" s="96">
        <f>IFERROR(__xludf.DUMMYFUNCTION("""COMPUTED_VALUE"""),400000.0)</f>
        <v>400000</v>
      </c>
      <c r="L141" s="99">
        <f>IFERROR(__xludf.DUMMYFUNCTION("""COMPUTED_VALUE"""),400000.0)</f>
        <v>400000</v>
      </c>
      <c r="M141" s="96"/>
      <c r="N141" s="96">
        <f>IFERROR(__xludf.DUMMYFUNCTION("""COMPUTED_VALUE"""),0.0)</f>
        <v>0</v>
      </c>
      <c r="O141" s="96">
        <f>IFERROR(__xludf.DUMMYFUNCTION("""COMPUTED_VALUE"""),0.0)</f>
        <v>0</v>
      </c>
      <c r="P141" s="96">
        <f>IFERROR(__xludf.DUMMYFUNCTION("""COMPUTED_VALUE"""),0.0)</f>
        <v>0</v>
      </c>
      <c r="Q141" s="129">
        <f>IFERROR(__xludf.DUMMYFUNCTION("""COMPUTED_VALUE"""),0.0)</f>
        <v>0</v>
      </c>
      <c r="R141" s="99"/>
    </row>
    <row r="142">
      <c r="A142" s="96">
        <f>IFERROR(__xludf.DUMMYFUNCTION("""COMPUTED_VALUE"""),6.0)</f>
        <v>6</v>
      </c>
      <c r="B142" s="98">
        <f>IFERROR(__xludf.DUMMYFUNCTION("""COMPUTED_VALUE"""),44042.0)</f>
        <v>44042</v>
      </c>
      <c r="C142" s="96" t="str">
        <f>IFERROR(__xludf.DUMMYFUNCTION("""COMPUTED_VALUE"""),"CORNWELL")</f>
        <v>CORNWELL</v>
      </c>
      <c r="D142" s="96" t="str">
        <f>IFERROR(__xludf.DUMMYFUNCTION("""COMPUTED_VALUE"""),"CORNWELL6")</f>
        <v>CORNWELL6</v>
      </c>
      <c r="E142" s="96"/>
      <c r="F142" s="96"/>
      <c r="G142" s="96"/>
      <c r="H142" s="96"/>
      <c r="I142" s="96"/>
      <c r="J142" s="96"/>
      <c r="K142" s="96">
        <f>IFERROR(__xludf.DUMMYFUNCTION("""COMPUTED_VALUE"""),400000.0)</f>
        <v>400000</v>
      </c>
      <c r="L142" s="99">
        <f>IFERROR(__xludf.DUMMYFUNCTION("""COMPUTED_VALUE"""),400000.0)</f>
        <v>400000</v>
      </c>
      <c r="M142" s="96"/>
      <c r="N142" s="96">
        <f>IFERROR(__xludf.DUMMYFUNCTION("""COMPUTED_VALUE"""),0.0)</f>
        <v>0</v>
      </c>
      <c r="O142" s="96">
        <f>IFERROR(__xludf.DUMMYFUNCTION("""COMPUTED_VALUE"""),0.0)</f>
        <v>0</v>
      </c>
      <c r="P142" s="96">
        <f>IFERROR(__xludf.DUMMYFUNCTION("""COMPUTED_VALUE"""),0.0)</f>
        <v>0</v>
      </c>
      <c r="Q142" s="129">
        <f>IFERROR(__xludf.DUMMYFUNCTION("""COMPUTED_VALUE"""),0.0)</f>
        <v>0</v>
      </c>
      <c r="R142" s="99"/>
    </row>
    <row r="143">
      <c r="A143" s="96">
        <f>IFERROR(__xludf.DUMMYFUNCTION("""COMPUTED_VALUE"""),6.0)</f>
        <v>6</v>
      </c>
      <c r="B143" s="98">
        <f>IFERROR(__xludf.DUMMYFUNCTION("""COMPUTED_VALUE"""),44047.0)</f>
        <v>44047</v>
      </c>
      <c r="C143" s="96" t="str">
        <f>IFERROR(__xludf.DUMMYFUNCTION("""COMPUTED_VALUE""")," MAXWELL AGRO")</f>
        <v> MAXWELL AGRO</v>
      </c>
      <c r="D143" s="96" t="str">
        <f>IFERROR(__xludf.DUMMYFUNCTION("""COMPUTED_VALUE""")," MAXWELL AGRO6")</f>
        <v> MAXWELL AGRO6</v>
      </c>
      <c r="E143" s="96"/>
      <c r="F143" s="96"/>
      <c r="G143" s="96"/>
      <c r="H143" s="96"/>
      <c r="I143" s="96"/>
      <c r="J143" s="96"/>
      <c r="K143" s="96">
        <f>IFERROR(__xludf.DUMMYFUNCTION("""COMPUTED_VALUE"""),500000.0)</f>
        <v>500000</v>
      </c>
      <c r="L143" s="99">
        <f>IFERROR(__xludf.DUMMYFUNCTION("""COMPUTED_VALUE"""),500000.0)</f>
        <v>500000</v>
      </c>
      <c r="M143" s="96"/>
      <c r="N143" s="96">
        <f>IFERROR(__xludf.DUMMYFUNCTION("""COMPUTED_VALUE"""),0.0)</f>
        <v>0</v>
      </c>
      <c r="O143" s="96">
        <f>IFERROR(__xludf.DUMMYFUNCTION("""COMPUTED_VALUE"""),0.0)</f>
        <v>0</v>
      </c>
      <c r="P143" s="96">
        <f>IFERROR(__xludf.DUMMYFUNCTION("""COMPUTED_VALUE"""),0.0)</f>
        <v>0</v>
      </c>
      <c r="Q143" s="129">
        <f>IFERROR(__xludf.DUMMYFUNCTION("""COMPUTED_VALUE"""),0.0)</f>
        <v>0</v>
      </c>
      <c r="R143" s="99"/>
    </row>
    <row r="144">
      <c r="A144" s="96">
        <f>IFERROR(__xludf.DUMMYFUNCTION("""COMPUTED_VALUE"""),9.0)</f>
        <v>9</v>
      </c>
      <c r="B144" s="98">
        <f>IFERROR(__xludf.DUMMYFUNCTION("""COMPUTED_VALUE"""),44047.0)</f>
        <v>44047</v>
      </c>
      <c r="C144" s="96" t="str">
        <f>IFERROR(__xludf.DUMMYFUNCTION("""COMPUTED_VALUE"""),"CONNECT")</f>
        <v>CONNECT</v>
      </c>
      <c r="D144" s="96" t="str">
        <f>IFERROR(__xludf.DUMMYFUNCTION("""COMPUTED_VALUE"""),"CONNECT9")</f>
        <v>CONNECT9</v>
      </c>
      <c r="E144" s="96"/>
      <c r="F144" s="96"/>
      <c r="G144" s="96"/>
      <c r="H144" s="96"/>
      <c r="I144" s="96"/>
      <c r="J144" s="96"/>
      <c r="K144" s="96">
        <f>IFERROR(__xludf.DUMMYFUNCTION("""COMPUTED_VALUE"""),1500000.0)</f>
        <v>1500000</v>
      </c>
      <c r="L144" s="99">
        <f>IFERROR(__xludf.DUMMYFUNCTION("""COMPUTED_VALUE"""),1500000.0)</f>
        <v>1500000</v>
      </c>
      <c r="M144" s="96"/>
      <c r="N144" s="96">
        <f>IFERROR(__xludf.DUMMYFUNCTION("""COMPUTED_VALUE"""),0.0)</f>
        <v>0</v>
      </c>
      <c r="O144" s="96">
        <f>IFERROR(__xludf.DUMMYFUNCTION("""COMPUTED_VALUE"""),0.0)</f>
        <v>0</v>
      </c>
      <c r="P144" s="96">
        <f>IFERROR(__xludf.DUMMYFUNCTION("""COMPUTED_VALUE"""),0.0)</f>
        <v>0</v>
      </c>
      <c r="Q144" s="129">
        <f>IFERROR(__xludf.DUMMYFUNCTION("""COMPUTED_VALUE"""),0.0)</f>
        <v>0</v>
      </c>
      <c r="R144" s="99"/>
    </row>
    <row r="145">
      <c r="A145" s="96">
        <f>IFERROR(__xludf.DUMMYFUNCTION("""COMPUTED_VALUE"""),2.0)</f>
        <v>2</v>
      </c>
      <c r="B145" s="98">
        <f>IFERROR(__xludf.DUMMYFUNCTION("""COMPUTED_VALUE"""),44047.0)</f>
        <v>44047</v>
      </c>
      <c r="C145" s="96" t="str">
        <f>IFERROR(__xludf.DUMMYFUNCTION("""COMPUTED_VALUE"""),"PRINNESS")</f>
        <v>PRINNESS</v>
      </c>
      <c r="D145" s="96" t="str">
        <f>IFERROR(__xludf.DUMMYFUNCTION("""COMPUTED_VALUE"""),"PRINNESS2")</f>
        <v>PRINNESS2</v>
      </c>
      <c r="E145" s="96"/>
      <c r="F145" s="96"/>
      <c r="G145" s="96"/>
      <c r="H145" s="96"/>
      <c r="I145" s="96"/>
      <c r="J145" s="96"/>
      <c r="K145" s="96">
        <f>IFERROR(__xludf.DUMMYFUNCTION("""COMPUTED_VALUE"""),300000.0)</f>
        <v>300000</v>
      </c>
      <c r="L145" s="99">
        <f>IFERROR(__xludf.DUMMYFUNCTION("""COMPUTED_VALUE"""),300000.0)</f>
        <v>300000</v>
      </c>
      <c r="M145" s="96"/>
      <c r="N145" s="96">
        <f>IFERROR(__xludf.DUMMYFUNCTION("""COMPUTED_VALUE"""),0.0)</f>
        <v>0</v>
      </c>
      <c r="O145" s="96">
        <f>IFERROR(__xludf.DUMMYFUNCTION("""COMPUTED_VALUE"""),0.0)</f>
        <v>0</v>
      </c>
      <c r="P145" s="96">
        <f>IFERROR(__xludf.DUMMYFUNCTION("""COMPUTED_VALUE"""),0.0)</f>
        <v>0</v>
      </c>
      <c r="Q145" s="129">
        <f>IFERROR(__xludf.DUMMYFUNCTION("""COMPUTED_VALUE"""),0.0)</f>
        <v>0</v>
      </c>
      <c r="R145" s="99"/>
    </row>
    <row r="146">
      <c r="A146" s="96">
        <f>IFERROR(__xludf.DUMMYFUNCTION("""COMPUTED_VALUE"""),10.0)</f>
        <v>10</v>
      </c>
      <c r="B146" s="98">
        <f>IFERROR(__xludf.DUMMYFUNCTION("""COMPUTED_VALUE"""),44047.0)</f>
        <v>44047</v>
      </c>
      <c r="C146" s="96" t="str">
        <f>IFERROR(__xludf.DUMMYFUNCTION("""COMPUTED_VALUE"""),"LIVINUS")</f>
        <v>LIVINUS</v>
      </c>
      <c r="D146" s="96" t="str">
        <f>IFERROR(__xludf.DUMMYFUNCTION("""COMPUTED_VALUE"""),"LIVINUS10")</f>
        <v>LIVINUS10</v>
      </c>
      <c r="E146" s="96"/>
      <c r="F146" s="96"/>
      <c r="G146" s="96"/>
      <c r="H146" s="96"/>
      <c r="I146" s="96"/>
      <c r="J146" s="96"/>
      <c r="K146" s="96">
        <f>IFERROR(__xludf.DUMMYFUNCTION("""COMPUTED_VALUE"""),720000.0)</f>
        <v>720000</v>
      </c>
      <c r="L146" s="99">
        <f>IFERROR(__xludf.DUMMYFUNCTION("""COMPUTED_VALUE"""),720000.0)</f>
        <v>720000</v>
      </c>
      <c r="M146" s="96"/>
      <c r="N146" s="96">
        <f>IFERROR(__xludf.DUMMYFUNCTION("""COMPUTED_VALUE"""),0.0)</f>
        <v>0</v>
      </c>
      <c r="O146" s="96">
        <f>IFERROR(__xludf.DUMMYFUNCTION("""COMPUTED_VALUE"""),0.0)</f>
        <v>0</v>
      </c>
      <c r="P146" s="96">
        <f>IFERROR(__xludf.DUMMYFUNCTION("""COMPUTED_VALUE"""),0.0)</f>
        <v>0</v>
      </c>
      <c r="Q146" s="129">
        <f>IFERROR(__xludf.DUMMYFUNCTION("""COMPUTED_VALUE"""),0.0)</f>
        <v>0</v>
      </c>
      <c r="R146" s="99"/>
    </row>
    <row r="147">
      <c r="A147" s="96">
        <f>IFERROR(__xludf.DUMMYFUNCTION("""COMPUTED_VALUE"""),12.0)</f>
        <v>12</v>
      </c>
      <c r="B147" s="98">
        <f>IFERROR(__xludf.DUMMYFUNCTION("""COMPUTED_VALUE"""),44048.0)</f>
        <v>44048</v>
      </c>
      <c r="C147" s="96" t="str">
        <f>IFERROR(__xludf.DUMMYFUNCTION("""COMPUTED_VALUE"""),"LYDIA HNSON ")</f>
        <v>LYDIA HNSON </v>
      </c>
      <c r="D147" s="96" t="str">
        <f>IFERROR(__xludf.DUMMYFUNCTION("""COMPUTED_VALUE"""),"LYDIA HNSON 12")</f>
        <v>LYDIA HNSON 12</v>
      </c>
      <c r="E147" s="96"/>
      <c r="F147" s="96"/>
      <c r="G147" s="96"/>
      <c r="H147" s="96"/>
      <c r="I147" s="96"/>
      <c r="J147" s="96"/>
      <c r="K147" s="96">
        <f>IFERROR(__xludf.DUMMYFUNCTION("""COMPUTED_VALUE"""),500000.0)</f>
        <v>500000</v>
      </c>
      <c r="L147" s="99">
        <f>IFERROR(__xludf.DUMMYFUNCTION("""COMPUTED_VALUE"""),500000.0)</f>
        <v>500000</v>
      </c>
      <c r="M147" s="96"/>
      <c r="N147" s="96">
        <f>IFERROR(__xludf.DUMMYFUNCTION("""COMPUTED_VALUE"""),0.0)</f>
        <v>0</v>
      </c>
      <c r="O147" s="96">
        <f>IFERROR(__xludf.DUMMYFUNCTION("""COMPUTED_VALUE"""),0.0)</f>
        <v>0</v>
      </c>
      <c r="P147" s="96">
        <f>IFERROR(__xludf.DUMMYFUNCTION("""COMPUTED_VALUE"""),0.0)</f>
        <v>0</v>
      </c>
      <c r="Q147" s="129">
        <f>IFERROR(__xludf.DUMMYFUNCTION("""COMPUTED_VALUE"""),0.0)</f>
        <v>0</v>
      </c>
      <c r="R147" s="99"/>
    </row>
    <row r="148">
      <c r="A148" s="96">
        <f>IFERROR(__xludf.DUMMYFUNCTION("""COMPUTED_VALUE"""),2.0)</f>
        <v>2</v>
      </c>
      <c r="B148" s="98">
        <f>IFERROR(__xludf.DUMMYFUNCTION("""COMPUTED_VALUE"""),44048.0)</f>
        <v>44048</v>
      </c>
      <c r="C148" s="96" t="str">
        <f>IFERROR(__xludf.DUMMYFUNCTION("""COMPUTED_VALUE"""),"NDOMA PETER")</f>
        <v>NDOMA PETER</v>
      </c>
      <c r="D148" s="96" t="str">
        <f>IFERROR(__xludf.DUMMYFUNCTION("""COMPUTED_VALUE"""),"NDOMA PETER2")</f>
        <v>NDOMA PETER2</v>
      </c>
      <c r="E148" s="96"/>
      <c r="F148" s="96"/>
      <c r="G148" s="96"/>
      <c r="H148" s="96"/>
      <c r="I148" s="96"/>
      <c r="J148" s="96"/>
      <c r="K148" s="96">
        <f>IFERROR(__xludf.DUMMYFUNCTION("""COMPUTED_VALUE"""),200000.0)</f>
        <v>200000</v>
      </c>
      <c r="L148" s="99">
        <f>IFERROR(__xludf.DUMMYFUNCTION("""COMPUTED_VALUE"""),200000.0)</f>
        <v>200000</v>
      </c>
      <c r="M148" s="96"/>
      <c r="N148" s="96">
        <f>IFERROR(__xludf.DUMMYFUNCTION("""COMPUTED_VALUE"""),0.0)</f>
        <v>0</v>
      </c>
      <c r="O148" s="96">
        <f>IFERROR(__xludf.DUMMYFUNCTION("""COMPUTED_VALUE"""),0.0)</f>
        <v>0</v>
      </c>
      <c r="P148" s="96">
        <f>IFERROR(__xludf.DUMMYFUNCTION("""COMPUTED_VALUE"""),0.0)</f>
        <v>0</v>
      </c>
      <c r="Q148" s="129">
        <f>IFERROR(__xludf.DUMMYFUNCTION("""COMPUTED_VALUE"""),0.0)</f>
        <v>0</v>
      </c>
      <c r="R148" s="99"/>
    </row>
    <row r="149">
      <c r="A149" s="96">
        <f>IFERROR(__xludf.DUMMYFUNCTION("""COMPUTED_VALUE"""),2.0)</f>
        <v>2</v>
      </c>
      <c r="B149" s="98">
        <f>IFERROR(__xludf.DUMMYFUNCTION("""COMPUTED_VALUE"""),44048.0)</f>
        <v>44048</v>
      </c>
      <c r="C149" s="96" t="str">
        <f>IFERROR(__xludf.DUMMYFUNCTION("""COMPUTED_VALUE"""),"ALFRED ALABI")</f>
        <v>ALFRED ALABI</v>
      </c>
      <c r="D149" s="96" t="str">
        <f>IFERROR(__xludf.DUMMYFUNCTION("""COMPUTED_VALUE"""),"ALFRED ALABI2")</f>
        <v>ALFRED ALABI2</v>
      </c>
      <c r="E149" s="96"/>
      <c r="F149" s="96"/>
      <c r="G149" s="96"/>
      <c r="H149" s="96"/>
      <c r="I149" s="96"/>
      <c r="J149" s="96"/>
      <c r="K149" s="96">
        <f>IFERROR(__xludf.DUMMYFUNCTION("""COMPUTED_VALUE"""),5000.0)</f>
        <v>5000</v>
      </c>
      <c r="L149" s="99">
        <f>IFERROR(__xludf.DUMMYFUNCTION("""COMPUTED_VALUE"""),5000.0)</f>
        <v>5000</v>
      </c>
      <c r="M149" s="96"/>
      <c r="N149" s="96">
        <f>IFERROR(__xludf.DUMMYFUNCTION("""COMPUTED_VALUE"""),0.0)</f>
        <v>0</v>
      </c>
      <c r="O149" s="96">
        <f>IFERROR(__xludf.DUMMYFUNCTION("""COMPUTED_VALUE"""),0.0)</f>
        <v>0</v>
      </c>
      <c r="P149" s="96">
        <f>IFERROR(__xludf.DUMMYFUNCTION("""COMPUTED_VALUE"""),0.0)</f>
        <v>0</v>
      </c>
      <c r="Q149" s="129">
        <f>IFERROR(__xludf.DUMMYFUNCTION("""COMPUTED_VALUE"""),0.0)</f>
        <v>0</v>
      </c>
      <c r="R149" s="99"/>
    </row>
    <row r="150">
      <c r="A150" s="96">
        <f>IFERROR(__xludf.DUMMYFUNCTION("""COMPUTED_VALUE"""),10.0)</f>
        <v>10</v>
      </c>
      <c r="B150" s="98">
        <f>IFERROR(__xludf.DUMMYFUNCTION("""COMPUTED_VALUE"""),44047.0)</f>
        <v>44047</v>
      </c>
      <c r="C150" s="96" t="str">
        <f>IFERROR(__xludf.DUMMYFUNCTION("""COMPUTED_VALUE"""),"CONNECT")</f>
        <v>CONNECT</v>
      </c>
      <c r="D150" s="96" t="str">
        <f>IFERROR(__xludf.DUMMYFUNCTION("""COMPUTED_VALUE"""),"CONNECT10")</f>
        <v>CONNECT10</v>
      </c>
      <c r="E150" s="96">
        <f>IFERROR(__xludf.DUMMYFUNCTION("""COMPUTED_VALUE"""),1698.0)</f>
        <v>1698</v>
      </c>
      <c r="F150" s="96">
        <f>IFERROR(__xludf.DUMMYFUNCTION("""COMPUTED_VALUE"""),208.0)</f>
        <v>208</v>
      </c>
      <c r="G150" s="96"/>
      <c r="H150" s="96">
        <f>IFERROR(__xludf.DUMMYFUNCTION("""COMPUTED_VALUE"""),26.0)</f>
        <v>26</v>
      </c>
      <c r="I150" s="96">
        <f>IFERROR(__xludf.DUMMYFUNCTION("""COMPUTED_VALUE"""),0.0)</f>
        <v>0</v>
      </c>
      <c r="J150" s="96">
        <f>IFERROR(__xludf.DUMMYFUNCTION("""COMPUTED_VALUE"""),800.0)</f>
        <v>800</v>
      </c>
      <c r="K150" s="96"/>
      <c r="L150" s="99">
        <f>IFERROR(__xludf.DUMMYFUNCTION("""COMPUTED_VALUE"""),-1337600.0)</f>
        <v>-1337600</v>
      </c>
      <c r="M150" s="96">
        <f>IFERROR(__xludf.DUMMYFUNCTION("""COMPUTED_VALUE"""),8.0)</f>
        <v>8</v>
      </c>
      <c r="N150" s="96">
        <f>IFERROR(__xludf.DUMMYFUNCTION("""COMPUTED_VALUE"""),0.0)</f>
        <v>0</v>
      </c>
      <c r="O150" s="96">
        <f>IFERROR(__xludf.DUMMYFUNCTION("""COMPUTED_VALUE"""),26.0)</f>
        <v>26</v>
      </c>
      <c r="P150" s="96">
        <f>IFERROR(__xludf.DUMMYFUNCTION("""COMPUTED_VALUE"""),34.0)</f>
        <v>34</v>
      </c>
      <c r="Q150" s="129">
        <f>IFERROR(__xludf.DUMMYFUNCTION("""COMPUTED_VALUE"""),1672.0)</f>
        <v>1672</v>
      </c>
      <c r="R150" s="99">
        <f>IFERROR(__xludf.DUMMYFUNCTION("""COMPUTED_VALUE"""),1337600.0)</f>
        <v>1337600</v>
      </c>
    </row>
    <row r="151">
      <c r="A151" s="96">
        <f>IFERROR(__xludf.DUMMYFUNCTION("""COMPUTED_VALUE"""),2.0)</f>
        <v>2</v>
      </c>
      <c r="B151" s="98">
        <f>IFERROR(__xludf.DUMMYFUNCTION("""COMPUTED_VALUE"""),44041.0)</f>
        <v>44041</v>
      </c>
      <c r="C151" s="96" t="str">
        <f>IFERROR(__xludf.DUMMYFUNCTION("""COMPUTED_VALUE"""),"OBINNA CHIELO")</f>
        <v>OBINNA CHIELO</v>
      </c>
      <c r="D151" s="96" t="str">
        <f>IFERROR(__xludf.DUMMYFUNCTION("""COMPUTED_VALUE"""),"OBINNA CHIELO2")</f>
        <v>OBINNA CHIELO2</v>
      </c>
      <c r="E151" s="96">
        <f>IFERROR(__xludf.DUMMYFUNCTION("""COMPUTED_VALUE"""),591.0)</f>
        <v>591</v>
      </c>
      <c r="F151" s="96">
        <f>IFERROR(__xludf.DUMMYFUNCTION("""COMPUTED_VALUE"""),72.0)</f>
        <v>72</v>
      </c>
      <c r="G151" s="96"/>
      <c r="H151" s="96">
        <f>IFERROR(__xludf.DUMMYFUNCTION("""COMPUTED_VALUE"""),9.0)</f>
        <v>9</v>
      </c>
      <c r="I151" s="96">
        <f>IFERROR(__xludf.DUMMYFUNCTION("""COMPUTED_VALUE"""),0.0)</f>
        <v>0</v>
      </c>
      <c r="J151" s="96">
        <f>IFERROR(__xludf.DUMMYFUNCTION("""COMPUTED_VALUE"""),761.6)</f>
        <v>761.6</v>
      </c>
      <c r="K151" s="96"/>
      <c r="L151" s="99">
        <f>IFERROR(__xludf.DUMMYFUNCTION("""COMPUTED_VALUE"""),-443250.0)</f>
        <v>-443250</v>
      </c>
      <c r="M151" s="96">
        <f>IFERROR(__xludf.DUMMYFUNCTION("""COMPUTED_VALUE"""),8.0)</f>
        <v>8</v>
      </c>
      <c r="N151" s="96">
        <f>IFERROR(__xludf.DUMMYFUNCTION("""COMPUTED_VALUE"""),0.0)</f>
        <v>0</v>
      </c>
      <c r="O151" s="96">
        <f>IFERROR(__xludf.DUMMYFUNCTION("""COMPUTED_VALUE"""),9.0)</f>
        <v>9</v>
      </c>
      <c r="P151" s="96">
        <f>IFERROR(__xludf.DUMMYFUNCTION("""COMPUTED_VALUE"""),14.0)</f>
        <v>14</v>
      </c>
      <c r="Q151" s="129">
        <f>IFERROR(__xludf.DUMMYFUNCTION("""COMPUTED_VALUE"""),582.0)</f>
        <v>582</v>
      </c>
      <c r="R151" s="99">
        <f>IFERROR(__xludf.DUMMYFUNCTION("""COMPUTED_VALUE"""),443250.0)</f>
        <v>443250</v>
      </c>
    </row>
    <row r="152">
      <c r="A152" s="96">
        <f>IFERROR(__xludf.DUMMYFUNCTION("""COMPUTED_VALUE"""),9.0)</f>
        <v>9</v>
      </c>
      <c r="B152" s="98">
        <f>IFERROR(__xludf.DUMMYFUNCTION("""COMPUTED_VALUE"""),44039.0)</f>
        <v>44039</v>
      </c>
      <c r="C152" s="96" t="str">
        <f>IFERROR(__xludf.DUMMYFUNCTION("""COMPUTED_VALUE"""),"RECTOR W.")</f>
        <v>RECTOR W.</v>
      </c>
      <c r="D152" s="96" t="str">
        <f>IFERROR(__xludf.DUMMYFUNCTION("""COMPUTED_VALUE"""),"RECTOR W.9")</f>
        <v>RECTOR W.9</v>
      </c>
      <c r="E152" s="96">
        <f>IFERROR(__xludf.DUMMYFUNCTION("""COMPUTED_VALUE"""),1515.0)</f>
        <v>1515</v>
      </c>
      <c r="F152" s="96">
        <f>IFERROR(__xludf.DUMMYFUNCTION("""COMPUTED_VALUE"""),176.0)</f>
        <v>176</v>
      </c>
      <c r="G152" s="96"/>
      <c r="H152" s="96">
        <f>IFERROR(__xludf.DUMMYFUNCTION("""COMPUTED_VALUE"""),22.0)</f>
        <v>22</v>
      </c>
      <c r="I152" s="96">
        <f>IFERROR(__xludf.DUMMYFUNCTION("""COMPUTED_VALUE"""),0.0)</f>
        <v>0</v>
      </c>
      <c r="J152" s="96">
        <f>IFERROR(__xludf.DUMMYFUNCTION("""COMPUTED_VALUE"""),780.0)</f>
        <v>780</v>
      </c>
      <c r="K152" s="96"/>
      <c r="L152" s="99">
        <f>IFERROR(__xludf.DUMMYFUNCTION("""COMPUTED_VALUE"""),-1164540.0)</f>
        <v>-1164540</v>
      </c>
      <c r="M152" s="96">
        <f>IFERROR(__xludf.DUMMYFUNCTION("""COMPUTED_VALUE"""),8.0)</f>
        <v>8</v>
      </c>
      <c r="N152" s="96">
        <f>IFERROR(__xludf.DUMMYFUNCTION("""COMPUTED_VALUE"""),0.0)</f>
        <v>0</v>
      </c>
      <c r="O152" s="96">
        <f>IFERROR(__xludf.DUMMYFUNCTION("""COMPUTED_VALUE"""),23.0)</f>
        <v>23</v>
      </c>
      <c r="P152" s="96">
        <f>IFERROR(__xludf.DUMMYFUNCTION("""COMPUTED_VALUE"""),44.0)</f>
        <v>44</v>
      </c>
      <c r="Q152" s="129">
        <f>IFERROR(__xludf.DUMMYFUNCTION("""COMPUTED_VALUE"""),1493.0)</f>
        <v>1493</v>
      </c>
      <c r="R152" s="99">
        <f>IFERROR(__xludf.DUMMYFUNCTION("""COMPUTED_VALUE"""),1164540.0)</f>
        <v>1164540</v>
      </c>
    </row>
    <row r="153">
      <c r="A153" s="96">
        <f>IFERROR(__xludf.DUMMYFUNCTION("""COMPUTED_VALUE"""),10.0)</f>
        <v>10</v>
      </c>
      <c r="B153" s="98">
        <f>IFERROR(__xludf.DUMMYFUNCTION("""COMPUTED_VALUE"""),44044.0)</f>
        <v>44044</v>
      </c>
      <c r="C153" s="96" t="str">
        <f>IFERROR(__xludf.DUMMYFUNCTION("""COMPUTED_VALUE"""),"RECTOR W.")</f>
        <v>RECTOR W.</v>
      </c>
      <c r="D153" s="96" t="str">
        <f>IFERROR(__xludf.DUMMYFUNCTION("""COMPUTED_VALUE"""),"RECTOR W.10")</f>
        <v>RECTOR W.10</v>
      </c>
      <c r="E153" s="96">
        <f>IFERROR(__xludf.DUMMYFUNCTION("""COMPUTED_VALUE"""),1283.0)</f>
        <v>1283</v>
      </c>
      <c r="F153" s="96">
        <f>IFERROR(__xludf.DUMMYFUNCTION("""COMPUTED_VALUE"""),136.0)</f>
        <v>136</v>
      </c>
      <c r="G153" s="96"/>
      <c r="H153" s="96">
        <f>IFERROR(__xludf.DUMMYFUNCTION("""COMPUTED_VALUE"""),17.0)</f>
        <v>17</v>
      </c>
      <c r="I153" s="96">
        <f>IFERROR(__xludf.DUMMYFUNCTION("""COMPUTED_VALUE"""),0.0)</f>
        <v>0</v>
      </c>
      <c r="J153" s="96">
        <f>IFERROR(__xludf.DUMMYFUNCTION("""COMPUTED_VALUE"""),780.0)</f>
        <v>780</v>
      </c>
      <c r="K153" s="96"/>
      <c r="L153" s="99">
        <f>IFERROR(__xludf.DUMMYFUNCTION("""COMPUTED_VALUE"""),-987480.0)</f>
        <v>-987480</v>
      </c>
      <c r="M153" s="96">
        <f>IFERROR(__xludf.DUMMYFUNCTION("""COMPUTED_VALUE"""),8.0)</f>
        <v>8</v>
      </c>
      <c r="N153" s="96">
        <f>IFERROR(__xludf.DUMMYFUNCTION("""COMPUTED_VALUE"""),0.0)</f>
        <v>0</v>
      </c>
      <c r="O153" s="96">
        <f>IFERROR(__xludf.DUMMYFUNCTION("""COMPUTED_VALUE"""),20.0)</f>
        <v>20</v>
      </c>
      <c r="P153" s="96">
        <f>IFERROR(__xludf.DUMMYFUNCTION("""COMPUTED_VALUE"""),5.0)</f>
        <v>5</v>
      </c>
      <c r="Q153" s="129">
        <f>IFERROR(__xludf.DUMMYFUNCTION("""COMPUTED_VALUE"""),1266.0)</f>
        <v>1266</v>
      </c>
      <c r="R153" s="99">
        <f>IFERROR(__xludf.DUMMYFUNCTION("""COMPUTED_VALUE"""),987480.0)</f>
        <v>987480</v>
      </c>
    </row>
    <row r="154">
      <c r="A154" s="96">
        <f>IFERROR(__xludf.DUMMYFUNCTION("""COMPUTED_VALUE"""),5.0)</f>
        <v>5</v>
      </c>
      <c r="B154" s="98">
        <f>IFERROR(__xludf.DUMMYFUNCTION("""COMPUTED_VALUE"""),44046.0)</f>
        <v>44046</v>
      </c>
      <c r="C154" s="96" t="str">
        <f>IFERROR(__xludf.DUMMYFUNCTION("""COMPUTED_VALUE"""),"ETUK EFFI")</f>
        <v>ETUK EFFI</v>
      </c>
      <c r="D154" s="96" t="str">
        <f>IFERROR(__xludf.DUMMYFUNCTION("""COMPUTED_VALUE"""),"ETUK EFFI5")</f>
        <v>ETUK EFFI5</v>
      </c>
      <c r="E154" s="96">
        <f>IFERROR(__xludf.DUMMYFUNCTION("""COMPUTED_VALUE"""),1388.0)</f>
        <v>1388</v>
      </c>
      <c r="F154" s="96">
        <f>IFERROR(__xludf.DUMMYFUNCTION("""COMPUTED_VALUE"""),176.0)</f>
        <v>176</v>
      </c>
      <c r="G154" s="96"/>
      <c r="H154" s="96">
        <f>IFERROR(__xludf.DUMMYFUNCTION("""COMPUTED_VALUE"""),22.0)</f>
        <v>22</v>
      </c>
      <c r="I154" s="96">
        <f>IFERROR(__xludf.DUMMYFUNCTION("""COMPUTED_VALUE"""),0.0)</f>
        <v>0</v>
      </c>
      <c r="J154" s="96">
        <f>IFERROR(__xludf.DUMMYFUNCTION("""COMPUTED_VALUE"""),790.0)</f>
        <v>790</v>
      </c>
      <c r="K154" s="96"/>
      <c r="L154" s="99">
        <f>IFERROR(__xludf.DUMMYFUNCTION("""COMPUTED_VALUE"""),-1079140.0)</f>
        <v>-1079140</v>
      </c>
      <c r="M154" s="96">
        <f>IFERROR(__xludf.DUMMYFUNCTION("""COMPUTED_VALUE"""),8.0)</f>
        <v>8</v>
      </c>
      <c r="N154" s="96">
        <f>IFERROR(__xludf.DUMMYFUNCTION("""COMPUTED_VALUE"""),0.0)</f>
        <v>0</v>
      </c>
      <c r="O154" s="96">
        <f>IFERROR(__xludf.DUMMYFUNCTION("""COMPUTED_VALUE"""),21.0)</f>
        <v>21</v>
      </c>
      <c r="P154" s="96">
        <f>IFERROR(__xludf.DUMMYFUNCTION("""COMPUTED_VALUE"""),43.0)</f>
        <v>43</v>
      </c>
      <c r="Q154" s="129">
        <f>IFERROR(__xludf.DUMMYFUNCTION("""COMPUTED_VALUE"""),1366.0)</f>
        <v>1366</v>
      </c>
      <c r="R154" s="99">
        <f>IFERROR(__xludf.DUMMYFUNCTION("""COMPUTED_VALUE"""),1079140.0)</f>
        <v>1079140</v>
      </c>
    </row>
    <row r="155">
      <c r="A155" s="96">
        <f>IFERROR(__xludf.DUMMYFUNCTION("""COMPUTED_VALUE"""),7.0)</f>
        <v>7</v>
      </c>
      <c r="B155" s="98">
        <f>IFERROR(__xludf.DUMMYFUNCTION("""COMPUTED_VALUE"""),44047.0)</f>
        <v>44047</v>
      </c>
      <c r="C155" s="96" t="str">
        <f>IFERROR(__xludf.DUMMYFUNCTION("""COMPUTED_VALUE""")," MAXWELL AGRO")</f>
        <v> MAXWELL AGRO</v>
      </c>
      <c r="D155" s="96" t="str">
        <f>IFERROR(__xludf.DUMMYFUNCTION("""COMPUTED_VALUE""")," MAXWELL AGRO7")</f>
        <v> MAXWELL AGRO7</v>
      </c>
      <c r="E155" s="96">
        <f>IFERROR(__xludf.DUMMYFUNCTION("""COMPUTED_VALUE"""),605.0)</f>
        <v>605</v>
      </c>
      <c r="F155" s="96">
        <f>IFERROR(__xludf.DUMMYFUNCTION("""COMPUTED_VALUE"""),80.0)</f>
        <v>80</v>
      </c>
      <c r="G155" s="96"/>
      <c r="H155" s="96">
        <f>IFERROR(__xludf.DUMMYFUNCTION("""COMPUTED_VALUE"""),10.0)</f>
        <v>10</v>
      </c>
      <c r="I155" s="96">
        <f>IFERROR(__xludf.DUMMYFUNCTION("""COMPUTED_VALUE"""),2.0)</f>
        <v>2</v>
      </c>
      <c r="J155" s="96">
        <f>IFERROR(__xludf.DUMMYFUNCTION("""COMPUTED_VALUE"""),761.31)</f>
        <v>761.31</v>
      </c>
      <c r="K155" s="96"/>
      <c r="L155" s="99">
        <f>IFERROR(__xludf.DUMMYFUNCTION("""COMPUTED_VALUE"""),-454500.0)</f>
        <v>-454500</v>
      </c>
      <c r="M155" s="96">
        <f>IFERROR(__xludf.DUMMYFUNCTION("""COMPUTED_VALUE"""),8.0)</f>
        <v>8</v>
      </c>
      <c r="N155" s="96">
        <f>IFERROR(__xludf.DUMMYFUNCTION("""COMPUTED_VALUE"""),0.0)</f>
        <v>0</v>
      </c>
      <c r="O155" s="96">
        <f>IFERROR(__xludf.DUMMYFUNCTION("""COMPUTED_VALUE"""),9.0)</f>
        <v>9</v>
      </c>
      <c r="P155" s="96">
        <f>IFERROR(__xludf.DUMMYFUNCTION("""COMPUTED_VALUE"""),30.0)</f>
        <v>30</v>
      </c>
      <c r="Q155" s="129">
        <f>IFERROR(__xludf.DUMMYFUNCTION("""COMPUTED_VALUE"""),597.0)</f>
        <v>597</v>
      </c>
      <c r="R155" s="99">
        <f>IFERROR(__xludf.DUMMYFUNCTION("""COMPUTED_VALUE"""),454500.0)</f>
        <v>454500</v>
      </c>
    </row>
    <row r="156">
      <c r="A156" s="96">
        <f>IFERROR(__xludf.DUMMYFUNCTION("""COMPUTED_VALUE"""),7.0)</f>
        <v>7</v>
      </c>
      <c r="B156" s="98">
        <f>IFERROR(__xludf.DUMMYFUNCTION("""COMPUTED_VALUE"""),44034.0)</f>
        <v>44034</v>
      </c>
      <c r="C156" s="96" t="str">
        <f>IFERROR(__xludf.DUMMYFUNCTION("""COMPUTED_VALUE"""),"NDOMA BODE I.D")</f>
        <v>NDOMA BODE I.D</v>
      </c>
      <c r="D156" s="96" t="str">
        <f>IFERROR(__xludf.DUMMYFUNCTION("""COMPUTED_VALUE"""),"NDOMA BODE I.D7")</f>
        <v>NDOMA BODE I.D7</v>
      </c>
      <c r="E156" s="96">
        <f>IFERROR(__xludf.DUMMYFUNCTION("""COMPUTED_VALUE"""),256.0)</f>
        <v>256</v>
      </c>
      <c r="F156" s="96">
        <f>IFERROR(__xludf.DUMMYFUNCTION("""COMPUTED_VALUE"""),32.0)</f>
        <v>32</v>
      </c>
      <c r="G156" s="96"/>
      <c r="H156" s="96">
        <f>IFERROR(__xludf.DUMMYFUNCTION("""COMPUTED_VALUE"""),4.0)</f>
        <v>4</v>
      </c>
      <c r="I156" s="96">
        <f>IFERROR(__xludf.DUMMYFUNCTION("""COMPUTED_VALUE"""),0.0)</f>
        <v>0</v>
      </c>
      <c r="J156" s="96">
        <f>IFERROR(__xludf.DUMMYFUNCTION("""COMPUTED_VALUE"""),780.0)</f>
        <v>780</v>
      </c>
      <c r="K156" s="96"/>
      <c r="L156" s="99">
        <f>IFERROR(__xludf.DUMMYFUNCTION("""COMPUTED_VALUE"""),-196560.0)</f>
        <v>-196560</v>
      </c>
      <c r="M156" s="96">
        <f>IFERROR(__xludf.DUMMYFUNCTION("""COMPUTED_VALUE"""),8.0)</f>
        <v>8</v>
      </c>
      <c r="N156" s="96">
        <f>IFERROR(__xludf.DUMMYFUNCTION("""COMPUTED_VALUE"""),0.0)</f>
        <v>0</v>
      </c>
      <c r="O156" s="96">
        <f>IFERROR(__xludf.DUMMYFUNCTION("""COMPUTED_VALUE"""),4.0)</f>
        <v>4</v>
      </c>
      <c r="P156" s="96">
        <f>IFERROR(__xludf.DUMMYFUNCTION("""COMPUTED_VALUE"""),0.0)</f>
        <v>0</v>
      </c>
      <c r="Q156" s="129">
        <f>IFERROR(__xludf.DUMMYFUNCTION("""COMPUTED_VALUE"""),252.0)</f>
        <v>252</v>
      </c>
      <c r="R156" s="99">
        <f>IFERROR(__xludf.DUMMYFUNCTION("""COMPUTED_VALUE"""),196560.0)</f>
        <v>196560</v>
      </c>
    </row>
    <row r="157">
      <c r="A157" s="96">
        <f>IFERROR(__xludf.DUMMYFUNCTION("""COMPUTED_VALUE"""),5.0)</f>
        <v>5</v>
      </c>
      <c r="B157" s="98">
        <f>IFERROR(__xludf.DUMMYFUNCTION("""COMPUTED_VALUE"""),44036.0)</f>
        <v>44036</v>
      </c>
      <c r="C157" s="96" t="str">
        <f>IFERROR(__xludf.DUMMYFUNCTION("""COMPUTED_VALUE"""),"JAMES AKAN")</f>
        <v>JAMES AKAN</v>
      </c>
      <c r="D157" s="96" t="str">
        <f>IFERROR(__xludf.DUMMYFUNCTION("""COMPUTED_VALUE"""),"JAMES AKAN5")</f>
        <v>JAMES AKAN5</v>
      </c>
      <c r="E157" s="96">
        <f>IFERROR(__xludf.DUMMYFUNCTION("""COMPUTED_VALUE"""),198.0)</f>
        <v>198</v>
      </c>
      <c r="F157" s="96">
        <f>IFERROR(__xludf.DUMMYFUNCTION("""COMPUTED_VALUE"""),24.0)</f>
        <v>24</v>
      </c>
      <c r="G157" s="96"/>
      <c r="H157" s="96">
        <f>IFERROR(__xludf.DUMMYFUNCTION("""COMPUTED_VALUE"""),3.0)</f>
        <v>3</v>
      </c>
      <c r="I157" s="96">
        <f>IFERROR(__xludf.DUMMYFUNCTION("""COMPUTED_VALUE"""),0.0)</f>
        <v>0</v>
      </c>
      <c r="J157" s="96">
        <f>IFERROR(__xludf.DUMMYFUNCTION("""COMPUTED_VALUE"""),780.0)</f>
        <v>780</v>
      </c>
      <c r="K157" s="96"/>
      <c r="L157" s="99">
        <f>IFERROR(__xludf.DUMMYFUNCTION("""COMPUTED_VALUE"""),-152100.0)</f>
        <v>-152100</v>
      </c>
      <c r="M157" s="96">
        <f>IFERROR(__xludf.DUMMYFUNCTION("""COMPUTED_VALUE"""),8.0)</f>
        <v>8</v>
      </c>
      <c r="N157" s="96">
        <f>IFERROR(__xludf.DUMMYFUNCTION("""COMPUTED_VALUE"""),0.0)</f>
        <v>0</v>
      </c>
      <c r="O157" s="96">
        <f>IFERROR(__xludf.DUMMYFUNCTION("""COMPUTED_VALUE"""),3.0)</f>
        <v>3</v>
      </c>
      <c r="P157" s="96">
        <f>IFERROR(__xludf.DUMMYFUNCTION("""COMPUTED_VALUE"""),6.0)</f>
        <v>6</v>
      </c>
      <c r="Q157" s="129">
        <f>IFERROR(__xludf.DUMMYFUNCTION("""COMPUTED_VALUE"""),195.0)</f>
        <v>195</v>
      </c>
      <c r="R157" s="99">
        <f>IFERROR(__xludf.DUMMYFUNCTION("""COMPUTED_VALUE"""),152100.0)</f>
        <v>152100</v>
      </c>
    </row>
    <row r="158">
      <c r="A158" s="96">
        <f>IFERROR(__xludf.DUMMYFUNCTION("""COMPUTED_VALUE"""),2.0)</f>
        <v>2</v>
      </c>
      <c r="B158" s="98">
        <f>IFERROR(__xludf.DUMMYFUNCTION("""COMPUTED_VALUE"""),44040.0)</f>
        <v>44040</v>
      </c>
      <c r="C158" s="96" t="str">
        <f>IFERROR(__xludf.DUMMYFUNCTION("""COMPUTED_VALUE"""),"MAXWELL AGRO OBI")</f>
        <v>MAXWELL AGRO OBI</v>
      </c>
      <c r="D158" s="96" t="str">
        <f>IFERROR(__xludf.DUMMYFUNCTION("""COMPUTED_VALUE"""),"MAXWELL AGRO OBI2")</f>
        <v>MAXWELL AGRO OBI2</v>
      </c>
      <c r="E158" s="96">
        <f>IFERROR(__xludf.DUMMYFUNCTION("""COMPUTED_VALUE"""),65.0)</f>
        <v>65</v>
      </c>
      <c r="F158" s="96">
        <f>IFERROR(__xludf.DUMMYFUNCTION("""COMPUTED_VALUE"""),8.0)</f>
        <v>8</v>
      </c>
      <c r="G158" s="96"/>
      <c r="H158" s="96">
        <f>IFERROR(__xludf.DUMMYFUNCTION("""COMPUTED_VALUE"""),1.0)</f>
        <v>1</v>
      </c>
      <c r="I158" s="96">
        <f>IFERROR(__xludf.DUMMYFUNCTION("""COMPUTED_VALUE"""),0.0)</f>
        <v>0</v>
      </c>
      <c r="J158" s="96">
        <f>IFERROR(__xludf.DUMMYFUNCTION("""COMPUTED_VALUE"""),780.0)</f>
        <v>780</v>
      </c>
      <c r="K158" s="96"/>
      <c r="L158" s="99">
        <f>IFERROR(__xludf.DUMMYFUNCTION("""COMPUTED_VALUE"""),-49920.0)</f>
        <v>-49920</v>
      </c>
      <c r="M158" s="96">
        <f>IFERROR(__xludf.DUMMYFUNCTION("""COMPUTED_VALUE"""),8.0)</f>
        <v>8</v>
      </c>
      <c r="N158" s="96">
        <f>IFERROR(__xludf.DUMMYFUNCTION("""COMPUTED_VALUE"""),0.0)</f>
        <v>0</v>
      </c>
      <c r="O158" s="96">
        <f>IFERROR(__xludf.DUMMYFUNCTION("""COMPUTED_VALUE"""),1.0)</f>
        <v>1</v>
      </c>
      <c r="P158" s="96">
        <f>IFERROR(__xludf.DUMMYFUNCTION("""COMPUTED_VALUE"""),0.0)</f>
        <v>0</v>
      </c>
      <c r="Q158" s="129">
        <f>IFERROR(__xludf.DUMMYFUNCTION("""COMPUTED_VALUE"""),64.0)</f>
        <v>64</v>
      </c>
      <c r="R158" s="99">
        <f>IFERROR(__xludf.DUMMYFUNCTION("""COMPUTED_VALUE"""),49920.0)</f>
        <v>49920</v>
      </c>
    </row>
    <row r="159">
      <c r="A159" s="96">
        <f>IFERROR(__xludf.DUMMYFUNCTION("""COMPUTED_VALUE"""),4.0)</f>
        <v>4</v>
      </c>
      <c r="B159" s="98">
        <f>IFERROR(__xludf.DUMMYFUNCTION("""COMPUTED_VALUE"""),44037.0)</f>
        <v>44037</v>
      </c>
      <c r="C159" s="96" t="str">
        <f>IFERROR(__xludf.DUMMYFUNCTION("""COMPUTED_VALUE"""),"REMMY BODES")</f>
        <v>REMMY BODES</v>
      </c>
      <c r="D159" s="96" t="str">
        <f>IFERROR(__xludf.DUMMYFUNCTION("""COMPUTED_VALUE"""),"REMMY BODES4")</f>
        <v>REMMY BODES4</v>
      </c>
      <c r="E159" s="96">
        <f>IFERROR(__xludf.DUMMYFUNCTION("""COMPUTED_VALUE"""),125.0)</f>
        <v>125</v>
      </c>
      <c r="F159" s="96">
        <f>IFERROR(__xludf.DUMMYFUNCTION("""COMPUTED_VALUE"""),16.0)</f>
        <v>16</v>
      </c>
      <c r="G159" s="96"/>
      <c r="H159" s="96">
        <f>IFERROR(__xludf.DUMMYFUNCTION("""COMPUTED_VALUE"""),2.0)</f>
        <v>2</v>
      </c>
      <c r="I159" s="96">
        <f>IFERROR(__xludf.DUMMYFUNCTION("""COMPUTED_VALUE"""),0.0)</f>
        <v>0</v>
      </c>
      <c r="J159" s="96">
        <f>IFERROR(__xludf.DUMMYFUNCTION("""COMPUTED_VALUE"""),780.0)</f>
        <v>780</v>
      </c>
      <c r="K159" s="96"/>
      <c r="L159" s="99">
        <f>IFERROR(__xludf.DUMMYFUNCTION("""COMPUTED_VALUE"""),-95940.0)</f>
        <v>-95940</v>
      </c>
      <c r="M159" s="96">
        <f>IFERROR(__xludf.DUMMYFUNCTION("""COMPUTED_VALUE"""),8.0)</f>
        <v>8</v>
      </c>
      <c r="N159" s="96">
        <f>IFERROR(__xludf.DUMMYFUNCTION("""COMPUTED_VALUE"""),0.0)</f>
        <v>0</v>
      </c>
      <c r="O159" s="96">
        <f>IFERROR(__xludf.DUMMYFUNCTION("""COMPUTED_VALUE"""),1.0)</f>
        <v>1</v>
      </c>
      <c r="P159" s="96">
        <f>IFERROR(__xludf.DUMMYFUNCTION("""COMPUTED_VALUE"""),60.0)</f>
        <v>60</v>
      </c>
      <c r="Q159" s="129">
        <f>IFERROR(__xludf.DUMMYFUNCTION("""COMPUTED_VALUE"""),123.0)</f>
        <v>123</v>
      </c>
      <c r="R159" s="99">
        <f>IFERROR(__xludf.DUMMYFUNCTION("""COMPUTED_VALUE"""),95940.0)</f>
        <v>95940</v>
      </c>
    </row>
    <row r="160">
      <c r="A160" s="96">
        <f>IFERROR(__xludf.DUMMYFUNCTION("""COMPUTED_VALUE"""),8.0)</f>
        <v>8</v>
      </c>
      <c r="B160" s="98">
        <f>IFERROR(__xludf.DUMMYFUNCTION("""COMPUTED_VALUE"""),44039.0)</f>
        <v>44039</v>
      </c>
      <c r="C160" s="96" t="str">
        <f>IFERROR(__xludf.DUMMYFUNCTION("""COMPUTED_VALUE"""),"NDOMA BODE I.D")</f>
        <v>NDOMA BODE I.D</v>
      </c>
      <c r="D160" s="96" t="str">
        <f>IFERROR(__xludf.DUMMYFUNCTION("""COMPUTED_VALUE"""),"NDOMA BODE I.D8")</f>
        <v>NDOMA BODE I.D8</v>
      </c>
      <c r="E160" s="96">
        <f>IFERROR(__xludf.DUMMYFUNCTION("""COMPUTED_VALUE"""),389.0)</f>
        <v>389</v>
      </c>
      <c r="F160" s="96">
        <f>IFERROR(__xludf.DUMMYFUNCTION("""COMPUTED_VALUE"""),41.0)</f>
        <v>41</v>
      </c>
      <c r="G160" s="96"/>
      <c r="H160" s="96">
        <f>IFERROR(__xludf.DUMMYFUNCTION("""COMPUTED_VALUE"""),5.0)</f>
        <v>5</v>
      </c>
      <c r="I160" s="96">
        <f>IFERROR(__xludf.DUMMYFUNCTION("""COMPUTED_VALUE"""),0.0)</f>
        <v>0</v>
      </c>
      <c r="J160" s="96">
        <f>IFERROR(__xludf.DUMMYFUNCTION("""COMPUTED_VALUE"""),780.0)</f>
        <v>780</v>
      </c>
      <c r="K160" s="96"/>
      <c r="L160" s="99">
        <f>IFERROR(__xludf.DUMMYFUNCTION("""COMPUTED_VALUE"""),-298740.0)</f>
        <v>-298740</v>
      </c>
      <c r="M160" s="96">
        <f>IFERROR(__xludf.DUMMYFUNCTION("""COMPUTED_VALUE"""),8.2)</f>
        <v>8.2</v>
      </c>
      <c r="N160" s="96">
        <f>IFERROR(__xludf.DUMMYFUNCTION("""COMPUTED_VALUE"""),1.0)</f>
        <v>1</v>
      </c>
      <c r="O160" s="96">
        <f>IFERROR(__xludf.DUMMYFUNCTION("""COMPUTED_VALUE"""),6.0)</f>
        <v>6</v>
      </c>
      <c r="P160" s="96">
        <f>IFERROR(__xludf.DUMMYFUNCTION("""COMPUTED_VALUE"""),4.0)</f>
        <v>4</v>
      </c>
      <c r="Q160" s="129">
        <f>IFERROR(__xludf.DUMMYFUNCTION("""COMPUTED_VALUE"""),383.0)</f>
        <v>383</v>
      </c>
      <c r="R160" s="99">
        <f>IFERROR(__xludf.DUMMYFUNCTION("""COMPUTED_VALUE"""),298740.0)</f>
        <v>298740</v>
      </c>
    </row>
    <row r="161">
      <c r="A161" s="96">
        <f>IFERROR(__xludf.DUMMYFUNCTION("""COMPUTED_VALUE"""),3.0)</f>
        <v>3</v>
      </c>
      <c r="B161" s="98">
        <f>IFERROR(__xludf.DUMMYFUNCTION("""COMPUTED_VALUE"""),44039.0)</f>
        <v>44039</v>
      </c>
      <c r="C161" s="96" t="str">
        <f>IFERROR(__xludf.DUMMYFUNCTION("""COMPUTED_VALUE"""),"BOSURU  BOSURU")</f>
        <v>BOSURU  BOSURU</v>
      </c>
      <c r="D161" s="96" t="str">
        <f>IFERROR(__xludf.DUMMYFUNCTION("""COMPUTED_VALUE"""),"BOSURU  BOSURU3")</f>
        <v>BOSURU  BOSURU3</v>
      </c>
      <c r="E161" s="96">
        <f>IFERROR(__xludf.DUMMYFUNCTION("""COMPUTED_VALUE"""),222.0)</f>
        <v>222</v>
      </c>
      <c r="F161" s="96">
        <f>IFERROR(__xludf.DUMMYFUNCTION("""COMPUTED_VALUE"""),24.0)</f>
        <v>24</v>
      </c>
      <c r="G161" s="96"/>
      <c r="H161" s="96">
        <f>IFERROR(__xludf.DUMMYFUNCTION("""COMPUTED_VALUE"""),3.0)</f>
        <v>3</v>
      </c>
      <c r="I161" s="96"/>
      <c r="J161" s="96">
        <f>IFERROR(__xludf.DUMMYFUNCTION("""COMPUTED_VALUE"""),780.0)</f>
        <v>780</v>
      </c>
      <c r="K161" s="96"/>
      <c r="L161" s="99">
        <f>IFERROR(__xludf.DUMMYFUNCTION("""COMPUTED_VALUE"""),-170820.0)</f>
        <v>-170820</v>
      </c>
      <c r="M161" s="96">
        <f>IFERROR(__xludf.DUMMYFUNCTION("""COMPUTED_VALUE"""),8.0)</f>
        <v>8</v>
      </c>
      <c r="N161" s="96">
        <f>IFERROR(__xludf.DUMMYFUNCTION("""COMPUTED_VALUE"""),0.0)</f>
        <v>0</v>
      </c>
      <c r="O161" s="96">
        <f>IFERROR(__xludf.DUMMYFUNCTION("""COMPUTED_VALUE"""),3.0)</f>
        <v>3</v>
      </c>
      <c r="P161" s="96">
        <f>IFERROR(__xludf.DUMMYFUNCTION("""COMPUTED_VALUE"""),30.0)</f>
        <v>30</v>
      </c>
      <c r="Q161" s="129">
        <f>IFERROR(__xludf.DUMMYFUNCTION("""COMPUTED_VALUE"""),219.0)</f>
        <v>219</v>
      </c>
      <c r="R161" s="99">
        <f>IFERROR(__xludf.DUMMYFUNCTION("""COMPUTED_VALUE"""),170820.0)</f>
        <v>170820</v>
      </c>
    </row>
    <row r="162">
      <c r="A162" s="96">
        <f>IFERROR(__xludf.DUMMYFUNCTION("""COMPUTED_VALUE"""),3.0)</f>
        <v>3</v>
      </c>
      <c r="B162" s="98">
        <f>IFERROR(__xludf.DUMMYFUNCTION("""COMPUTED_VALUE"""),44039.0)</f>
        <v>44039</v>
      </c>
      <c r="C162" s="96" t="str">
        <f>IFERROR(__xludf.DUMMYFUNCTION("""COMPUTED_VALUE"""),"PRINNESS")</f>
        <v>PRINNESS</v>
      </c>
      <c r="D162" s="96" t="str">
        <f>IFERROR(__xludf.DUMMYFUNCTION("""COMPUTED_VALUE"""),"PRINNESS3")</f>
        <v>PRINNESS3</v>
      </c>
      <c r="E162" s="96">
        <f>IFERROR(__xludf.DUMMYFUNCTION("""COMPUTED_VALUE"""),114.0)</f>
        <v>114</v>
      </c>
      <c r="F162" s="96">
        <f>IFERROR(__xludf.DUMMYFUNCTION("""COMPUTED_VALUE"""),21.0)</f>
        <v>21</v>
      </c>
      <c r="G162" s="96"/>
      <c r="H162" s="96">
        <f>IFERROR(__xludf.DUMMYFUNCTION("""COMPUTED_VALUE"""),2.0)</f>
        <v>2</v>
      </c>
      <c r="I162" s="96"/>
      <c r="J162" s="96">
        <f>IFERROR(__xludf.DUMMYFUNCTION("""COMPUTED_VALUE"""),780.0)</f>
        <v>780</v>
      </c>
      <c r="K162" s="96"/>
      <c r="L162" s="99">
        <f>IFERROR(__xludf.DUMMYFUNCTION("""COMPUTED_VALUE"""),-85020.0)</f>
        <v>-85020</v>
      </c>
      <c r="M162" s="96">
        <f>IFERROR(__xludf.DUMMYFUNCTION("""COMPUTED_VALUE"""),10.5)</f>
        <v>10.5</v>
      </c>
      <c r="N162" s="96">
        <f>IFERROR(__xludf.DUMMYFUNCTION("""COMPUTED_VALUE"""),3.0)</f>
        <v>3</v>
      </c>
      <c r="O162" s="96">
        <f>IFERROR(__xludf.DUMMYFUNCTION("""COMPUTED_VALUE"""),1.0)</f>
        <v>1</v>
      </c>
      <c r="P162" s="96">
        <f>IFERROR(__xludf.DUMMYFUNCTION("""COMPUTED_VALUE"""),46.0)</f>
        <v>46</v>
      </c>
      <c r="Q162" s="129">
        <f>IFERROR(__xludf.DUMMYFUNCTION("""COMPUTED_VALUE"""),109.0)</f>
        <v>109</v>
      </c>
      <c r="R162" s="99">
        <f>IFERROR(__xludf.DUMMYFUNCTION("""COMPUTED_VALUE"""),85020.0)</f>
        <v>85020</v>
      </c>
    </row>
    <row r="163">
      <c r="A163" s="96">
        <f>IFERROR(__xludf.DUMMYFUNCTION("""COMPUTED_VALUE"""),6.0)</f>
        <v>6</v>
      </c>
      <c r="B163" s="98">
        <f>IFERROR(__xludf.DUMMYFUNCTION("""COMPUTED_VALUE"""),44041.0)</f>
        <v>44041</v>
      </c>
      <c r="C163" s="96" t="str">
        <f>IFERROR(__xludf.DUMMYFUNCTION("""COMPUTED_VALUE"""),"JAMES AKAN")</f>
        <v>JAMES AKAN</v>
      </c>
      <c r="D163" s="96" t="str">
        <f>IFERROR(__xludf.DUMMYFUNCTION("""COMPUTED_VALUE"""),"JAMES AKAN6")</f>
        <v>JAMES AKAN6</v>
      </c>
      <c r="E163" s="96">
        <f>IFERROR(__xludf.DUMMYFUNCTION("""COMPUTED_VALUE"""),193.0)</f>
        <v>193</v>
      </c>
      <c r="F163" s="96">
        <f>IFERROR(__xludf.DUMMYFUNCTION("""COMPUTED_VALUE"""),24.0)</f>
        <v>24</v>
      </c>
      <c r="G163" s="96"/>
      <c r="H163" s="96">
        <f>IFERROR(__xludf.DUMMYFUNCTION("""COMPUTED_VALUE"""),3.0)</f>
        <v>3</v>
      </c>
      <c r="I163" s="96"/>
      <c r="J163" s="96">
        <f>IFERROR(__xludf.DUMMYFUNCTION("""COMPUTED_VALUE"""),780.0)</f>
        <v>780</v>
      </c>
      <c r="K163" s="96"/>
      <c r="L163" s="99">
        <f>IFERROR(__xludf.DUMMYFUNCTION("""COMPUTED_VALUE"""),-148200.0)</f>
        <v>-148200</v>
      </c>
      <c r="M163" s="96">
        <f>IFERROR(__xludf.DUMMYFUNCTION("""COMPUTED_VALUE"""),8.0)</f>
        <v>8</v>
      </c>
      <c r="N163" s="96">
        <f>IFERROR(__xludf.DUMMYFUNCTION("""COMPUTED_VALUE"""),0.0)</f>
        <v>0</v>
      </c>
      <c r="O163" s="96">
        <f>IFERROR(__xludf.DUMMYFUNCTION("""COMPUTED_VALUE"""),3.0)</f>
        <v>3</v>
      </c>
      <c r="P163" s="96">
        <f>IFERROR(__xludf.DUMMYFUNCTION("""COMPUTED_VALUE"""),0.0)</f>
        <v>0</v>
      </c>
      <c r="Q163" s="129">
        <f>IFERROR(__xludf.DUMMYFUNCTION("""COMPUTED_VALUE"""),190.0)</f>
        <v>190</v>
      </c>
      <c r="R163" s="99">
        <f>IFERROR(__xludf.DUMMYFUNCTION("""COMPUTED_VALUE"""),148200.0)</f>
        <v>148200</v>
      </c>
    </row>
    <row r="164">
      <c r="A164" s="96">
        <f>IFERROR(__xludf.DUMMYFUNCTION("""COMPUTED_VALUE"""),9.0)</f>
        <v>9</v>
      </c>
      <c r="B164" s="98">
        <f>IFERROR(__xludf.DUMMYFUNCTION("""COMPUTED_VALUE"""),44045.0)</f>
        <v>44045</v>
      </c>
      <c r="C164" s="96" t="str">
        <f>IFERROR(__xludf.DUMMYFUNCTION("""COMPUTED_VALUE"""),"NDOMA BODE I.D")</f>
        <v>NDOMA BODE I.D</v>
      </c>
      <c r="D164" s="96" t="str">
        <f>IFERROR(__xludf.DUMMYFUNCTION("""COMPUTED_VALUE"""),"NDOMA BODE I.D9")</f>
        <v>NDOMA BODE I.D9</v>
      </c>
      <c r="E164" s="96">
        <f>IFERROR(__xludf.DUMMYFUNCTION("""COMPUTED_VALUE"""),192.0)</f>
        <v>192</v>
      </c>
      <c r="F164" s="96">
        <f>IFERROR(__xludf.DUMMYFUNCTION("""COMPUTED_VALUE"""),24.0)</f>
        <v>24</v>
      </c>
      <c r="G164" s="96"/>
      <c r="H164" s="96">
        <f>IFERROR(__xludf.DUMMYFUNCTION("""COMPUTED_VALUE"""),3.0)</f>
        <v>3</v>
      </c>
      <c r="I164" s="96"/>
      <c r="J164" s="96">
        <f>IFERROR(__xludf.DUMMYFUNCTION("""COMPUTED_VALUE"""),780.0)</f>
        <v>780</v>
      </c>
      <c r="K164" s="96"/>
      <c r="L164" s="99">
        <f>IFERROR(__xludf.DUMMYFUNCTION("""COMPUTED_VALUE"""),-147420.0)</f>
        <v>-147420</v>
      </c>
      <c r="M164" s="96">
        <f>IFERROR(__xludf.DUMMYFUNCTION("""COMPUTED_VALUE"""),8.0)</f>
        <v>8</v>
      </c>
      <c r="N164" s="96">
        <f>IFERROR(__xludf.DUMMYFUNCTION("""COMPUTED_VALUE"""),0.0)</f>
        <v>0</v>
      </c>
      <c r="O164" s="96">
        <f>IFERROR(__xludf.DUMMYFUNCTION("""COMPUTED_VALUE"""),3.0)</f>
        <v>3</v>
      </c>
      <c r="P164" s="96">
        <f>IFERROR(__xludf.DUMMYFUNCTION("""COMPUTED_VALUE"""),0.0)</f>
        <v>0</v>
      </c>
      <c r="Q164" s="129">
        <f>IFERROR(__xludf.DUMMYFUNCTION("""COMPUTED_VALUE"""),189.0)</f>
        <v>189</v>
      </c>
      <c r="R164" s="99">
        <f>IFERROR(__xludf.DUMMYFUNCTION("""COMPUTED_VALUE"""),147420.0)</f>
        <v>147420</v>
      </c>
    </row>
    <row r="165">
      <c r="A165" s="96">
        <f>IFERROR(__xludf.DUMMYFUNCTION("""COMPUTED_VALUE"""),7.0)</f>
        <v>7</v>
      </c>
      <c r="B165" s="98">
        <f>IFERROR(__xludf.DUMMYFUNCTION("""COMPUTED_VALUE"""),44078.0)</f>
        <v>44078</v>
      </c>
      <c r="C165" s="96" t="str">
        <f>IFERROR(__xludf.DUMMYFUNCTION("""COMPUTED_VALUE"""),"JAMES AKAN")</f>
        <v>JAMES AKAN</v>
      </c>
      <c r="D165" s="96" t="str">
        <f>IFERROR(__xludf.DUMMYFUNCTION("""COMPUTED_VALUE"""),"JAMES AKAN7")</f>
        <v>JAMES AKAN7</v>
      </c>
      <c r="E165" s="96">
        <f>IFERROR(__xludf.DUMMYFUNCTION("""COMPUTED_VALUE"""),367.0)</f>
        <v>367</v>
      </c>
      <c r="F165" s="96">
        <f>IFERROR(__xludf.DUMMYFUNCTION("""COMPUTED_VALUE"""),43.0)</f>
        <v>43</v>
      </c>
      <c r="G165" s="96"/>
      <c r="H165" s="96">
        <f>IFERROR(__xludf.DUMMYFUNCTION("""COMPUTED_VALUE"""),5.0)</f>
        <v>5</v>
      </c>
      <c r="I165" s="96">
        <f>IFERROR(__xludf.DUMMYFUNCTION("""COMPUTED_VALUE"""),0.0)</f>
        <v>0</v>
      </c>
      <c r="J165" s="96">
        <f>IFERROR(__xludf.DUMMYFUNCTION("""COMPUTED_VALUE"""),780.0)</f>
        <v>780</v>
      </c>
      <c r="K165" s="96"/>
      <c r="L165" s="99">
        <f>IFERROR(__xludf.DUMMYFUNCTION("""COMPUTED_VALUE"""),-280800.0)</f>
        <v>-280800</v>
      </c>
      <c r="M165" s="96">
        <f>IFERROR(__xludf.DUMMYFUNCTION("""COMPUTED_VALUE"""),8.6)</f>
        <v>8.6</v>
      </c>
      <c r="N165" s="96">
        <f>IFERROR(__xludf.DUMMYFUNCTION("""COMPUTED_VALUE"""),2.0)</f>
        <v>2</v>
      </c>
      <c r="O165" s="96">
        <f>IFERROR(__xludf.DUMMYFUNCTION("""COMPUTED_VALUE"""),5.0)</f>
        <v>5</v>
      </c>
      <c r="P165" s="96">
        <f>IFERROR(__xludf.DUMMYFUNCTION("""COMPUTED_VALUE"""),45.0)</f>
        <v>45</v>
      </c>
      <c r="Q165" s="129">
        <f>IFERROR(__xludf.DUMMYFUNCTION("""COMPUTED_VALUE"""),360.0)</f>
        <v>360</v>
      </c>
      <c r="R165" s="99">
        <f>IFERROR(__xludf.DUMMYFUNCTION("""COMPUTED_VALUE"""),280800.0)</f>
        <v>280800</v>
      </c>
    </row>
    <row r="166">
      <c r="A166" s="96">
        <f>IFERROR(__xludf.DUMMYFUNCTION("""COMPUTED_VALUE"""),3.0)</f>
        <v>3</v>
      </c>
      <c r="B166" s="98">
        <f>IFERROR(__xludf.DUMMYFUNCTION("""COMPUTED_VALUE"""),44078.0)</f>
        <v>44078</v>
      </c>
      <c r="C166" s="96" t="str">
        <f>IFERROR(__xludf.DUMMYFUNCTION("""COMPUTED_VALUE"""),"MAXWELL AGRO OBI")</f>
        <v>MAXWELL AGRO OBI</v>
      </c>
      <c r="D166" s="96" t="str">
        <f>IFERROR(__xludf.DUMMYFUNCTION("""COMPUTED_VALUE"""),"MAXWELL AGRO OBI3")</f>
        <v>MAXWELL AGRO OBI3</v>
      </c>
      <c r="E166" s="96">
        <f>IFERROR(__xludf.DUMMYFUNCTION("""COMPUTED_VALUE"""),263.0)</f>
        <v>263</v>
      </c>
      <c r="F166" s="96">
        <f>IFERROR(__xludf.DUMMYFUNCTION("""COMPUTED_VALUE"""),43.5)</f>
        <v>43.5</v>
      </c>
      <c r="G166" s="96"/>
      <c r="H166" s="96">
        <f>IFERROR(__xludf.DUMMYFUNCTION("""COMPUTED_VALUE"""),4.0)</f>
        <v>4</v>
      </c>
      <c r="I166" s="96"/>
      <c r="J166" s="96">
        <f>IFERROR(__xludf.DUMMYFUNCTION("""COMPUTED_VALUE"""),780.0)</f>
        <v>780</v>
      </c>
      <c r="K166" s="96"/>
      <c r="L166" s="99">
        <f>IFERROR(__xludf.DUMMYFUNCTION("""COMPUTED_VALUE"""),-196560.0)</f>
        <v>-196560</v>
      </c>
      <c r="M166" s="96">
        <f>IFERROR(__xludf.DUMMYFUNCTION("""COMPUTED_VALUE"""),10.88)</f>
        <v>10.88</v>
      </c>
      <c r="N166" s="96">
        <f>IFERROR(__xludf.DUMMYFUNCTION("""COMPUTED_VALUE"""),7.0)</f>
        <v>7</v>
      </c>
      <c r="O166" s="96">
        <f>IFERROR(__xludf.DUMMYFUNCTION("""COMPUTED_VALUE"""),4.0)</f>
        <v>4</v>
      </c>
      <c r="P166" s="96">
        <f>IFERROR(__xludf.DUMMYFUNCTION("""COMPUTED_VALUE"""),0.0)</f>
        <v>0</v>
      </c>
      <c r="Q166" s="129">
        <f>IFERROR(__xludf.DUMMYFUNCTION("""COMPUTED_VALUE"""),252.0)</f>
        <v>252</v>
      </c>
      <c r="R166" s="99">
        <f>IFERROR(__xludf.DUMMYFUNCTION("""COMPUTED_VALUE"""),196560.0)</f>
        <v>196560</v>
      </c>
    </row>
    <row r="167">
      <c r="A167" s="96">
        <f>IFERROR(__xludf.DUMMYFUNCTION("""COMPUTED_VALUE"""),13.0)</f>
        <v>13</v>
      </c>
      <c r="B167" s="98">
        <f>IFERROR(__xludf.DUMMYFUNCTION("""COMPUTED_VALUE"""),44078.0)</f>
        <v>44078</v>
      </c>
      <c r="C167" s="96" t="str">
        <f>IFERROR(__xludf.DUMMYFUNCTION("""COMPUTED_VALUE"""),"LYDIA HNSON ")</f>
        <v>LYDIA HNSON </v>
      </c>
      <c r="D167" s="96" t="str">
        <f>IFERROR(__xludf.DUMMYFUNCTION("""COMPUTED_VALUE"""),"LYDIA HNSON 13")</f>
        <v>LYDIA HNSON 13</v>
      </c>
      <c r="E167" s="96">
        <f>IFERROR(__xludf.DUMMYFUNCTION("""COMPUTED_VALUE"""),228.0)</f>
        <v>228</v>
      </c>
      <c r="F167" s="96">
        <f>IFERROR(__xludf.DUMMYFUNCTION("""COMPUTED_VALUE"""),32.0)</f>
        <v>32</v>
      </c>
      <c r="G167" s="96"/>
      <c r="H167" s="96">
        <f>IFERROR(__xludf.DUMMYFUNCTION("""COMPUTED_VALUE"""),4.0)</f>
        <v>4</v>
      </c>
      <c r="I167" s="96">
        <f>IFERROR(__xludf.DUMMYFUNCTION("""COMPUTED_VALUE"""),4.0)</f>
        <v>4</v>
      </c>
      <c r="J167" s="96">
        <f>IFERROR(__xludf.DUMMYFUNCTION("""COMPUTED_VALUE"""),800.0)</f>
        <v>800</v>
      </c>
      <c r="K167" s="96"/>
      <c r="L167" s="99">
        <f>IFERROR(__xludf.DUMMYFUNCTION("""COMPUTED_VALUE"""),-182400.0)</f>
        <v>-182400</v>
      </c>
      <c r="M167" s="96">
        <f>IFERROR(__xludf.DUMMYFUNCTION("""COMPUTED_VALUE"""),8.0)</f>
        <v>8</v>
      </c>
      <c r="N167" s="96">
        <f>IFERROR(__xludf.DUMMYFUNCTION("""COMPUTED_VALUE"""),0.0)</f>
        <v>0</v>
      </c>
      <c r="O167" s="96">
        <f>IFERROR(__xludf.DUMMYFUNCTION("""COMPUTED_VALUE"""),3.0)</f>
        <v>3</v>
      </c>
      <c r="P167" s="96">
        <f>IFERROR(__xludf.DUMMYFUNCTION("""COMPUTED_VALUE"""),39.0)</f>
        <v>39</v>
      </c>
      <c r="Q167" s="129">
        <f>IFERROR(__xludf.DUMMYFUNCTION("""COMPUTED_VALUE"""),228.0)</f>
        <v>228</v>
      </c>
      <c r="R167" s="99">
        <f>IFERROR(__xludf.DUMMYFUNCTION("""COMPUTED_VALUE"""),182400.0)</f>
        <v>182400</v>
      </c>
    </row>
    <row r="168">
      <c r="A168" s="96">
        <f>IFERROR(__xludf.DUMMYFUNCTION("""COMPUTED_VALUE"""),2.0)</f>
        <v>2</v>
      </c>
      <c r="B168" s="98">
        <f>IFERROR(__xludf.DUMMYFUNCTION("""COMPUTED_VALUE"""),44078.0)</f>
        <v>44078</v>
      </c>
      <c r="C168" s="96" t="str">
        <f>IFERROR(__xludf.DUMMYFUNCTION("""COMPUTED_VALUE"""),"EUGENE")</f>
        <v>EUGENE</v>
      </c>
      <c r="D168" s="96" t="str">
        <f>IFERROR(__xludf.DUMMYFUNCTION("""COMPUTED_VALUE"""),"EUGENE2")</f>
        <v>EUGENE2</v>
      </c>
      <c r="E168" s="96">
        <f>IFERROR(__xludf.DUMMYFUNCTION("""COMPUTED_VALUE"""),384.0)</f>
        <v>384</v>
      </c>
      <c r="F168" s="96">
        <f>IFERROR(__xludf.DUMMYFUNCTION("""COMPUTED_VALUE"""),18.0)</f>
        <v>18</v>
      </c>
      <c r="G168" s="96"/>
      <c r="H168" s="96">
        <f>IFERROR(__xludf.DUMMYFUNCTION("""COMPUTED_VALUE"""),2.0)</f>
        <v>2</v>
      </c>
      <c r="I168" s="96">
        <f>IFERROR(__xludf.DUMMYFUNCTION("""COMPUTED_VALUE"""),0.0)</f>
        <v>0</v>
      </c>
      <c r="J168" s="96">
        <f>IFERROR(__xludf.DUMMYFUNCTION("""COMPUTED_VALUE"""),800.0)</f>
        <v>800</v>
      </c>
      <c r="K168" s="96"/>
      <c r="L168" s="99">
        <f>IFERROR(__xludf.DUMMYFUNCTION("""COMPUTED_VALUE"""),-302400.0)</f>
        <v>-302400</v>
      </c>
      <c r="M168" s="96">
        <f>IFERROR(__xludf.DUMMYFUNCTION("""COMPUTED_VALUE"""),9.0)</f>
        <v>9</v>
      </c>
      <c r="N168" s="96">
        <f>IFERROR(__xludf.DUMMYFUNCTION("""COMPUTED_VALUE"""),4.0)</f>
        <v>4</v>
      </c>
      <c r="O168" s="96">
        <f>IFERROR(__xludf.DUMMYFUNCTION("""COMPUTED_VALUE"""),6.0)</f>
        <v>6</v>
      </c>
      <c r="P168" s="96">
        <f>IFERROR(__xludf.DUMMYFUNCTION("""COMPUTED_VALUE"""),0.0)</f>
        <v>0</v>
      </c>
      <c r="Q168" s="129">
        <f>IFERROR(__xludf.DUMMYFUNCTION("""COMPUTED_VALUE"""),378.0)</f>
        <v>378</v>
      </c>
      <c r="R168" s="99">
        <f>IFERROR(__xludf.DUMMYFUNCTION("""COMPUTED_VALUE"""),302400.0)</f>
        <v>302400</v>
      </c>
    </row>
    <row r="169">
      <c r="A169" s="96">
        <f>IFERROR(__xludf.DUMMYFUNCTION("""COMPUTED_VALUE"""),2.0)</f>
        <v>2</v>
      </c>
      <c r="B169" s="98">
        <f>IFERROR(__xludf.DUMMYFUNCTION("""COMPUTED_VALUE"""),44079.0)</f>
        <v>44079</v>
      </c>
      <c r="C169" s="96" t="str">
        <f>IFERROR(__xludf.DUMMYFUNCTION("""COMPUTED_VALUE"""),"EMMANUEL OKO ")</f>
        <v>EMMANUEL OKO </v>
      </c>
      <c r="D169" s="96" t="str">
        <f>IFERROR(__xludf.DUMMYFUNCTION("""COMPUTED_VALUE"""),"EMMANUEL OKO 2")</f>
        <v>EMMANUEL OKO 2</v>
      </c>
      <c r="E169" s="96">
        <f>IFERROR(__xludf.DUMMYFUNCTION("""COMPUTED_VALUE"""),189.0)</f>
        <v>189</v>
      </c>
      <c r="F169" s="96">
        <f>IFERROR(__xludf.DUMMYFUNCTION("""COMPUTED_VALUE"""),24.0)</f>
        <v>24</v>
      </c>
      <c r="G169" s="96"/>
      <c r="H169" s="96">
        <f>IFERROR(__xludf.DUMMYFUNCTION("""COMPUTED_VALUE"""),3.0)</f>
        <v>3</v>
      </c>
      <c r="I169" s="96">
        <f>IFERROR(__xludf.DUMMYFUNCTION("""COMPUTED_VALUE"""),3.0)</f>
        <v>3</v>
      </c>
      <c r="J169" s="96">
        <f>IFERROR(__xludf.DUMMYFUNCTION("""COMPUTED_VALUE"""),750.0)</f>
        <v>750</v>
      </c>
      <c r="K169" s="96"/>
      <c r="L169" s="99">
        <f>IFERROR(__xludf.DUMMYFUNCTION("""COMPUTED_VALUE"""),-141750.0)</f>
        <v>-141750</v>
      </c>
      <c r="M169" s="96">
        <f>IFERROR(__xludf.DUMMYFUNCTION("""COMPUTED_VALUE"""),8.0)</f>
        <v>8</v>
      </c>
      <c r="N169" s="96">
        <f>IFERROR(__xludf.DUMMYFUNCTION("""COMPUTED_VALUE"""),0.0)</f>
        <v>0</v>
      </c>
      <c r="O169" s="96">
        <f>IFERROR(__xludf.DUMMYFUNCTION("""COMPUTED_VALUE"""),3.0)</f>
        <v>3</v>
      </c>
      <c r="P169" s="96">
        <f>IFERROR(__xludf.DUMMYFUNCTION("""COMPUTED_VALUE"""),0.0)</f>
        <v>0</v>
      </c>
      <c r="Q169" s="129">
        <f>IFERROR(__xludf.DUMMYFUNCTION("""COMPUTED_VALUE"""),189.0)</f>
        <v>189</v>
      </c>
      <c r="R169" s="99">
        <f>IFERROR(__xludf.DUMMYFUNCTION("""COMPUTED_VALUE"""),141750.0)</f>
        <v>141750</v>
      </c>
    </row>
    <row r="170">
      <c r="A170" s="96">
        <f>IFERROR(__xludf.DUMMYFUNCTION("""COMPUTED_VALUE"""),7.0)</f>
        <v>7</v>
      </c>
      <c r="B170" s="98">
        <f>IFERROR(__xludf.DUMMYFUNCTION("""COMPUTED_VALUE"""),44039.0)</f>
        <v>44039</v>
      </c>
      <c r="C170" s="96" t="str">
        <f>IFERROR(__xludf.DUMMYFUNCTION("""COMPUTED_VALUE"""),"CORNWELL")</f>
        <v>CORNWELL</v>
      </c>
      <c r="D170" s="96" t="str">
        <f>IFERROR(__xludf.DUMMYFUNCTION("""COMPUTED_VALUE"""),"CORNWELL7")</f>
        <v>CORNWELL7</v>
      </c>
      <c r="E170" s="96">
        <f>IFERROR(__xludf.DUMMYFUNCTION("""COMPUTED_VALUE"""),17903.0)</f>
        <v>17903</v>
      </c>
      <c r="F170" s="96">
        <f>IFERROR(__xludf.DUMMYFUNCTION("""COMPUTED_VALUE"""),1464.0)</f>
        <v>1464</v>
      </c>
      <c r="G170" s="96"/>
      <c r="H170" s="96">
        <f>IFERROR(__xludf.DUMMYFUNCTION("""COMPUTED_VALUE"""),183.0)</f>
        <v>183</v>
      </c>
      <c r="I170" s="96">
        <f>IFERROR(__xludf.DUMMYFUNCTION("""COMPUTED_VALUE"""),183.0)</f>
        <v>183</v>
      </c>
      <c r="J170" s="96">
        <f>IFERROR(__xludf.DUMMYFUNCTION("""COMPUTED_VALUE"""),762.44)</f>
        <v>762.44</v>
      </c>
      <c r="K170" s="96"/>
      <c r="L170" s="99">
        <f>IFERROR(__xludf.DUMMYFUNCTION("""COMPUTED_VALUE"""),-1.365E7)</f>
        <v>-13650000</v>
      </c>
      <c r="M170" s="96">
        <f>IFERROR(__xludf.DUMMYFUNCTION("""COMPUTED_VALUE"""),8.0)</f>
        <v>8</v>
      </c>
      <c r="N170" s="96">
        <f>IFERROR(__xludf.DUMMYFUNCTION("""COMPUTED_VALUE"""),0.0)</f>
        <v>0</v>
      </c>
      <c r="O170" s="96">
        <f>IFERROR(__xludf.DUMMYFUNCTION("""COMPUTED_VALUE"""),284.0)</f>
        <v>284</v>
      </c>
      <c r="P170" s="96">
        <f>IFERROR(__xludf.DUMMYFUNCTION("""COMPUTED_VALUE"""),11.0)</f>
        <v>11</v>
      </c>
      <c r="Q170" s="129">
        <f>IFERROR(__xludf.DUMMYFUNCTION("""COMPUTED_VALUE"""),17903.0)</f>
        <v>17903</v>
      </c>
      <c r="R170" s="99">
        <f>IFERROR(__xludf.DUMMYFUNCTION("""COMPUTED_VALUE"""),1.365E7)</f>
        <v>13650000</v>
      </c>
    </row>
    <row r="171">
      <c r="A171" s="96">
        <f>IFERROR(__xludf.DUMMYFUNCTION("""COMPUTED_VALUE"""),3.0)</f>
        <v>3</v>
      </c>
      <c r="B171" s="98">
        <f>IFERROR(__xludf.DUMMYFUNCTION("""COMPUTED_VALUE"""),44048.0)</f>
        <v>44048</v>
      </c>
      <c r="C171" s="96" t="str">
        <f>IFERROR(__xludf.DUMMYFUNCTION("""COMPUTED_VALUE"""),"ALFRED ALABI")</f>
        <v>ALFRED ALABI</v>
      </c>
      <c r="D171" s="96" t="str">
        <f>IFERROR(__xludf.DUMMYFUNCTION("""COMPUTED_VALUE"""),"ALFRED ALABI3")</f>
        <v>ALFRED ALABI3</v>
      </c>
      <c r="E171" s="96"/>
      <c r="F171" s="96"/>
      <c r="G171" s="96"/>
      <c r="H171" s="96"/>
      <c r="I171" s="96"/>
      <c r="J171" s="96"/>
      <c r="K171" s="96">
        <f>IFERROR(__xludf.DUMMYFUNCTION("""COMPUTED_VALUE"""),5000.0)</f>
        <v>5000</v>
      </c>
      <c r="L171" s="99">
        <f>IFERROR(__xludf.DUMMYFUNCTION("""COMPUTED_VALUE"""),5000.0)</f>
        <v>5000</v>
      </c>
      <c r="M171" s="96"/>
      <c r="N171" s="96">
        <f>IFERROR(__xludf.DUMMYFUNCTION("""COMPUTED_VALUE"""),0.0)</f>
        <v>0</v>
      </c>
      <c r="O171" s="96">
        <f>IFERROR(__xludf.DUMMYFUNCTION("""COMPUTED_VALUE"""),0.0)</f>
        <v>0</v>
      </c>
      <c r="P171" s="96">
        <f>IFERROR(__xludf.DUMMYFUNCTION("""COMPUTED_VALUE"""),0.0)</f>
        <v>0</v>
      </c>
      <c r="Q171" s="129">
        <f>IFERROR(__xludf.DUMMYFUNCTION("""COMPUTED_VALUE"""),0.0)</f>
        <v>0</v>
      </c>
      <c r="R171" s="99"/>
    </row>
    <row r="172">
      <c r="A172" s="96">
        <f>IFERROR(__xludf.DUMMYFUNCTION("""COMPUTED_VALUE"""),11.0)</f>
        <v>11</v>
      </c>
      <c r="B172" s="98">
        <f>IFERROR(__xludf.DUMMYFUNCTION("""COMPUTED_VALUE"""),44049.0)</f>
        <v>44049</v>
      </c>
      <c r="C172" s="96" t="str">
        <f>IFERROR(__xludf.DUMMYFUNCTION("""COMPUTED_VALUE"""),"CONNECT")</f>
        <v>CONNECT</v>
      </c>
      <c r="D172" s="96" t="str">
        <f>IFERROR(__xludf.DUMMYFUNCTION("""COMPUTED_VALUE"""),"CONNECT11")</f>
        <v>CONNECT11</v>
      </c>
      <c r="E172" s="96"/>
      <c r="F172" s="96"/>
      <c r="G172" s="96"/>
      <c r="H172" s="96"/>
      <c r="I172" s="96"/>
      <c r="J172" s="96"/>
      <c r="K172" s="96">
        <f>IFERROR(__xludf.DUMMYFUNCTION("""COMPUTED_VALUE"""),500000.0)</f>
        <v>500000</v>
      </c>
      <c r="L172" s="99">
        <f>IFERROR(__xludf.DUMMYFUNCTION("""COMPUTED_VALUE"""),500000.0)</f>
        <v>500000</v>
      </c>
      <c r="M172" s="96"/>
      <c r="N172" s="96">
        <f>IFERROR(__xludf.DUMMYFUNCTION("""COMPUTED_VALUE"""),0.0)</f>
        <v>0</v>
      </c>
      <c r="O172" s="96">
        <f>IFERROR(__xludf.DUMMYFUNCTION("""COMPUTED_VALUE"""),0.0)</f>
        <v>0</v>
      </c>
      <c r="P172" s="96">
        <f>IFERROR(__xludf.DUMMYFUNCTION("""COMPUTED_VALUE"""),0.0)</f>
        <v>0</v>
      </c>
      <c r="Q172" s="129">
        <f>IFERROR(__xludf.DUMMYFUNCTION("""COMPUTED_VALUE"""),0.0)</f>
        <v>0</v>
      </c>
      <c r="R172" s="99"/>
    </row>
    <row r="173">
      <c r="A173" s="96">
        <f>IFERROR(__xludf.DUMMYFUNCTION("""COMPUTED_VALUE"""),12.0)</f>
        <v>12</v>
      </c>
      <c r="B173" s="98">
        <f>IFERROR(__xludf.DUMMYFUNCTION("""COMPUTED_VALUE"""),44049.0)</f>
        <v>44049</v>
      </c>
      <c r="C173" s="96" t="str">
        <f>IFERROR(__xludf.DUMMYFUNCTION("""COMPUTED_VALUE"""),"CONNECT")</f>
        <v>CONNECT</v>
      </c>
      <c r="D173" s="96" t="str">
        <f>IFERROR(__xludf.DUMMYFUNCTION("""COMPUTED_VALUE"""),"CONNECT12")</f>
        <v>CONNECT12</v>
      </c>
      <c r="E173" s="96"/>
      <c r="F173" s="96"/>
      <c r="G173" s="96"/>
      <c r="H173" s="96"/>
      <c r="I173" s="96"/>
      <c r="J173" s="96"/>
      <c r="K173" s="96">
        <f>IFERROR(__xludf.DUMMYFUNCTION("""COMPUTED_VALUE"""),5000.0)</f>
        <v>5000</v>
      </c>
      <c r="L173" s="99">
        <f>IFERROR(__xludf.DUMMYFUNCTION("""COMPUTED_VALUE"""),5000.0)</f>
        <v>5000</v>
      </c>
      <c r="M173" s="96"/>
      <c r="N173" s="96">
        <f>IFERROR(__xludf.DUMMYFUNCTION("""COMPUTED_VALUE"""),0.0)</f>
        <v>0</v>
      </c>
      <c r="O173" s="96">
        <f>IFERROR(__xludf.DUMMYFUNCTION("""COMPUTED_VALUE"""),0.0)</f>
        <v>0</v>
      </c>
      <c r="P173" s="96">
        <f>IFERROR(__xludf.DUMMYFUNCTION("""COMPUTED_VALUE"""),0.0)</f>
        <v>0</v>
      </c>
      <c r="Q173" s="129">
        <f>IFERROR(__xludf.DUMMYFUNCTION("""COMPUTED_VALUE"""),0.0)</f>
        <v>0</v>
      </c>
      <c r="R173" s="99"/>
    </row>
    <row r="174">
      <c r="A174" s="96">
        <f>IFERROR(__xludf.DUMMYFUNCTION("""COMPUTED_VALUE"""),11.0)</f>
        <v>11</v>
      </c>
      <c r="B174" s="98">
        <f>IFERROR(__xludf.DUMMYFUNCTION("""COMPUTED_VALUE"""),44049.0)</f>
        <v>44049</v>
      </c>
      <c r="C174" s="96" t="str">
        <f>IFERROR(__xludf.DUMMYFUNCTION("""COMPUTED_VALUE"""),"RECTOR W.")</f>
        <v>RECTOR W.</v>
      </c>
      <c r="D174" s="96" t="str">
        <f>IFERROR(__xludf.DUMMYFUNCTION("""COMPUTED_VALUE"""),"RECTOR W.11")</f>
        <v>RECTOR W.11</v>
      </c>
      <c r="E174" s="96"/>
      <c r="F174" s="96"/>
      <c r="G174" s="96"/>
      <c r="H174" s="96"/>
      <c r="I174" s="96"/>
      <c r="J174" s="96"/>
      <c r="K174" s="96">
        <f>IFERROR(__xludf.DUMMYFUNCTION("""COMPUTED_VALUE"""),111800.0)</f>
        <v>111800</v>
      </c>
      <c r="L174" s="99">
        <f>IFERROR(__xludf.DUMMYFUNCTION("""COMPUTED_VALUE"""),111800.0)</f>
        <v>111800</v>
      </c>
      <c r="M174" s="96"/>
      <c r="N174" s="96">
        <f>IFERROR(__xludf.DUMMYFUNCTION("""COMPUTED_VALUE"""),0.0)</f>
        <v>0</v>
      </c>
      <c r="O174" s="96">
        <f>IFERROR(__xludf.DUMMYFUNCTION("""COMPUTED_VALUE"""),0.0)</f>
        <v>0</v>
      </c>
      <c r="P174" s="96">
        <f>IFERROR(__xludf.DUMMYFUNCTION("""COMPUTED_VALUE"""),0.0)</f>
        <v>0</v>
      </c>
      <c r="Q174" s="129">
        <f>IFERROR(__xludf.DUMMYFUNCTION("""COMPUTED_VALUE"""),0.0)</f>
        <v>0</v>
      </c>
      <c r="R174" s="99"/>
    </row>
    <row r="175">
      <c r="A175" s="96">
        <f>IFERROR(__xludf.DUMMYFUNCTION("""COMPUTED_VALUE"""),8.0)</f>
        <v>8</v>
      </c>
      <c r="B175" s="98">
        <f>IFERROR(__xludf.DUMMYFUNCTION("""COMPUTED_VALUE"""),44049.0)</f>
        <v>44049</v>
      </c>
      <c r="C175" s="96" t="str">
        <f>IFERROR(__xludf.DUMMYFUNCTION("""COMPUTED_VALUE""")," MAXWELL AGRO")</f>
        <v> MAXWELL AGRO</v>
      </c>
      <c r="D175" s="96" t="str">
        <f>IFERROR(__xludf.DUMMYFUNCTION("""COMPUTED_VALUE""")," MAXWELL AGRO8")</f>
        <v> MAXWELL AGRO8</v>
      </c>
      <c r="E175" s="96"/>
      <c r="F175" s="96"/>
      <c r="G175" s="96"/>
      <c r="H175" s="96"/>
      <c r="I175" s="96"/>
      <c r="J175" s="96"/>
      <c r="K175" s="96">
        <f>IFERROR(__xludf.DUMMYFUNCTION("""COMPUTED_VALUE"""),2000.0)</f>
        <v>2000</v>
      </c>
      <c r="L175" s="99">
        <f>IFERROR(__xludf.DUMMYFUNCTION("""COMPUTED_VALUE"""),2000.0)</f>
        <v>2000</v>
      </c>
      <c r="M175" s="96"/>
      <c r="N175" s="96">
        <f>IFERROR(__xludf.DUMMYFUNCTION("""COMPUTED_VALUE"""),0.0)</f>
        <v>0</v>
      </c>
      <c r="O175" s="96">
        <f>IFERROR(__xludf.DUMMYFUNCTION("""COMPUTED_VALUE"""),0.0)</f>
        <v>0</v>
      </c>
      <c r="P175" s="96">
        <f>IFERROR(__xludf.DUMMYFUNCTION("""COMPUTED_VALUE"""),0.0)</f>
        <v>0</v>
      </c>
      <c r="Q175" s="129">
        <f>IFERROR(__xludf.DUMMYFUNCTION("""COMPUTED_VALUE"""),0.0)</f>
        <v>0</v>
      </c>
      <c r="R175" s="99"/>
    </row>
    <row r="176">
      <c r="A176" s="96">
        <f>IFERROR(__xludf.DUMMYFUNCTION("""COMPUTED_VALUE"""),1.0)</f>
        <v>1</v>
      </c>
      <c r="B176" s="98">
        <f>IFERROR(__xludf.DUMMYFUNCTION("""COMPUTED_VALUE"""),44049.0)</f>
        <v>44049</v>
      </c>
      <c r="C176" s="96" t="str">
        <f>IFERROR(__xludf.DUMMYFUNCTION("""COMPUTED_VALUE"""),"OBIM TIWA HNSON")</f>
        <v>OBIM TIWA HNSON</v>
      </c>
      <c r="D176" s="96" t="str">
        <f>IFERROR(__xludf.DUMMYFUNCTION("""COMPUTED_VALUE"""),"OBIM TIWA HNSON1")</f>
        <v>OBIM TIWA HNSON1</v>
      </c>
      <c r="E176" s="96"/>
      <c r="F176" s="96"/>
      <c r="G176" s="96"/>
      <c r="H176" s="96"/>
      <c r="I176" s="96"/>
      <c r="J176" s="96"/>
      <c r="K176" s="96">
        <f>IFERROR(__xludf.DUMMYFUNCTION("""COMPUTED_VALUE"""),90000.0)</f>
        <v>90000</v>
      </c>
      <c r="L176" s="99">
        <f>IFERROR(__xludf.DUMMYFUNCTION("""COMPUTED_VALUE"""),90000.0)</f>
        <v>90000</v>
      </c>
      <c r="M176" s="96"/>
      <c r="N176" s="96">
        <f>IFERROR(__xludf.DUMMYFUNCTION("""COMPUTED_VALUE"""),0.0)</f>
        <v>0</v>
      </c>
      <c r="O176" s="96">
        <f>IFERROR(__xludf.DUMMYFUNCTION("""COMPUTED_VALUE"""),0.0)</f>
        <v>0</v>
      </c>
      <c r="P176" s="96">
        <f>IFERROR(__xludf.DUMMYFUNCTION("""COMPUTED_VALUE"""),0.0)</f>
        <v>0</v>
      </c>
      <c r="Q176" s="129">
        <f>IFERROR(__xludf.DUMMYFUNCTION("""COMPUTED_VALUE"""),0.0)</f>
        <v>0</v>
      </c>
      <c r="R176" s="99"/>
    </row>
    <row r="177">
      <c r="A177" s="96">
        <f>IFERROR(__xludf.DUMMYFUNCTION("""COMPUTED_VALUE"""),1.0)</f>
        <v>1</v>
      </c>
      <c r="B177" s="98">
        <f>IFERROR(__xludf.DUMMYFUNCTION("""COMPUTED_VALUE"""),44049.0)</f>
        <v>44049</v>
      </c>
      <c r="C177" s="96" t="str">
        <f>IFERROR(__xludf.DUMMYFUNCTION("""COMPUTED_VALUE"""),"DUN SUNDAY NDOMA (NATION)")</f>
        <v>DUN SUNDAY NDOMA (NATION)</v>
      </c>
      <c r="D177" s="96" t="str">
        <f>IFERROR(__xludf.DUMMYFUNCTION("""COMPUTED_VALUE"""),"DUN SUNDAY NDOMA (NATION)1")</f>
        <v>DUN SUNDAY NDOMA (NATION)1</v>
      </c>
      <c r="E177" s="96"/>
      <c r="F177" s="96"/>
      <c r="G177" s="96"/>
      <c r="H177" s="96"/>
      <c r="I177" s="96"/>
      <c r="J177" s="96"/>
      <c r="K177" s="96">
        <f>IFERROR(__xludf.DUMMYFUNCTION("""COMPUTED_VALUE"""),100000.0)</f>
        <v>100000</v>
      </c>
      <c r="L177" s="99">
        <f>IFERROR(__xludf.DUMMYFUNCTION("""COMPUTED_VALUE"""),100000.0)</f>
        <v>100000</v>
      </c>
      <c r="M177" s="96"/>
      <c r="N177" s="96">
        <f>IFERROR(__xludf.DUMMYFUNCTION("""COMPUTED_VALUE"""),0.0)</f>
        <v>0</v>
      </c>
      <c r="O177" s="96">
        <f>IFERROR(__xludf.DUMMYFUNCTION("""COMPUTED_VALUE"""),0.0)</f>
        <v>0</v>
      </c>
      <c r="P177" s="96">
        <f>IFERROR(__xludf.DUMMYFUNCTION("""COMPUTED_VALUE"""),0.0)</f>
        <v>0</v>
      </c>
      <c r="Q177" s="129">
        <f>IFERROR(__xludf.DUMMYFUNCTION("""COMPUTED_VALUE"""),0.0)</f>
        <v>0</v>
      </c>
      <c r="R177" s="99"/>
    </row>
    <row r="178">
      <c r="A178" s="96">
        <f>IFERROR(__xludf.DUMMYFUNCTION("""COMPUTED_VALUE"""),4.0)</f>
        <v>4</v>
      </c>
      <c r="B178" s="98">
        <f>IFERROR(__xludf.DUMMYFUNCTION("""COMPUTED_VALUE"""),44049.0)</f>
        <v>44049</v>
      </c>
      <c r="C178" s="96" t="str">
        <f>IFERROR(__xludf.DUMMYFUNCTION("""COMPUTED_VALUE"""),"ALFRED ALABI")</f>
        <v>ALFRED ALABI</v>
      </c>
      <c r="D178" s="96" t="str">
        <f>IFERROR(__xludf.DUMMYFUNCTION("""COMPUTED_VALUE"""),"ALFRED ALABI4")</f>
        <v>ALFRED ALABI4</v>
      </c>
      <c r="E178" s="96"/>
      <c r="F178" s="96"/>
      <c r="G178" s="96"/>
      <c r="H178" s="96"/>
      <c r="I178" s="96"/>
      <c r="J178" s="96"/>
      <c r="K178" s="96">
        <f>IFERROR(__xludf.DUMMYFUNCTION("""COMPUTED_VALUE"""),1000000.0)</f>
        <v>1000000</v>
      </c>
      <c r="L178" s="99">
        <f>IFERROR(__xludf.DUMMYFUNCTION("""COMPUTED_VALUE"""),1000000.0)</f>
        <v>1000000</v>
      </c>
      <c r="M178" s="96"/>
      <c r="N178" s="96">
        <f>IFERROR(__xludf.DUMMYFUNCTION("""COMPUTED_VALUE"""),0.0)</f>
        <v>0</v>
      </c>
      <c r="O178" s="96">
        <f>IFERROR(__xludf.DUMMYFUNCTION("""COMPUTED_VALUE"""),0.0)</f>
        <v>0</v>
      </c>
      <c r="P178" s="96">
        <f>IFERROR(__xludf.DUMMYFUNCTION("""COMPUTED_VALUE"""),0.0)</f>
        <v>0</v>
      </c>
      <c r="Q178" s="129">
        <f>IFERROR(__xludf.DUMMYFUNCTION("""COMPUTED_VALUE"""),0.0)</f>
        <v>0</v>
      </c>
      <c r="R178" s="99"/>
    </row>
    <row r="179">
      <c r="A179" s="96">
        <f>IFERROR(__xludf.DUMMYFUNCTION("""COMPUTED_VALUE"""),1.0)</f>
        <v>1</v>
      </c>
      <c r="B179" s="98">
        <f>IFERROR(__xludf.DUMMYFUNCTION("""COMPUTED_VALUE"""),44049.0)</f>
        <v>44049</v>
      </c>
      <c r="C179" s="96" t="str">
        <f>IFERROR(__xludf.DUMMYFUNCTION("""COMPUTED_VALUE"""),"A. D. FREDERICK")</f>
        <v>A. D. FREDERICK</v>
      </c>
      <c r="D179" s="96" t="str">
        <f>IFERROR(__xludf.DUMMYFUNCTION("""COMPUTED_VALUE"""),"A. D. FREDERICK1")</f>
        <v>A. D. FREDERICK1</v>
      </c>
      <c r="E179" s="96"/>
      <c r="F179" s="96"/>
      <c r="G179" s="96"/>
      <c r="H179" s="96"/>
      <c r="I179" s="96"/>
      <c r="J179" s="96"/>
      <c r="K179" s="96">
        <f>IFERROR(__xludf.DUMMYFUNCTION("""COMPUTED_VALUE"""),250000.0)</f>
        <v>250000</v>
      </c>
      <c r="L179" s="99">
        <f>IFERROR(__xludf.DUMMYFUNCTION("""COMPUTED_VALUE"""),250000.0)</f>
        <v>250000</v>
      </c>
      <c r="M179" s="96"/>
      <c r="N179" s="96">
        <f>IFERROR(__xludf.DUMMYFUNCTION("""COMPUTED_VALUE"""),0.0)</f>
        <v>0</v>
      </c>
      <c r="O179" s="96">
        <f>IFERROR(__xludf.DUMMYFUNCTION("""COMPUTED_VALUE"""),0.0)</f>
        <v>0</v>
      </c>
      <c r="P179" s="96">
        <f>IFERROR(__xludf.DUMMYFUNCTION("""COMPUTED_VALUE"""),0.0)</f>
        <v>0</v>
      </c>
      <c r="Q179" s="129">
        <f>IFERROR(__xludf.DUMMYFUNCTION("""COMPUTED_VALUE"""),0.0)</f>
        <v>0</v>
      </c>
      <c r="R179" s="99"/>
    </row>
    <row r="180">
      <c r="A180" s="96">
        <f>IFERROR(__xludf.DUMMYFUNCTION("""COMPUTED_VALUE"""),3.0)</f>
        <v>3</v>
      </c>
      <c r="B180" s="98">
        <f>IFERROR(__xludf.DUMMYFUNCTION("""COMPUTED_VALUE"""),44049.0)</f>
        <v>44049</v>
      </c>
      <c r="C180" s="96" t="str">
        <f>IFERROR(__xludf.DUMMYFUNCTION("""COMPUTED_VALUE"""),"EMMANUEL OKO ")</f>
        <v>EMMANUEL OKO </v>
      </c>
      <c r="D180" s="96" t="str">
        <f>IFERROR(__xludf.DUMMYFUNCTION("""COMPUTED_VALUE"""),"EMMANUEL OKO 3")</f>
        <v>EMMANUEL OKO 3</v>
      </c>
      <c r="E180" s="96"/>
      <c r="F180" s="96"/>
      <c r="G180" s="96"/>
      <c r="H180" s="96"/>
      <c r="I180" s="96"/>
      <c r="J180" s="96"/>
      <c r="K180" s="96">
        <f>IFERROR(__xludf.DUMMYFUNCTION("""COMPUTED_VALUE"""),245000.0)</f>
        <v>245000</v>
      </c>
      <c r="L180" s="99">
        <f>IFERROR(__xludf.DUMMYFUNCTION("""COMPUTED_VALUE"""),245000.0)</f>
        <v>245000</v>
      </c>
      <c r="M180" s="96"/>
      <c r="N180" s="96">
        <f>IFERROR(__xludf.DUMMYFUNCTION("""COMPUTED_VALUE"""),0.0)</f>
        <v>0</v>
      </c>
      <c r="O180" s="96">
        <f>IFERROR(__xludf.DUMMYFUNCTION("""COMPUTED_VALUE"""),0.0)</f>
        <v>0</v>
      </c>
      <c r="P180" s="96">
        <f>IFERROR(__xludf.DUMMYFUNCTION("""COMPUTED_VALUE"""),0.0)</f>
        <v>0</v>
      </c>
      <c r="Q180" s="129">
        <f>IFERROR(__xludf.DUMMYFUNCTION("""COMPUTED_VALUE"""),0.0)</f>
        <v>0</v>
      </c>
      <c r="R180" s="99"/>
    </row>
    <row r="181">
      <c r="A181" s="96">
        <f>IFERROR(__xludf.DUMMYFUNCTION("""COMPUTED_VALUE"""),12.0)</f>
        <v>12</v>
      </c>
      <c r="B181" s="98">
        <f>IFERROR(__xludf.DUMMYFUNCTION("""COMPUTED_VALUE"""),44049.0)</f>
        <v>44049</v>
      </c>
      <c r="C181" s="96" t="str">
        <f>IFERROR(__xludf.DUMMYFUNCTION("""COMPUTED_VALUE"""),"RECTOR W.")</f>
        <v>RECTOR W.</v>
      </c>
      <c r="D181" s="96" t="str">
        <f>IFERROR(__xludf.DUMMYFUNCTION("""COMPUTED_VALUE"""),"RECTOR W.12")</f>
        <v>RECTOR W.12</v>
      </c>
      <c r="E181" s="96"/>
      <c r="F181" s="96"/>
      <c r="G181" s="96"/>
      <c r="H181" s="96"/>
      <c r="I181" s="96"/>
      <c r="J181" s="96"/>
      <c r="K181" s="96">
        <f>IFERROR(__xludf.DUMMYFUNCTION("""COMPUTED_VALUE"""),3000.0)</f>
        <v>3000</v>
      </c>
      <c r="L181" s="99">
        <f>IFERROR(__xludf.DUMMYFUNCTION("""COMPUTED_VALUE"""),3000.0)</f>
        <v>3000</v>
      </c>
      <c r="M181" s="96"/>
      <c r="N181" s="96">
        <f>IFERROR(__xludf.DUMMYFUNCTION("""COMPUTED_VALUE"""),0.0)</f>
        <v>0</v>
      </c>
      <c r="O181" s="96">
        <f>IFERROR(__xludf.DUMMYFUNCTION("""COMPUTED_VALUE"""),0.0)</f>
        <v>0</v>
      </c>
      <c r="P181" s="96">
        <f>IFERROR(__xludf.DUMMYFUNCTION("""COMPUTED_VALUE"""),0.0)</f>
        <v>0</v>
      </c>
      <c r="Q181" s="129">
        <f>IFERROR(__xludf.DUMMYFUNCTION("""COMPUTED_VALUE"""),0.0)</f>
        <v>0</v>
      </c>
      <c r="R181" s="99"/>
    </row>
    <row r="182">
      <c r="A182" s="96">
        <f>IFERROR(__xludf.DUMMYFUNCTION("""COMPUTED_VALUE"""),8.0)</f>
        <v>8</v>
      </c>
      <c r="B182" s="98">
        <f>IFERROR(__xludf.DUMMYFUNCTION("""COMPUTED_VALUE"""),44049.0)</f>
        <v>44049</v>
      </c>
      <c r="C182" s="96" t="str">
        <f>IFERROR(__xludf.DUMMYFUNCTION("""COMPUTED_VALUE"""),"CORNWELL")</f>
        <v>CORNWELL</v>
      </c>
      <c r="D182" s="96" t="str">
        <f>IFERROR(__xludf.DUMMYFUNCTION("""COMPUTED_VALUE"""),"CORNWELL8")</f>
        <v>CORNWELL8</v>
      </c>
      <c r="E182" s="96"/>
      <c r="F182" s="96"/>
      <c r="G182" s="96"/>
      <c r="H182" s="96"/>
      <c r="I182" s="96"/>
      <c r="J182" s="96"/>
      <c r="K182" s="96">
        <f>IFERROR(__xludf.DUMMYFUNCTION("""COMPUTED_VALUE"""),3.642825E7)</f>
        <v>36428250</v>
      </c>
      <c r="L182" s="99">
        <f>IFERROR(__xludf.DUMMYFUNCTION("""COMPUTED_VALUE"""),3.642825E7)</f>
        <v>36428250</v>
      </c>
      <c r="M182" s="96"/>
      <c r="N182" s="96">
        <f>IFERROR(__xludf.DUMMYFUNCTION("""COMPUTED_VALUE"""),0.0)</f>
        <v>0</v>
      </c>
      <c r="O182" s="96">
        <f>IFERROR(__xludf.DUMMYFUNCTION("""COMPUTED_VALUE"""),0.0)</f>
        <v>0</v>
      </c>
      <c r="P182" s="96">
        <f>IFERROR(__xludf.DUMMYFUNCTION("""COMPUTED_VALUE"""),0.0)</f>
        <v>0</v>
      </c>
      <c r="Q182" s="129">
        <f>IFERROR(__xludf.DUMMYFUNCTION("""COMPUTED_VALUE"""),0.0)</f>
        <v>0</v>
      </c>
      <c r="R182" s="99"/>
    </row>
    <row r="183">
      <c r="A183" s="96">
        <f>IFERROR(__xludf.DUMMYFUNCTION("""COMPUTED_VALUE"""),13.0)</f>
        <v>13</v>
      </c>
      <c r="B183" s="98">
        <f>IFERROR(__xludf.DUMMYFUNCTION("""COMPUTED_VALUE"""),44050.0)</f>
        <v>44050</v>
      </c>
      <c r="C183" s="96" t="str">
        <f>IFERROR(__xludf.DUMMYFUNCTION("""COMPUTED_VALUE"""),"RECTOR W.")</f>
        <v>RECTOR W.</v>
      </c>
      <c r="D183" s="96" t="str">
        <f>IFERROR(__xludf.DUMMYFUNCTION("""COMPUTED_VALUE"""),"RECTOR W.13")</f>
        <v>RECTOR W.13</v>
      </c>
      <c r="E183" s="96"/>
      <c r="F183" s="96"/>
      <c r="G183" s="96"/>
      <c r="H183" s="96"/>
      <c r="I183" s="96"/>
      <c r="J183" s="96"/>
      <c r="K183" s="96">
        <f>IFERROR(__xludf.DUMMYFUNCTION("""COMPUTED_VALUE"""),2500000.0)</f>
        <v>2500000</v>
      </c>
      <c r="L183" s="99">
        <f>IFERROR(__xludf.DUMMYFUNCTION("""COMPUTED_VALUE"""),2500000.0)</f>
        <v>2500000</v>
      </c>
      <c r="M183" s="96"/>
      <c r="N183" s="96">
        <f>IFERROR(__xludf.DUMMYFUNCTION("""COMPUTED_VALUE"""),0.0)</f>
        <v>0</v>
      </c>
      <c r="O183" s="96">
        <f>IFERROR(__xludf.DUMMYFUNCTION("""COMPUTED_VALUE"""),0.0)</f>
        <v>0</v>
      </c>
      <c r="P183" s="96">
        <f>IFERROR(__xludf.DUMMYFUNCTION("""COMPUTED_VALUE"""),0.0)</f>
        <v>0</v>
      </c>
      <c r="Q183" s="129">
        <f>IFERROR(__xludf.DUMMYFUNCTION("""COMPUTED_VALUE"""),0.0)</f>
        <v>0</v>
      </c>
      <c r="R183" s="99"/>
    </row>
    <row r="184">
      <c r="A184" s="96">
        <f>IFERROR(__xludf.DUMMYFUNCTION("""COMPUTED_VALUE"""),4.0)</f>
        <v>4</v>
      </c>
      <c r="B184" s="98">
        <f>IFERROR(__xludf.DUMMYFUNCTION("""COMPUTED_VALUE"""),44050.0)</f>
        <v>44050</v>
      </c>
      <c r="C184" s="96" t="str">
        <f>IFERROR(__xludf.DUMMYFUNCTION("""COMPUTED_VALUE"""),"ZULU &amp; NDOMA")</f>
        <v>ZULU &amp; NDOMA</v>
      </c>
      <c r="D184" s="96" t="str">
        <f>IFERROR(__xludf.DUMMYFUNCTION("""COMPUTED_VALUE"""),"ZULU &amp; NDOMA4")</f>
        <v>ZULU &amp; NDOMA4</v>
      </c>
      <c r="E184" s="96"/>
      <c r="F184" s="96"/>
      <c r="G184" s="96"/>
      <c r="H184" s="96"/>
      <c r="I184" s="96"/>
      <c r="J184" s="96"/>
      <c r="K184" s="96">
        <f>IFERROR(__xludf.DUMMYFUNCTION("""COMPUTED_VALUE"""),5000.0)</f>
        <v>5000</v>
      </c>
      <c r="L184" s="99">
        <f>IFERROR(__xludf.DUMMYFUNCTION("""COMPUTED_VALUE"""),5000.0)</f>
        <v>5000</v>
      </c>
      <c r="M184" s="96"/>
      <c r="N184" s="96">
        <f>IFERROR(__xludf.DUMMYFUNCTION("""COMPUTED_VALUE"""),0.0)</f>
        <v>0</v>
      </c>
      <c r="O184" s="96">
        <f>IFERROR(__xludf.DUMMYFUNCTION("""COMPUTED_VALUE"""),0.0)</f>
        <v>0</v>
      </c>
      <c r="P184" s="96">
        <f>IFERROR(__xludf.DUMMYFUNCTION("""COMPUTED_VALUE"""),0.0)</f>
        <v>0</v>
      </c>
      <c r="Q184" s="129">
        <f>IFERROR(__xludf.DUMMYFUNCTION("""COMPUTED_VALUE"""),0.0)</f>
        <v>0</v>
      </c>
      <c r="R184" s="99"/>
    </row>
    <row r="185">
      <c r="A185" s="96">
        <f>IFERROR(__xludf.DUMMYFUNCTION("""COMPUTED_VALUE"""),14.0)</f>
        <v>14</v>
      </c>
      <c r="B185" s="98">
        <f>IFERROR(__xludf.DUMMYFUNCTION("""COMPUTED_VALUE"""),44050.0)</f>
        <v>44050</v>
      </c>
      <c r="C185" s="96" t="str">
        <f>IFERROR(__xludf.DUMMYFUNCTION("""COMPUTED_VALUE"""),"RECTOR W.")</f>
        <v>RECTOR W.</v>
      </c>
      <c r="D185" s="96" t="str">
        <f>IFERROR(__xludf.DUMMYFUNCTION("""COMPUTED_VALUE"""),"RECTOR W.14")</f>
        <v>RECTOR W.14</v>
      </c>
      <c r="E185" s="96"/>
      <c r="F185" s="96"/>
      <c r="G185" s="96"/>
      <c r="H185" s="96"/>
      <c r="I185" s="96"/>
      <c r="J185" s="96"/>
      <c r="K185" s="96">
        <f>IFERROR(__xludf.DUMMYFUNCTION("""COMPUTED_VALUE"""),1530000.0)</f>
        <v>1530000</v>
      </c>
      <c r="L185" s="99">
        <f>IFERROR(__xludf.DUMMYFUNCTION("""COMPUTED_VALUE"""),1530000.0)</f>
        <v>1530000</v>
      </c>
      <c r="M185" s="96"/>
      <c r="N185" s="96">
        <f>IFERROR(__xludf.DUMMYFUNCTION("""COMPUTED_VALUE"""),0.0)</f>
        <v>0</v>
      </c>
      <c r="O185" s="96">
        <f>IFERROR(__xludf.DUMMYFUNCTION("""COMPUTED_VALUE"""),0.0)</f>
        <v>0</v>
      </c>
      <c r="P185" s="96">
        <f>IFERROR(__xludf.DUMMYFUNCTION("""COMPUTED_VALUE"""),0.0)</f>
        <v>0</v>
      </c>
      <c r="Q185" s="129">
        <f>IFERROR(__xludf.DUMMYFUNCTION("""COMPUTED_VALUE"""),0.0)</f>
        <v>0</v>
      </c>
      <c r="R185" s="99"/>
    </row>
    <row r="186">
      <c r="A186" s="96">
        <f>IFERROR(__xludf.DUMMYFUNCTION("""COMPUTED_VALUE"""),6.0)</f>
        <v>6</v>
      </c>
      <c r="B186" s="98">
        <f>IFERROR(__xludf.DUMMYFUNCTION("""COMPUTED_VALUE"""),44051.0)</f>
        <v>44051</v>
      </c>
      <c r="C186" s="96" t="str">
        <f>IFERROR(__xludf.DUMMYFUNCTION("""COMPUTED_VALUE"""),"ETUK EFFI")</f>
        <v>ETUK EFFI</v>
      </c>
      <c r="D186" s="96" t="str">
        <f>IFERROR(__xludf.DUMMYFUNCTION("""COMPUTED_VALUE"""),"ETUK EFFI6")</f>
        <v>ETUK EFFI6</v>
      </c>
      <c r="E186" s="96"/>
      <c r="F186" s="96"/>
      <c r="G186" s="96"/>
      <c r="H186" s="96"/>
      <c r="I186" s="96"/>
      <c r="J186" s="96"/>
      <c r="K186" s="96">
        <f>IFERROR(__xludf.DUMMYFUNCTION("""COMPUTED_VALUE"""),1379140.0)</f>
        <v>1379140</v>
      </c>
      <c r="L186" s="99">
        <f>IFERROR(__xludf.DUMMYFUNCTION("""COMPUTED_VALUE"""),1379140.0)</f>
        <v>1379140</v>
      </c>
      <c r="M186" s="96"/>
      <c r="N186" s="96">
        <f>IFERROR(__xludf.DUMMYFUNCTION("""COMPUTED_VALUE"""),0.0)</f>
        <v>0</v>
      </c>
      <c r="O186" s="96">
        <f>IFERROR(__xludf.DUMMYFUNCTION("""COMPUTED_VALUE"""),0.0)</f>
        <v>0</v>
      </c>
      <c r="P186" s="96">
        <f>IFERROR(__xludf.DUMMYFUNCTION("""COMPUTED_VALUE"""),0.0)</f>
        <v>0</v>
      </c>
      <c r="Q186" s="129">
        <f>IFERROR(__xludf.DUMMYFUNCTION("""COMPUTED_VALUE"""),0.0)</f>
        <v>0</v>
      </c>
      <c r="R186" s="99"/>
    </row>
    <row r="187">
      <c r="A187" s="96">
        <f>IFERROR(__xludf.DUMMYFUNCTION("""COMPUTED_VALUE"""),15.0)</f>
        <v>15</v>
      </c>
      <c r="B187" s="98">
        <f>IFERROR(__xludf.DUMMYFUNCTION("""COMPUTED_VALUE"""),44051.0)</f>
        <v>44051</v>
      </c>
      <c r="C187" s="96" t="str">
        <f>IFERROR(__xludf.DUMMYFUNCTION("""COMPUTED_VALUE"""),"RECTOR W.")</f>
        <v>RECTOR W.</v>
      </c>
      <c r="D187" s="96" t="str">
        <f>IFERROR(__xludf.DUMMYFUNCTION("""COMPUTED_VALUE"""),"RECTOR W.15")</f>
        <v>RECTOR W.15</v>
      </c>
      <c r="E187" s="96"/>
      <c r="F187" s="96"/>
      <c r="G187" s="96"/>
      <c r="H187" s="96"/>
      <c r="I187" s="96"/>
      <c r="J187" s="96"/>
      <c r="K187" s="96">
        <f>IFERROR(__xludf.DUMMYFUNCTION("""COMPUTED_VALUE"""),75000.0)</f>
        <v>75000</v>
      </c>
      <c r="L187" s="99">
        <f>IFERROR(__xludf.DUMMYFUNCTION("""COMPUTED_VALUE"""),75000.0)</f>
        <v>75000</v>
      </c>
      <c r="M187" s="96"/>
      <c r="N187" s="96">
        <f>IFERROR(__xludf.DUMMYFUNCTION("""COMPUTED_VALUE"""),0.0)</f>
        <v>0</v>
      </c>
      <c r="O187" s="96">
        <f>IFERROR(__xludf.DUMMYFUNCTION("""COMPUTED_VALUE"""),0.0)</f>
        <v>0</v>
      </c>
      <c r="P187" s="96">
        <f>IFERROR(__xludf.DUMMYFUNCTION("""COMPUTED_VALUE"""),0.0)</f>
        <v>0</v>
      </c>
      <c r="Q187" s="129">
        <f>IFERROR(__xludf.DUMMYFUNCTION("""COMPUTED_VALUE"""),0.0)</f>
        <v>0</v>
      </c>
      <c r="R187" s="99"/>
    </row>
    <row r="188">
      <c r="A188" s="96">
        <f>IFERROR(__xludf.DUMMYFUNCTION("""COMPUTED_VALUE"""),4.0)</f>
        <v>4</v>
      </c>
      <c r="B188" s="98">
        <f>IFERROR(__xludf.DUMMYFUNCTION("""COMPUTED_VALUE"""),44051.0)</f>
        <v>44051</v>
      </c>
      <c r="C188" s="96" t="str">
        <f>IFERROR(__xludf.DUMMYFUNCTION("""COMPUTED_VALUE"""),"BOSURU  BOSURU")</f>
        <v>BOSURU  BOSURU</v>
      </c>
      <c r="D188" s="96" t="str">
        <f>IFERROR(__xludf.DUMMYFUNCTION("""COMPUTED_VALUE"""),"BOSURU  BOSURU4")</f>
        <v>BOSURU  BOSURU4</v>
      </c>
      <c r="E188" s="96"/>
      <c r="F188" s="96"/>
      <c r="G188" s="96"/>
      <c r="H188" s="96"/>
      <c r="I188" s="96"/>
      <c r="J188" s="96"/>
      <c r="K188" s="96">
        <f>IFERROR(__xludf.DUMMYFUNCTION("""COMPUTED_VALUE"""),200000.0)</f>
        <v>200000</v>
      </c>
      <c r="L188" s="99">
        <f>IFERROR(__xludf.DUMMYFUNCTION("""COMPUTED_VALUE"""),200000.0)</f>
        <v>200000</v>
      </c>
      <c r="M188" s="96"/>
      <c r="N188" s="96">
        <f>IFERROR(__xludf.DUMMYFUNCTION("""COMPUTED_VALUE"""),0.0)</f>
        <v>0</v>
      </c>
      <c r="O188" s="96">
        <f>IFERROR(__xludf.DUMMYFUNCTION("""COMPUTED_VALUE"""),0.0)</f>
        <v>0</v>
      </c>
      <c r="P188" s="96">
        <f>IFERROR(__xludf.DUMMYFUNCTION("""COMPUTED_VALUE"""),0.0)</f>
        <v>0</v>
      </c>
      <c r="Q188" s="129">
        <f>IFERROR(__xludf.DUMMYFUNCTION("""COMPUTED_VALUE"""),0.0)</f>
        <v>0</v>
      </c>
      <c r="R188" s="99"/>
    </row>
    <row r="189">
      <c r="A189" s="96">
        <f>IFERROR(__xludf.DUMMYFUNCTION("""COMPUTED_VALUE"""),10.0)</f>
        <v>10</v>
      </c>
      <c r="B189" s="98">
        <f>IFERROR(__xludf.DUMMYFUNCTION("""COMPUTED_VALUE"""),44052.0)</f>
        <v>44052</v>
      </c>
      <c r="C189" s="96" t="str">
        <f>IFERROR(__xludf.DUMMYFUNCTION("""COMPUTED_VALUE"""),"NDOMA BODE I.D")</f>
        <v>NDOMA BODE I.D</v>
      </c>
      <c r="D189" s="96" t="str">
        <f>IFERROR(__xludf.DUMMYFUNCTION("""COMPUTED_VALUE"""),"NDOMA BODE I.D10")</f>
        <v>NDOMA BODE I.D10</v>
      </c>
      <c r="E189" s="96">
        <f>IFERROR(__xludf.DUMMYFUNCTION("""COMPUTED_VALUE"""),908.0)</f>
        <v>908</v>
      </c>
      <c r="F189" s="96">
        <f>IFERROR(__xludf.DUMMYFUNCTION("""COMPUTED_VALUE"""),129.0)</f>
        <v>129</v>
      </c>
      <c r="G189" s="96"/>
      <c r="H189" s="96">
        <f>IFERROR(__xludf.DUMMYFUNCTION("""COMPUTED_VALUE"""),14.0)</f>
        <v>14</v>
      </c>
      <c r="I189" s="96">
        <f>IFERROR(__xludf.DUMMYFUNCTION("""COMPUTED_VALUE"""),0.0)</f>
        <v>0</v>
      </c>
      <c r="J189" s="96">
        <f>IFERROR(__xludf.DUMMYFUNCTION("""COMPUTED_VALUE"""),647.43)</f>
        <v>647.43</v>
      </c>
      <c r="K189" s="96"/>
      <c r="L189" s="99">
        <f>IFERROR(__xludf.DUMMYFUNCTION("""COMPUTED_VALUE"""),-571680.0)</f>
        <v>-571680</v>
      </c>
      <c r="M189" s="96">
        <f>IFERROR(__xludf.DUMMYFUNCTION("""COMPUTED_VALUE"""),9.21)</f>
        <v>9.21</v>
      </c>
      <c r="N189" s="96">
        <f>IFERROR(__xludf.DUMMYFUNCTION("""COMPUTED_VALUE"""),11.0)</f>
        <v>11</v>
      </c>
      <c r="O189" s="96">
        <f>IFERROR(__xludf.DUMMYFUNCTION("""COMPUTED_VALUE"""),14.0)</f>
        <v>14</v>
      </c>
      <c r="P189" s="96">
        <f>IFERROR(__xludf.DUMMYFUNCTION("""COMPUTED_VALUE"""),0.0)</f>
        <v>0</v>
      </c>
      <c r="Q189" s="129">
        <f>IFERROR(__xludf.DUMMYFUNCTION("""COMPUTED_VALUE"""),883.0)</f>
        <v>883</v>
      </c>
      <c r="R189" s="99">
        <f>IFERROR(__xludf.DUMMYFUNCTION("""COMPUTED_VALUE"""),571680.0)</f>
        <v>571680</v>
      </c>
    </row>
    <row r="190">
      <c r="A190" s="96">
        <f>IFERROR(__xludf.DUMMYFUNCTION("""COMPUTED_VALUE"""),3.0)</f>
        <v>3</v>
      </c>
      <c r="B190" s="98">
        <f>IFERROR(__xludf.DUMMYFUNCTION("""COMPUTED_VALUE"""),44053.0)</f>
        <v>44053</v>
      </c>
      <c r="C190" s="96" t="str">
        <f>IFERROR(__xludf.DUMMYFUNCTION("""COMPUTED_VALUE"""),"NDOMA PETER")</f>
        <v>NDOMA PETER</v>
      </c>
      <c r="D190" s="96" t="str">
        <f>IFERROR(__xludf.DUMMYFUNCTION("""COMPUTED_VALUE"""),"NDOMA PETER3")</f>
        <v>NDOMA PETER3</v>
      </c>
      <c r="E190" s="96">
        <f>IFERROR(__xludf.DUMMYFUNCTION("""COMPUTED_VALUE"""),1397.0)</f>
        <v>1397</v>
      </c>
      <c r="F190" s="96">
        <f>IFERROR(__xludf.DUMMYFUNCTION("""COMPUTED_VALUE"""),198.0)</f>
        <v>198</v>
      </c>
      <c r="G190" s="96"/>
      <c r="H190" s="96">
        <f>IFERROR(__xludf.DUMMYFUNCTION("""COMPUTED_VALUE"""),21.0)</f>
        <v>21</v>
      </c>
      <c r="I190" s="96"/>
      <c r="J190" s="96">
        <f>IFERROR(__xludf.DUMMYFUNCTION("""COMPUTED_VALUE"""),800.0)</f>
        <v>800</v>
      </c>
      <c r="K190" s="96"/>
      <c r="L190" s="99">
        <f>IFERROR(__xludf.DUMMYFUNCTION("""COMPUTED_VALUE"""),-1084800.0)</f>
        <v>-1084800</v>
      </c>
      <c r="M190" s="96">
        <f>IFERROR(__xludf.DUMMYFUNCTION("""COMPUTED_VALUE"""),9.43)</f>
        <v>9.43</v>
      </c>
      <c r="N190" s="96">
        <f>IFERROR(__xludf.DUMMYFUNCTION("""COMPUTED_VALUE"""),20.0)</f>
        <v>20</v>
      </c>
      <c r="O190" s="96">
        <f>IFERROR(__xludf.DUMMYFUNCTION("""COMPUTED_VALUE"""),21.0)</f>
        <v>21</v>
      </c>
      <c r="P190" s="96">
        <f>IFERROR(__xludf.DUMMYFUNCTION("""COMPUTED_VALUE"""),33.0)</f>
        <v>33</v>
      </c>
      <c r="Q190" s="129">
        <f>IFERROR(__xludf.DUMMYFUNCTION("""COMPUTED_VALUE"""),1356.0)</f>
        <v>1356</v>
      </c>
      <c r="R190" s="99">
        <f>IFERROR(__xludf.DUMMYFUNCTION("""COMPUTED_VALUE"""),1084800.0)</f>
        <v>1084800</v>
      </c>
    </row>
    <row r="191">
      <c r="A191" s="96">
        <f>IFERROR(__xludf.DUMMYFUNCTION("""COMPUTED_VALUE"""),6.0)</f>
        <v>6</v>
      </c>
      <c r="B191" s="98">
        <f>IFERROR(__xludf.DUMMYFUNCTION("""COMPUTED_VALUE"""),44051.0)</f>
        <v>44051</v>
      </c>
      <c r="C191" s="96" t="str">
        <f>IFERROR(__xludf.DUMMYFUNCTION("""COMPUTED_VALUE"""),"EDWARD OKO")</f>
        <v>EDWARD OKO</v>
      </c>
      <c r="D191" s="96" t="str">
        <f>IFERROR(__xludf.DUMMYFUNCTION("""COMPUTED_VALUE"""),"EDWARD OKO6")</f>
        <v>EDWARD OKO6</v>
      </c>
      <c r="E191" s="96">
        <f>IFERROR(__xludf.DUMMYFUNCTION("""COMPUTED_VALUE"""),1596.0)</f>
        <v>1596</v>
      </c>
      <c r="F191" s="96">
        <f>IFERROR(__xludf.DUMMYFUNCTION("""COMPUTED_VALUE"""),211.5)</f>
        <v>211.5</v>
      </c>
      <c r="G191" s="96"/>
      <c r="H191" s="96">
        <f>IFERROR(__xludf.DUMMYFUNCTION("""COMPUTED_VALUE"""),24.0)</f>
        <v>24</v>
      </c>
      <c r="I191" s="96"/>
      <c r="J191" s="96">
        <f>IFERROR(__xludf.DUMMYFUNCTION("""COMPUTED_VALUE"""),820.0)</f>
        <v>820</v>
      </c>
      <c r="K191" s="96"/>
      <c r="L191" s="99">
        <f>IFERROR(__xludf.DUMMYFUNCTION("""COMPUTED_VALUE"""),-1278380.0)</f>
        <v>-1278380</v>
      </c>
      <c r="M191" s="96">
        <f>IFERROR(__xludf.DUMMYFUNCTION("""COMPUTED_VALUE"""),8.81)</f>
        <v>8.81</v>
      </c>
      <c r="N191" s="96">
        <f>IFERROR(__xludf.DUMMYFUNCTION("""COMPUTED_VALUE"""),13.0)</f>
        <v>13</v>
      </c>
      <c r="O191" s="96">
        <f>IFERROR(__xludf.DUMMYFUNCTION("""COMPUTED_VALUE"""),24.0)</f>
        <v>24</v>
      </c>
      <c r="P191" s="96">
        <f>IFERROR(__xludf.DUMMYFUNCTION("""COMPUTED_VALUE"""),47.0)</f>
        <v>47</v>
      </c>
      <c r="Q191" s="129">
        <f>IFERROR(__xludf.DUMMYFUNCTION("""COMPUTED_VALUE"""),1559.0)</f>
        <v>1559</v>
      </c>
      <c r="R191" s="99">
        <f>IFERROR(__xludf.DUMMYFUNCTION("""COMPUTED_VALUE"""),1278380.0)</f>
        <v>1278380</v>
      </c>
    </row>
    <row r="192">
      <c r="A192" s="96">
        <f>IFERROR(__xludf.DUMMYFUNCTION("""COMPUTED_VALUE"""),5.0)</f>
        <v>5</v>
      </c>
      <c r="B192" s="98">
        <f>IFERROR(__xludf.DUMMYFUNCTION("""COMPUTED_VALUE"""),44048.0)</f>
        <v>44048</v>
      </c>
      <c r="C192" s="96" t="str">
        <f>IFERROR(__xludf.DUMMYFUNCTION("""COMPUTED_VALUE"""),"ALFRED ALABI")</f>
        <v>ALFRED ALABI</v>
      </c>
      <c r="D192" s="96" t="str">
        <f>IFERROR(__xludf.DUMMYFUNCTION("""COMPUTED_VALUE"""),"ALFRED ALABI5")</f>
        <v>ALFRED ALABI5</v>
      </c>
      <c r="E192" s="96">
        <f>IFERROR(__xludf.DUMMYFUNCTION("""COMPUTED_VALUE"""),1040.0)</f>
        <v>1040</v>
      </c>
      <c r="F192" s="96">
        <f>IFERROR(__xludf.DUMMYFUNCTION("""COMPUTED_VALUE"""),120.0)</f>
        <v>120</v>
      </c>
      <c r="G192" s="96"/>
      <c r="H192" s="96">
        <f>IFERROR(__xludf.DUMMYFUNCTION("""COMPUTED_VALUE"""),15.0)</f>
        <v>15</v>
      </c>
      <c r="I192" s="96"/>
      <c r="J192" s="96">
        <f>IFERROR(__xludf.DUMMYFUNCTION("""COMPUTED_VALUE"""),790.0)</f>
        <v>790</v>
      </c>
      <c r="K192" s="96"/>
      <c r="L192" s="99">
        <f>IFERROR(__xludf.DUMMYFUNCTION("""COMPUTED_VALUE"""),-809750.0)</f>
        <v>-809750</v>
      </c>
      <c r="M192" s="96">
        <f>IFERROR(__xludf.DUMMYFUNCTION("""COMPUTED_VALUE"""),8.0)</f>
        <v>8</v>
      </c>
      <c r="N192" s="96">
        <f>IFERROR(__xludf.DUMMYFUNCTION("""COMPUTED_VALUE"""),0.0)</f>
        <v>0</v>
      </c>
      <c r="O192" s="96">
        <f>IFERROR(__xludf.DUMMYFUNCTION("""COMPUTED_VALUE"""),16.0)</f>
        <v>16</v>
      </c>
      <c r="P192" s="96">
        <f>IFERROR(__xludf.DUMMYFUNCTION("""COMPUTED_VALUE"""),16.0)</f>
        <v>16</v>
      </c>
      <c r="Q192" s="129">
        <f>IFERROR(__xludf.DUMMYFUNCTION("""COMPUTED_VALUE"""),1025.0)</f>
        <v>1025</v>
      </c>
      <c r="R192" s="99">
        <f>IFERROR(__xludf.DUMMYFUNCTION("""COMPUTED_VALUE"""),809750.0)</f>
        <v>809750</v>
      </c>
    </row>
    <row r="193">
      <c r="A193" s="96">
        <f>IFERROR(__xludf.DUMMYFUNCTION("""COMPUTED_VALUE"""),16.0)</f>
        <v>16</v>
      </c>
      <c r="B193" s="98">
        <f>IFERROR(__xludf.DUMMYFUNCTION("""COMPUTED_VALUE"""),44053.0)</f>
        <v>44053</v>
      </c>
      <c r="C193" s="96" t="str">
        <f>IFERROR(__xludf.DUMMYFUNCTION("""COMPUTED_VALUE"""),"RECTOR W.")</f>
        <v>RECTOR W.</v>
      </c>
      <c r="D193" s="96" t="str">
        <f>IFERROR(__xludf.DUMMYFUNCTION("""COMPUTED_VALUE"""),"RECTOR W.16")</f>
        <v>RECTOR W.16</v>
      </c>
      <c r="E193" s="96">
        <f>IFERROR(__xludf.DUMMYFUNCTION("""COMPUTED_VALUE"""),1420.0)</f>
        <v>1420</v>
      </c>
      <c r="F193" s="96">
        <f>IFERROR(__xludf.DUMMYFUNCTION("""COMPUTED_VALUE"""),176.0)</f>
        <v>176</v>
      </c>
      <c r="G193" s="96"/>
      <c r="H193" s="96">
        <f>IFERROR(__xludf.DUMMYFUNCTION("""COMPUTED_VALUE"""),22.0)</f>
        <v>22</v>
      </c>
      <c r="I193" s="96"/>
      <c r="J193" s="96">
        <f>IFERROR(__xludf.DUMMYFUNCTION("""COMPUTED_VALUE"""),780.0)</f>
        <v>780</v>
      </c>
      <c r="K193" s="96"/>
      <c r="L193" s="99">
        <f>IFERROR(__xludf.DUMMYFUNCTION("""COMPUTED_VALUE"""),-1090440.0)</f>
        <v>-1090440</v>
      </c>
      <c r="M193" s="96">
        <f>IFERROR(__xludf.DUMMYFUNCTION("""COMPUTED_VALUE"""),8.0)</f>
        <v>8</v>
      </c>
      <c r="N193" s="96">
        <f>IFERROR(__xludf.DUMMYFUNCTION("""COMPUTED_VALUE"""),0.0)</f>
        <v>0</v>
      </c>
      <c r="O193" s="96">
        <f>IFERROR(__xludf.DUMMYFUNCTION("""COMPUTED_VALUE"""),22.0)</f>
        <v>22</v>
      </c>
      <c r="P193" s="96">
        <f>IFERROR(__xludf.DUMMYFUNCTION("""COMPUTED_VALUE"""),12.0)</f>
        <v>12</v>
      </c>
      <c r="Q193" s="129">
        <f>IFERROR(__xludf.DUMMYFUNCTION("""COMPUTED_VALUE"""),1398.0)</f>
        <v>1398</v>
      </c>
      <c r="R193" s="99">
        <f>IFERROR(__xludf.DUMMYFUNCTION("""COMPUTED_VALUE"""),1090440.0)</f>
        <v>1090440</v>
      </c>
    </row>
    <row r="194">
      <c r="A194" s="96">
        <f>IFERROR(__xludf.DUMMYFUNCTION("""COMPUTED_VALUE"""),5.0)</f>
        <v>5</v>
      </c>
      <c r="B194" s="98">
        <f>IFERROR(__xludf.DUMMYFUNCTION("""COMPUTED_VALUE"""),44053.0)</f>
        <v>44053</v>
      </c>
      <c r="C194" s="96" t="str">
        <f>IFERROR(__xludf.DUMMYFUNCTION("""COMPUTED_VALUE"""),"ZULU &amp; NDOMA")</f>
        <v>ZULU &amp; NDOMA</v>
      </c>
      <c r="D194" s="96" t="str">
        <f>IFERROR(__xludf.DUMMYFUNCTION("""COMPUTED_VALUE"""),"ZULU &amp; NDOMA5")</f>
        <v>ZULU &amp; NDOMA5</v>
      </c>
      <c r="E194" s="96">
        <f>IFERROR(__xludf.DUMMYFUNCTION("""COMPUTED_VALUE"""),129.0)</f>
        <v>129</v>
      </c>
      <c r="F194" s="96">
        <f>IFERROR(__xludf.DUMMYFUNCTION("""COMPUTED_VALUE"""),16.0)</f>
        <v>16</v>
      </c>
      <c r="G194" s="96"/>
      <c r="H194" s="96">
        <f>IFERROR(__xludf.DUMMYFUNCTION("""COMPUTED_VALUE"""),2.0)</f>
        <v>2</v>
      </c>
      <c r="I194" s="96"/>
      <c r="J194" s="96">
        <f>IFERROR(__xludf.DUMMYFUNCTION("""COMPUTED_VALUE"""),800.0)</f>
        <v>800</v>
      </c>
      <c r="K194" s="96"/>
      <c r="L194" s="99">
        <f>IFERROR(__xludf.DUMMYFUNCTION("""COMPUTED_VALUE"""),-101600.0)</f>
        <v>-101600</v>
      </c>
      <c r="M194" s="96">
        <f>IFERROR(__xludf.DUMMYFUNCTION("""COMPUTED_VALUE"""),8.0)</f>
        <v>8</v>
      </c>
      <c r="N194" s="96">
        <f>IFERROR(__xludf.DUMMYFUNCTION("""COMPUTED_VALUE"""),0.0)</f>
        <v>0</v>
      </c>
      <c r="O194" s="96">
        <f>IFERROR(__xludf.DUMMYFUNCTION("""COMPUTED_VALUE"""),2.0)</f>
        <v>2</v>
      </c>
      <c r="P194" s="96">
        <f>IFERROR(__xludf.DUMMYFUNCTION("""COMPUTED_VALUE"""),0.0)</f>
        <v>0</v>
      </c>
      <c r="Q194" s="129">
        <f>IFERROR(__xludf.DUMMYFUNCTION("""COMPUTED_VALUE"""),127.0)</f>
        <v>127</v>
      </c>
      <c r="R194" s="99">
        <f>IFERROR(__xludf.DUMMYFUNCTION("""COMPUTED_VALUE"""),101600.0)</f>
        <v>101600</v>
      </c>
    </row>
    <row r="195">
      <c r="A195" s="96">
        <f>IFERROR(__xludf.DUMMYFUNCTION("""COMPUTED_VALUE"""),5.0)</f>
        <v>5</v>
      </c>
      <c r="B195" s="98">
        <f>IFERROR(__xludf.DUMMYFUNCTION("""COMPUTED_VALUE"""),44051.0)</f>
        <v>44051</v>
      </c>
      <c r="C195" s="96" t="str">
        <f>IFERROR(__xludf.DUMMYFUNCTION("""COMPUTED_VALUE"""),"BOSURU  BOSURU")</f>
        <v>BOSURU  BOSURU</v>
      </c>
      <c r="D195" s="96" t="str">
        <f>IFERROR(__xludf.DUMMYFUNCTION("""COMPUTED_VALUE"""),"BOSURU  BOSURU5")</f>
        <v>BOSURU  BOSURU5</v>
      </c>
      <c r="E195" s="96">
        <f>IFERROR(__xludf.DUMMYFUNCTION("""COMPUTED_VALUE"""),232.0)</f>
        <v>232</v>
      </c>
      <c r="F195" s="96">
        <f>IFERROR(__xludf.DUMMYFUNCTION("""COMPUTED_VALUE"""),23.66)</f>
        <v>23.66</v>
      </c>
      <c r="G195" s="96"/>
      <c r="H195" s="96">
        <f>IFERROR(__xludf.DUMMYFUNCTION("""COMPUTED_VALUE"""),2.0)</f>
        <v>2</v>
      </c>
      <c r="I195" s="96"/>
      <c r="J195" s="96">
        <f>IFERROR(__xludf.DUMMYFUNCTION("""COMPUTED_VALUE"""),800.0)</f>
        <v>800</v>
      </c>
      <c r="K195" s="96"/>
      <c r="L195" s="99">
        <f>IFERROR(__xludf.DUMMYFUNCTION("""COMPUTED_VALUE"""),-176800.0)</f>
        <v>-176800</v>
      </c>
      <c r="M195" s="96">
        <f>IFERROR(__xludf.DUMMYFUNCTION("""COMPUTED_VALUE"""),11.83)</f>
        <v>11.83</v>
      </c>
      <c r="N195" s="96">
        <f>IFERROR(__xludf.DUMMYFUNCTION("""COMPUTED_VALUE"""),9.0)</f>
        <v>9</v>
      </c>
      <c r="O195" s="96">
        <f>IFERROR(__xludf.DUMMYFUNCTION("""COMPUTED_VALUE"""),3.0)</f>
        <v>3</v>
      </c>
      <c r="P195" s="96">
        <f>IFERROR(__xludf.DUMMYFUNCTION("""COMPUTED_VALUE"""),32.0)</f>
        <v>32</v>
      </c>
      <c r="Q195" s="129">
        <f>IFERROR(__xludf.DUMMYFUNCTION("""COMPUTED_VALUE"""),221.0)</f>
        <v>221</v>
      </c>
      <c r="R195" s="99">
        <f>IFERROR(__xludf.DUMMYFUNCTION("""COMPUTED_VALUE"""),176800.0)</f>
        <v>176800</v>
      </c>
    </row>
    <row r="196">
      <c r="A196" s="96">
        <f>IFERROR(__xludf.DUMMYFUNCTION("""COMPUTED_VALUE"""),3.0)</f>
        <v>3</v>
      </c>
      <c r="B196" s="98">
        <f>IFERROR(__xludf.DUMMYFUNCTION("""COMPUTED_VALUE"""),44052.0)</f>
        <v>44052</v>
      </c>
      <c r="C196" s="96" t="str">
        <f>IFERROR(__xludf.DUMMYFUNCTION("""COMPUTED_VALUE"""),"EUGENE")</f>
        <v>EUGENE</v>
      </c>
      <c r="D196" s="96" t="str">
        <f>IFERROR(__xludf.DUMMYFUNCTION("""COMPUTED_VALUE"""),"EUGENE3")</f>
        <v>EUGENE3</v>
      </c>
      <c r="E196" s="96">
        <f>IFERROR(__xludf.DUMMYFUNCTION("""COMPUTED_VALUE"""),212.0)</f>
        <v>212</v>
      </c>
      <c r="F196" s="96">
        <f>IFERROR(__xludf.DUMMYFUNCTION("""COMPUTED_VALUE"""),25.5)</f>
        <v>25.5</v>
      </c>
      <c r="G196" s="96"/>
      <c r="H196" s="96">
        <f>IFERROR(__xludf.DUMMYFUNCTION("""COMPUTED_VALUE"""),3.0)</f>
        <v>3</v>
      </c>
      <c r="I196" s="96"/>
      <c r="J196" s="96">
        <f>IFERROR(__xludf.DUMMYFUNCTION("""COMPUTED_VALUE"""),800.0)</f>
        <v>800</v>
      </c>
      <c r="K196" s="96"/>
      <c r="L196" s="99">
        <f>IFERROR(__xludf.DUMMYFUNCTION("""COMPUTED_VALUE"""),-166400.0)</f>
        <v>-166400</v>
      </c>
      <c r="M196" s="96">
        <f>IFERROR(__xludf.DUMMYFUNCTION("""COMPUTED_VALUE"""),8.5)</f>
        <v>8.5</v>
      </c>
      <c r="N196" s="96">
        <f>IFERROR(__xludf.DUMMYFUNCTION("""COMPUTED_VALUE"""),1.0)</f>
        <v>1</v>
      </c>
      <c r="O196" s="96">
        <f>IFERROR(__xludf.DUMMYFUNCTION("""COMPUTED_VALUE"""),3.0)</f>
        <v>3</v>
      </c>
      <c r="P196" s="96">
        <f>IFERROR(__xludf.DUMMYFUNCTION("""COMPUTED_VALUE"""),19.0)</f>
        <v>19</v>
      </c>
      <c r="Q196" s="129">
        <f>IFERROR(__xludf.DUMMYFUNCTION("""COMPUTED_VALUE"""),208.0)</f>
        <v>208</v>
      </c>
      <c r="R196" s="99">
        <f>IFERROR(__xludf.DUMMYFUNCTION("""COMPUTED_VALUE"""),166400.0)</f>
        <v>166400</v>
      </c>
    </row>
    <row r="197">
      <c r="A197" s="96">
        <f>IFERROR(__xludf.DUMMYFUNCTION("""COMPUTED_VALUE"""),4.0)</f>
        <v>4</v>
      </c>
      <c r="B197" s="98">
        <f>IFERROR(__xludf.DUMMYFUNCTION("""COMPUTED_VALUE"""),44054.0)</f>
        <v>44054</v>
      </c>
      <c r="C197" s="96" t="str">
        <f>IFERROR(__xludf.DUMMYFUNCTION("""COMPUTED_VALUE"""),"EMMANUEL OKO ")</f>
        <v>EMMANUEL OKO </v>
      </c>
      <c r="D197" s="96" t="str">
        <f>IFERROR(__xludf.DUMMYFUNCTION("""COMPUTED_VALUE"""),"EMMANUEL OKO 4")</f>
        <v>EMMANUEL OKO 4</v>
      </c>
      <c r="E197" s="96">
        <f>IFERROR(__xludf.DUMMYFUNCTION("""COMPUTED_VALUE"""),133.0)</f>
        <v>133</v>
      </c>
      <c r="F197" s="96">
        <f>IFERROR(__xludf.DUMMYFUNCTION("""COMPUTED_VALUE"""),24.0)</f>
        <v>24</v>
      </c>
      <c r="G197" s="96"/>
      <c r="H197" s="96">
        <f>IFERROR(__xludf.DUMMYFUNCTION("""COMPUTED_VALUE"""),3.0)</f>
        <v>3</v>
      </c>
      <c r="I197" s="96"/>
      <c r="J197" s="96">
        <f>IFERROR(__xludf.DUMMYFUNCTION("""COMPUTED_VALUE"""),750.0)</f>
        <v>750</v>
      </c>
      <c r="K197" s="96"/>
      <c r="L197" s="99">
        <f>IFERROR(__xludf.DUMMYFUNCTION("""COMPUTED_VALUE"""),-97500.0)</f>
        <v>-97500</v>
      </c>
      <c r="M197" s="96">
        <f>IFERROR(__xludf.DUMMYFUNCTION("""COMPUTED_VALUE"""),8.0)</f>
        <v>8</v>
      </c>
      <c r="N197" s="96">
        <f>IFERROR(__xludf.DUMMYFUNCTION("""COMPUTED_VALUE"""),0.0)</f>
        <v>0</v>
      </c>
      <c r="O197" s="96">
        <f>IFERROR(__xludf.DUMMYFUNCTION("""COMPUTED_VALUE"""),2.0)</f>
        <v>2</v>
      </c>
      <c r="P197" s="96">
        <f>IFERROR(__xludf.DUMMYFUNCTION("""COMPUTED_VALUE"""),4.0)</f>
        <v>4</v>
      </c>
      <c r="Q197" s="129">
        <f>IFERROR(__xludf.DUMMYFUNCTION("""COMPUTED_VALUE"""),130.0)</f>
        <v>130</v>
      </c>
      <c r="R197" s="99">
        <f>IFERROR(__xludf.DUMMYFUNCTION("""COMPUTED_VALUE"""),97500.0)</f>
        <v>97500</v>
      </c>
    </row>
    <row r="198">
      <c r="A198" s="96">
        <f>IFERROR(__xludf.DUMMYFUNCTION("""COMPUTED_VALUE"""),4.0)</f>
        <v>4</v>
      </c>
      <c r="B198" s="98">
        <f>IFERROR(__xludf.DUMMYFUNCTION("""COMPUTED_VALUE"""),44054.0)</f>
        <v>44054</v>
      </c>
      <c r="C198" s="96" t="str">
        <f>IFERROR(__xludf.DUMMYFUNCTION("""COMPUTED_VALUE"""),"NDOMA PETER")</f>
        <v>NDOMA PETER</v>
      </c>
      <c r="D198" s="96" t="str">
        <f>IFERROR(__xludf.DUMMYFUNCTION("""COMPUTED_VALUE"""),"NDOMA PETER4")</f>
        <v>NDOMA PETER4</v>
      </c>
      <c r="E198" s="96"/>
      <c r="F198" s="96"/>
      <c r="G198" s="96"/>
      <c r="H198" s="96"/>
      <c r="I198" s="96"/>
      <c r="J198" s="96"/>
      <c r="K198" s="96">
        <f>IFERROR(__xludf.DUMMYFUNCTION("""COMPUTED_VALUE"""),484800.0)</f>
        <v>484800</v>
      </c>
      <c r="L198" s="99">
        <f>IFERROR(__xludf.DUMMYFUNCTION("""COMPUTED_VALUE"""),484800.0)</f>
        <v>484800</v>
      </c>
      <c r="M198" s="96"/>
      <c r="N198" s="96">
        <f>IFERROR(__xludf.DUMMYFUNCTION("""COMPUTED_VALUE"""),0.0)</f>
        <v>0</v>
      </c>
      <c r="O198" s="96">
        <f>IFERROR(__xludf.DUMMYFUNCTION("""COMPUTED_VALUE"""),0.0)</f>
        <v>0</v>
      </c>
      <c r="P198" s="96">
        <f>IFERROR(__xludf.DUMMYFUNCTION("""COMPUTED_VALUE"""),0.0)</f>
        <v>0</v>
      </c>
      <c r="Q198" s="129">
        <f>IFERROR(__xludf.DUMMYFUNCTION("""COMPUTED_VALUE"""),0.0)</f>
        <v>0</v>
      </c>
      <c r="R198" s="99"/>
    </row>
    <row r="199">
      <c r="A199" s="96">
        <f>IFERROR(__xludf.DUMMYFUNCTION("""COMPUTED_VALUE"""),11.0)</f>
        <v>11</v>
      </c>
      <c r="B199" s="98">
        <f>IFERROR(__xludf.DUMMYFUNCTION("""COMPUTED_VALUE"""),44054.0)</f>
        <v>44054</v>
      </c>
      <c r="C199" s="96" t="str">
        <f>IFERROR(__xludf.DUMMYFUNCTION("""COMPUTED_VALUE"""),"NDOMA BODE I.D")</f>
        <v>NDOMA BODE I.D</v>
      </c>
      <c r="D199" s="96" t="str">
        <f>IFERROR(__xludf.DUMMYFUNCTION("""COMPUTED_VALUE"""),"NDOMA BODE I.D11")</f>
        <v>NDOMA BODE I.D11</v>
      </c>
      <c r="E199" s="96"/>
      <c r="F199" s="96"/>
      <c r="G199" s="96"/>
      <c r="H199" s="96"/>
      <c r="I199" s="96"/>
      <c r="J199" s="96"/>
      <c r="K199" s="96">
        <f>IFERROR(__xludf.DUMMYFUNCTION("""COMPUTED_VALUE"""),14400.0)</f>
        <v>14400</v>
      </c>
      <c r="L199" s="99">
        <f>IFERROR(__xludf.DUMMYFUNCTION("""COMPUTED_VALUE"""),14400.0)</f>
        <v>14400</v>
      </c>
      <c r="M199" s="96"/>
      <c r="N199" s="96">
        <f>IFERROR(__xludf.DUMMYFUNCTION("""COMPUTED_VALUE"""),0.0)</f>
        <v>0</v>
      </c>
      <c r="O199" s="96">
        <f>IFERROR(__xludf.DUMMYFUNCTION("""COMPUTED_VALUE"""),0.0)</f>
        <v>0</v>
      </c>
      <c r="P199" s="96">
        <f>IFERROR(__xludf.DUMMYFUNCTION("""COMPUTED_VALUE"""),0.0)</f>
        <v>0</v>
      </c>
      <c r="Q199" s="129">
        <f>IFERROR(__xludf.DUMMYFUNCTION("""COMPUTED_VALUE"""),0.0)</f>
        <v>0</v>
      </c>
      <c r="R199" s="99"/>
    </row>
    <row r="200">
      <c r="A200" s="96">
        <f>IFERROR(__xludf.DUMMYFUNCTION("""COMPUTED_VALUE"""),13.0)</f>
        <v>13</v>
      </c>
      <c r="B200" s="98">
        <f>IFERROR(__xludf.DUMMYFUNCTION("""COMPUTED_VALUE"""),44054.0)</f>
        <v>44054</v>
      </c>
      <c r="C200" s="96" t="str">
        <f>IFERROR(__xludf.DUMMYFUNCTION("""COMPUTED_VALUE"""),"CONNECT")</f>
        <v>CONNECT</v>
      </c>
      <c r="D200" s="96" t="str">
        <f>IFERROR(__xludf.DUMMYFUNCTION("""COMPUTED_VALUE"""),"CONNECT13")</f>
        <v>CONNECT13</v>
      </c>
      <c r="E200" s="96"/>
      <c r="F200" s="96"/>
      <c r="G200" s="96"/>
      <c r="H200" s="96"/>
      <c r="I200" s="96"/>
      <c r="J200" s="96"/>
      <c r="K200" s="96">
        <f>IFERROR(__xludf.DUMMYFUNCTION("""COMPUTED_VALUE"""),3000000.0)</f>
        <v>3000000</v>
      </c>
      <c r="L200" s="99">
        <f>IFERROR(__xludf.DUMMYFUNCTION("""COMPUTED_VALUE"""),3000000.0)</f>
        <v>3000000</v>
      </c>
      <c r="M200" s="96"/>
      <c r="N200" s="96">
        <f>IFERROR(__xludf.DUMMYFUNCTION("""COMPUTED_VALUE"""),0.0)</f>
        <v>0</v>
      </c>
      <c r="O200" s="96">
        <f>IFERROR(__xludf.DUMMYFUNCTION("""COMPUTED_VALUE"""),0.0)</f>
        <v>0</v>
      </c>
      <c r="P200" s="96">
        <f>IFERROR(__xludf.DUMMYFUNCTION("""COMPUTED_VALUE"""),0.0)</f>
        <v>0</v>
      </c>
      <c r="Q200" s="129">
        <f>IFERROR(__xludf.DUMMYFUNCTION("""COMPUTED_VALUE"""),0.0)</f>
        <v>0</v>
      </c>
      <c r="R200" s="99"/>
    </row>
    <row r="201">
      <c r="A201" s="96">
        <f>IFERROR(__xludf.DUMMYFUNCTION("""COMPUTED_VALUE"""),14.0)</f>
        <v>14</v>
      </c>
      <c r="B201" s="98">
        <f>IFERROR(__xludf.DUMMYFUNCTION("""COMPUTED_VALUE"""),44054.0)</f>
        <v>44054</v>
      </c>
      <c r="C201" s="96" t="str">
        <f>IFERROR(__xludf.DUMMYFUNCTION("""COMPUTED_VALUE"""),"CONNECT")</f>
        <v>CONNECT</v>
      </c>
      <c r="D201" s="96" t="str">
        <f>IFERROR(__xludf.DUMMYFUNCTION("""COMPUTED_VALUE"""),"CONNECT14")</f>
        <v>CONNECT14</v>
      </c>
      <c r="E201" s="96"/>
      <c r="F201" s="96"/>
      <c r="G201" s="96"/>
      <c r="H201" s="96"/>
      <c r="I201" s="96"/>
      <c r="J201" s="96"/>
      <c r="K201" s="96">
        <f>IFERROR(__xludf.DUMMYFUNCTION("""COMPUTED_VALUE"""),100000.0)</f>
        <v>100000</v>
      </c>
      <c r="L201" s="99">
        <f>IFERROR(__xludf.DUMMYFUNCTION("""COMPUTED_VALUE"""),100000.0)</f>
        <v>100000</v>
      </c>
      <c r="M201" s="96"/>
      <c r="N201" s="96">
        <f>IFERROR(__xludf.DUMMYFUNCTION("""COMPUTED_VALUE"""),0.0)</f>
        <v>0</v>
      </c>
      <c r="O201" s="96">
        <f>IFERROR(__xludf.DUMMYFUNCTION("""COMPUTED_VALUE"""),0.0)</f>
        <v>0</v>
      </c>
      <c r="P201" s="96">
        <f>IFERROR(__xludf.DUMMYFUNCTION("""COMPUTED_VALUE"""),0.0)</f>
        <v>0</v>
      </c>
      <c r="Q201" s="129">
        <f>IFERROR(__xludf.DUMMYFUNCTION("""COMPUTED_VALUE"""),0.0)</f>
        <v>0</v>
      </c>
      <c r="R201" s="99"/>
    </row>
    <row r="202">
      <c r="A202" s="96">
        <f>IFERROR(__xludf.DUMMYFUNCTION("""COMPUTED_VALUE"""),12.0)</f>
        <v>12</v>
      </c>
      <c r="B202" s="98">
        <f>IFERROR(__xludf.DUMMYFUNCTION("""COMPUTED_VALUE"""),44054.0)</f>
        <v>44054</v>
      </c>
      <c r="C202" s="96" t="str">
        <f>IFERROR(__xludf.DUMMYFUNCTION("""COMPUTED_VALUE"""),"NDOMA BODE I.D")</f>
        <v>NDOMA BODE I.D</v>
      </c>
      <c r="D202" s="96" t="str">
        <f>IFERROR(__xludf.DUMMYFUNCTION("""COMPUTED_VALUE"""),"NDOMA BODE I.D12")</f>
        <v>NDOMA BODE I.D12</v>
      </c>
      <c r="E202" s="96"/>
      <c r="F202" s="96"/>
      <c r="G202" s="96"/>
      <c r="H202" s="96"/>
      <c r="I202" s="96"/>
      <c r="J202" s="96"/>
      <c r="K202" s="96">
        <f>IFERROR(__xludf.DUMMYFUNCTION("""COMPUTED_VALUE"""),1000000.0)</f>
        <v>1000000</v>
      </c>
      <c r="L202" s="99">
        <f>IFERROR(__xludf.DUMMYFUNCTION("""COMPUTED_VALUE"""),1000000.0)</f>
        <v>1000000</v>
      </c>
      <c r="M202" s="96"/>
      <c r="N202" s="96">
        <f>IFERROR(__xludf.DUMMYFUNCTION("""COMPUTED_VALUE"""),0.0)</f>
        <v>0</v>
      </c>
      <c r="O202" s="96">
        <f>IFERROR(__xludf.DUMMYFUNCTION("""COMPUTED_VALUE"""),0.0)</f>
        <v>0</v>
      </c>
      <c r="P202" s="96">
        <f>IFERROR(__xludf.DUMMYFUNCTION("""COMPUTED_VALUE"""),0.0)</f>
        <v>0</v>
      </c>
      <c r="Q202" s="129">
        <f>IFERROR(__xludf.DUMMYFUNCTION("""COMPUTED_VALUE"""),0.0)</f>
        <v>0</v>
      </c>
      <c r="R202" s="99"/>
    </row>
    <row r="203">
      <c r="A203" s="96">
        <f>IFERROR(__xludf.DUMMYFUNCTION("""COMPUTED_VALUE"""),11.0)</f>
        <v>11</v>
      </c>
      <c r="B203" s="98">
        <f>IFERROR(__xludf.DUMMYFUNCTION("""COMPUTED_VALUE"""),44054.0)</f>
        <v>44054</v>
      </c>
      <c r="C203" s="96" t="str">
        <f>IFERROR(__xludf.DUMMYFUNCTION("""COMPUTED_VALUE"""),"LIVINUS")</f>
        <v>LIVINUS</v>
      </c>
      <c r="D203" s="96" t="str">
        <f>IFERROR(__xludf.DUMMYFUNCTION("""COMPUTED_VALUE"""),"LIVINUS11")</f>
        <v>LIVINUS11</v>
      </c>
      <c r="E203" s="96"/>
      <c r="F203" s="96"/>
      <c r="G203" s="96"/>
      <c r="H203" s="96"/>
      <c r="I203" s="96"/>
      <c r="J203" s="96"/>
      <c r="K203" s="96">
        <f>IFERROR(__xludf.DUMMYFUNCTION("""COMPUTED_VALUE"""),512000.0)</f>
        <v>512000</v>
      </c>
      <c r="L203" s="99">
        <f>IFERROR(__xludf.DUMMYFUNCTION("""COMPUTED_VALUE"""),512000.0)</f>
        <v>512000</v>
      </c>
      <c r="M203" s="96"/>
      <c r="N203" s="96">
        <f>IFERROR(__xludf.DUMMYFUNCTION("""COMPUTED_VALUE"""),0.0)</f>
        <v>0</v>
      </c>
      <c r="O203" s="96">
        <f>IFERROR(__xludf.DUMMYFUNCTION("""COMPUTED_VALUE"""),0.0)</f>
        <v>0</v>
      </c>
      <c r="P203" s="96">
        <f>IFERROR(__xludf.DUMMYFUNCTION("""COMPUTED_VALUE"""),0.0)</f>
        <v>0</v>
      </c>
      <c r="Q203" s="129">
        <f>IFERROR(__xludf.DUMMYFUNCTION("""COMPUTED_VALUE"""),0.0)</f>
        <v>0</v>
      </c>
      <c r="R203" s="99"/>
    </row>
    <row r="204">
      <c r="A204" s="96">
        <f>IFERROR(__xludf.DUMMYFUNCTION("""COMPUTED_VALUE"""),7.0)</f>
        <v>7</v>
      </c>
      <c r="B204" s="98">
        <f>IFERROR(__xludf.DUMMYFUNCTION("""COMPUTED_VALUE"""),44054.0)</f>
        <v>44054</v>
      </c>
      <c r="C204" s="96" t="str">
        <f>IFERROR(__xludf.DUMMYFUNCTION("""COMPUTED_VALUE"""),"ETUK EFFI")</f>
        <v>ETUK EFFI</v>
      </c>
      <c r="D204" s="96" t="str">
        <f>IFERROR(__xludf.DUMMYFUNCTION("""COMPUTED_VALUE"""),"ETUK EFFI7")</f>
        <v>ETUK EFFI7</v>
      </c>
      <c r="E204" s="96"/>
      <c r="F204" s="96"/>
      <c r="G204" s="96"/>
      <c r="H204" s="96"/>
      <c r="I204" s="96"/>
      <c r="J204" s="96"/>
      <c r="K204" s="96">
        <f>IFERROR(__xludf.DUMMYFUNCTION("""COMPUTED_VALUE"""),1500000.0)</f>
        <v>1500000</v>
      </c>
      <c r="L204" s="99">
        <f>IFERROR(__xludf.DUMMYFUNCTION("""COMPUTED_VALUE"""),1500000.0)</f>
        <v>1500000</v>
      </c>
      <c r="M204" s="96"/>
      <c r="N204" s="96">
        <f>IFERROR(__xludf.DUMMYFUNCTION("""COMPUTED_VALUE"""),0.0)</f>
        <v>0</v>
      </c>
      <c r="O204" s="96">
        <f>IFERROR(__xludf.DUMMYFUNCTION("""COMPUTED_VALUE"""),0.0)</f>
        <v>0</v>
      </c>
      <c r="P204" s="96">
        <f>IFERROR(__xludf.DUMMYFUNCTION("""COMPUTED_VALUE"""),0.0)</f>
        <v>0</v>
      </c>
      <c r="Q204" s="129">
        <f>IFERROR(__xludf.DUMMYFUNCTION("""COMPUTED_VALUE"""),0.0)</f>
        <v>0</v>
      </c>
      <c r="R204" s="99"/>
    </row>
    <row r="205">
      <c r="A205" s="96">
        <f>IFERROR(__xludf.DUMMYFUNCTION("""COMPUTED_VALUE"""),2.0)</f>
        <v>2</v>
      </c>
      <c r="B205" s="98">
        <f>IFERROR(__xludf.DUMMYFUNCTION("""COMPUTED_VALUE"""),44054.0)</f>
        <v>44054</v>
      </c>
      <c r="C205" s="96" t="str">
        <f>IFERROR(__xludf.DUMMYFUNCTION("""COMPUTED_VALUE"""),"NAOMI")</f>
        <v>NAOMI</v>
      </c>
      <c r="D205" s="96" t="str">
        <f>IFERROR(__xludf.DUMMYFUNCTION("""COMPUTED_VALUE"""),"NAOMI2")</f>
        <v>NAOMI2</v>
      </c>
      <c r="E205" s="96"/>
      <c r="F205" s="96"/>
      <c r="G205" s="96"/>
      <c r="H205" s="96"/>
      <c r="I205" s="96"/>
      <c r="J205" s="96"/>
      <c r="K205" s="96">
        <f>IFERROR(__xludf.DUMMYFUNCTION("""COMPUTED_VALUE"""),10000.0)</f>
        <v>10000</v>
      </c>
      <c r="L205" s="99">
        <f>IFERROR(__xludf.DUMMYFUNCTION("""COMPUTED_VALUE"""),10000.0)</f>
        <v>10000</v>
      </c>
      <c r="M205" s="96"/>
      <c r="N205" s="96">
        <f>IFERROR(__xludf.DUMMYFUNCTION("""COMPUTED_VALUE"""),0.0)</f>
        <v>0</v>
      </c>
      <c r="O205" s="96">
        <f>IFERROR(__xludf.DUMMYFUNCTION("""COMPUTED_VALUE"""),0.0)</f>
        <v>0</v>
      </c>
      <c r="P205" s="96">
        <f>IFERROR(__xludf.DUMMYFUNCTION("""COMPUTED_VALUE"""),0.0)</f>
        <v>0</v>
      </c>
      <c r="Q205" s="129">
        <f>IFERROR(__xludf.DUMMYFUNCTION("""COMPUTED_VALUE"""),0.0)</f>
        <v>0</v>
      </c>
      <c r="R205" s="99"/>
    </row>
    <row r="206">
      <c r="A206" s="96">
        <f>IFERROR(__xludf.DUMMYFUNCTION("""COMPUTED_VALUE"""),2.0)</f>
        <v>2</v>
      </c>
      <c r="B206" s="98">
        <f>IFERROR(__xludf.DUMMYFUNCTION("""COMPUTED_VALUE"""),44054.0)</f>
        <v>44054</v>
      </c>
      <c r="C206" s="96" t="str">
        <f>IFERROR(__xludf.DUMMYFUNCTION("""COMPUTED_VALUE"""),"RI SAMP")</f>
        <v>RI SAMP</v>
      </c>
      <c r="D206" s="96" t="str">
        <f>IFERROR(__xludf.DUMMYFUNCTION("""COMPUTED_VALUE"""),"RI SAMP2")</f>
        <v>RI SAMP2</v>
      </c>
      <c r="E206" s="96"/>
      <c r="F206" s="96"/>
      <c r="G206" s="96"/>
      <c r="H206" s="96"/>
      <c r="I206" s="96"/>
      <c r="J206" s="96"/>
      <c r="K206" s="96">
        <f>IFERROR(__xludf.DUMMYFUNCTION("""COMPUTED_VALUE"""),429600.0)</f>
        <v>429600</v>
      </c>
      <c r="L206" s="99">
        <f>IFERROR(__xludf.DUMMYFUNCTION("""COMPUTED_VALUE"""),429600.0)</f>
        <v>429600</v>
      </c>
      <c r="M206" s="96"/>
      <c r="N206" s="96">
        <f>IFERROR(__xludf.DUMMYFUNCTION("""COMPUTED_VALUE"""),0.0)</f>
        <v>0</v>
      </c>
      <c r="O206" s="96">
        <f>IFERROR(__xludf.DUMMYFUNCTION("""COMPUTED_VALUE"""),0.0)</f>
        <v>0</v>
      </c>
      <c r="P206" s="96">
        <f>IFERROR(__xludf.DUMMYFUNCTION("""COMPUTED_VALUE"""),0.0)</f>
        <v>0</v>
      </c>
      <c r="Q206" s="129">
        <f>IFERROR(__xludf.DUMMYFUNCTION("""COMPUTED_VALUE"""),0.0)</f>
        <v>0</v>
      </c>
      <c r="R206" s="99"/>
    </row>
    <row r="207">
      <c r="A207" s="96">
        <f>IFERROR(__xludf.DUMMYFUNCTION("""COMPUTED_VALUE"""),8.0)</f>
        <v>8</v>
      </c>
      <c r="B207" s="98">
        <f>IFERROR(__xludf.DUMMYFUNCTION("""COMPUTED_VALUE"""),44054.0)</f>
        <v>44054</v>
      </c>
      <c r="C207" s="96" t="str">
        <f>IFERROR(__xludf.DUMMYFUNCTION("""COMPUTED_VALUE"""),"JAMES AKAN")</f>
        <v>JAMES AKAN</v>
      </c>
      <c r="D207" s="96" t="str">
        <f>IFERROR(__xludf.DUMMYFUNCTION("""COMPUTED_VALUE"""),"JAMES AKAN8")</f>
        <v>JAMES AKAN8</v>
      </c>
      <c r="E207" s="96"/>
      <c r="F207" s="96"/>
      <c r="G207" s="96"/>
      <c r="H207" s="96"/>
      <c r="I207" s="96"/>
      <c r="J207" s="96"/>
      <c r="K207" s="96">
        <f>IFERROR(__xludf.DUMMYFUNCTION("""COMPUTED_VALUE"""),670000.0)</f>
        <v>670000</v>
      </c>
      <c r="L207" s="99">
        <f>IFERROR(__xludf.DUMMYFUNCTION("""COMPUTED_VALUE"""),670000.0)</f>
        <v>670000</v>
      </c>
      <c r="M207" s="96"/>
      <c r="N207" s="96">
        <f>IFERROR(__xludf.DUMMYFUNCTION("""COMPUTED_VALUE"""),0.0)</f>
        <v>0</v>
      </c>
      <c r="O207" s="96">
        <f>IFERROR(__xludf.DUMMYFUNCTION("""COMPUTED_VALUE"""),0.0)</f>
        <v>0</v>
      </c>
      <c r="P207" s="96">
        <f>IFERROR(__xludf.DUMMYFUNCTION("""COMPUTED_VALUE"""),0.0)</f>
        <v>0</v>
      </c>
      <c r="Q207" s="129">
        <f>IFERROR(__xludf.DUMMYFUNCTION("""COMPUTED_VALUE"""),0.0)</f>
        <v>0</v>
      </c>
      <c r="R207" s="99"/>
    </row>
    <row r="208">
      <c r="A208" s="96">
        <f>IFERROR(__xludf.DUMMYFUNCTION("""COMPUTED_VALUE"""),5.0)</f>
        <v>5</v>
      </c>
      <c r="B208" s="98">
        <f>IFERROR(__xludf.DUMMYFUNCTION("""COMPUTED_VALUE"""),44054.0)</f>
        <v>44054</v>
      </c>
      <c r="C208" s="96" t="str">
        <f>IFERROR(__xludf.DUMMYFUNCTION("""COMPUTED_VALUE"""),"EMMANUEL OKO ")</f>
        <v>EMMANUEL OKO </v>
      </c>
      <c r="D208" s="96" t="str">
        <f>IFERROR(__xludf.DUMMYFUNCTION("""COMPUTED_VALUE"""),"EMMANUEL OKO 5")</f>
        <v>EMMANUEL OKO 5</v>
      </c>
      <c r="E208" s="96"/>
      <c r="F208" s="96"/>
      <c r="G208" s="96"/>
      <c r="H208" s="96"/>
      <c r="I208" s="96"/>
      <c r="J208" s="96"/>
      <c r="K208" s="96">
        <f>IFERROR(__xludf.DUMMYFUNCTION("""COMPUTED_VALUE"""),500000.0)</f>
        <v>500000</v>
      </c>
      <c r="L208" s="99">
        <f>IFERROR(__xludf.DUMMYFUNCTION("""COMPUTED_VALUE"""),500000.0)</f>
        <v>500000</v>
      </c>
      <c r="M208" s="96"/>
      <c r="N208" s="96">
        <f>IFERROR(__xludf.DUMMYFUNCTION("""COMPUTED_VALUE"""),0.0)</f>
        <v>0</v>
      </c>
      <c r="O208" s="96">
        <f>IFERROR(__xludf.DUMMYFUNCTION("""COMPUTED_VALUE"""),0.0)</f>
        <v>0</v>
      </c>
      <c r="P208" s="96">
        <f>IFERROR(__xludf.DUMMYFUNCTION("""COMPUTED_VALUE"""),0.0)</f>
        <v>0</v>
      </c>
      <c r="Q208" s="129">
        <f>IFERROR(__xludf.DUMMYFUNCTION("""COMPUTED_VALUE"""),0.0)</f>
        <v>0</v>
      </c>
      <c r="R208" s="99"/>
    </row>
    <row r="209">
      <c r="A209" s="96">
        <f>IFERROR(__xludf.DUMMYFUNCTION("""COMPUTED_VALUE"""),4.0)</f>
        <v>4</v>
      </c>
      <c r="B209" s="98">
        <f>IFERROR(__xludf.DUMMYFUNCTION("""COMPUTED_VALUE"""),44054.0)</f>
        <v>44054</v>
      </c>
      <c r="C209" s="96" t="str">
        <f>IFERROR(__xludf.DUMMYFUNCTION("""COMPUTED_VALUE"""),"EUGENE")</f>
        <v>EUGENE</v>
      </c>
      <c r="D209" s="96" t="str">
        <f>IFERROR(__xludf.DUMMYFUNCTION("""COMPUTED_VALUE"""),"EUGENE4")</f>
        <v>EUGENE4</v>
      </c>
      <c r="E209" s="96"/>
      <c r="F209" s="96"/>
      <c r="G209" s="96"/>
      <c r="H209" s="96"/>
      <c r="I209" s="96"/>
      <c r="J209" s="96"/>
      <c r="K209" s="96">
        <f>IFERROR(__xludf.DUMMYFUNCTION("""COMPUTED_VALUE"""),300000.0)</f>
        <v>300000</v>
      </c>
      <c r="L209" s="99">
        <f>IFERROR(__xludf.DUMMYFUNCTION("""COMPUTED_VALUE"""),300000.0)</f>
        <v>300000</v>
      </c>
      <c r="M209" s="96"/>
      <c r="N209" s="96">
        <f>IFERROR(__xludf.DUMMYFUNCTION("""COMPUTED_VALUE"""),0.0)</f>
        <v>0</v>
      </c>
      <c r="O209" s="96">
        <f>IFERROR(__xludf.DUMMYFUNCTION("""COMPUTED_VALUE"""),0.0)</f>
        <v>0</v>
      </c>
      <c r="P209" s="96">
        <f>IFERROR(__xludf.DUMMYFUNCTION("""COMPUTED_VALUE"""),0.0)</f>
        <v>0</v>
      </c>
      <c r="Q209" s="129">
        <f>IFERROR(__xludf.DUMMYFUNCTION("""COMPUTED_VALUE"""),0.0)</f>
        <v>0</v>
      </c>
      <c r="R209" s="99"/>
    </row>
    <row r="210">
      <c r="A210" s="96">
        <f>IFERROR(__xludf.DUMMYFUNCTION("""COMPUTED_VALUE"""),6.0)</f>
        <v>6</v>
      </c>
      <c r="B210" s="98">
        <f>IFERROR(__xludf.DUMMYFUNCTION("""COMPUTED_VALUE"""),44054.0)</f>
        <v>44054</v>
      </c>
      <c r="C210" s="96" t="str">
        <f>IFERROR(__xludf.DUMMYFUNCTION("""COMPUTED_VALUE"""),"BOSURU  BOSURU")</f>
        <v>BOSURU  BOSURU</v>
      </c>
      <c r="D210" s="96" t="str">
        <f>IFERROR(__xludf.DUMMYFUNCTION("""COMPUTED_VALUE"""),"BOSURU  BOSURU6")</f>
        <v>BOSURU  BOSURU6</v>
      </c>
      <c r="E210" s="96"/>
      <c r="F210" s="96"/>
      <c r="G210" s="96"/>
      <c r="H210" s="96"/>
      <c r="I210" s="96"/>
      <c r="J210" s="96"/>
      <c r="K210" s="96">
        <f>IFERROR(__xludf.DUMMYFUNCTION("""COMPUTED_VALUE"""),200000.0)</f>
        <v>200000</v>
      </c>
      <c r="L210" s="99">
        <f>IFERROR(__xludf.DUMMYFUNCTION("""COMPUTED_VALUE"""),200000.0)</f>
        <v>200000</v>
      </c>
      <c r="M210" s="96"/>
      <c r="N210" s="96">
        <f>IFERROR(__xludf.DUMMYFUNCTION("""COMPUTED_VALUE"""),0.0)</f>
        <v>0</v>
      </c>
      <c r="O210" s="96">
        <f>IFERROR(__xludf.DUMMYFUNCTION("""COMPUTED_VALUE"""),0.0)</f>
        <v>0</v>
      </c>
      <c r="P210" s="96">
        <f>IFERROR(__xludf.DUMMYFUNCTION("""COMPUTED_VALUE"""),0.0)</f>
        <v>0</v>
      </c>
      <c r="Q210" s="129">
        <f>IFERROR(__xludf.DUMMYFUNCTION("""COMPUTED_VALUE"""),0.0)</f>
        <v>0</v>
      </c>
      <c r="R210" s="99"/>
    </row>
    <row r="211">
      <c r="A211" s="96">
        <f>IFERROR(__xludf.DUMMYFUNCTION("""COMPUTED_VALUE"""),2.0)</f>
        <v>2</v>
      </c>
      <c r="B211" s="98">
        <f>IFERROR(__xludf.DUMMYFUNCTION("""COMPUTED_VALUE"""),44054.0)</f>
        <v>44054</v>
      </c>
      <c r="C211" s="96" t="str">
        <f>IFERROR(__xludf.DUMMYFUNCTION("""COMPUTED_VALUE"""),"A. D. FREDERICK")</f>
        <v>A. D. FREDERICK</v>
      </c>
      <c r="D211" s="96" t="str">
        <f>IFERROR(__xludf.DUMMYFUNCTION("""COMPUTED_VALUE"""),"A. D. FREDERICK2")</f>
        <v>A. D. FREDERICK2</v>
      </c>
      <c r="E211" s="96"/>
      <c r="F211" s="96"/>
      <c r="G211" s="96"/>
      <c r="H211" s="96"/>
      <c r="I211" s="96"/>
      <c r="J211" s="96"/>
      <c r="K211" s="96">
        <f>IFERROR(__xludf.DUMMYFUNCTION("""COMPUTED_VALUE"""),200000.0)</f>
        <v>200000</v>
      </c>
      <c r="L211" s="99">
        <f>IFERROR(__xludf.DUMMYFUNCTION("""COMPUTED_VALUE"""),200000.0)</f>
        <v>200000</v>
      </c>
      <c r="M211" s="96"/>
      <c r="N211" s="96">
        <f>IFERROR(__xludf.DUMMYFUNCTION("""COMPUTED_VALUE"""),0.0)</f>
        <v>0</v>
      </c>
      <c r="O211" s="96">
        <f>IFERROR(__xludf.DUMMYFUNCTION("""COMPUTED_VALUE"""),0.0)</f>
        <v>0</v>
      </c>
      <c r="P211" s="96">
        <f>IFERROR(__xludf.DUMMYFUNCTION("""COMPUTED_VALUE"""),0.0)</f>
        <v>0</v>
      </c>
      <c r="Q211" s="129">
        <f>IFERROR(__xludf.DUMMYFUNCTION("""COMPUTED_VALUE"""),0.0)</f>
        <v>0</v>
      </c>
      <c r="R211" s="99"/>
    </row>
    <row r="212">
      <c r="A212" s="96">
        <f>IFERROR(__xludf.DUMMYFUNCTION("""COMPUTED_VALUE"""),3.0)</f>
        <v>3</v>
      </c>
      <c r="B212" s="98">
        <f>IFERROR(__xludf.DUMMYFUNCTION("""COMPUTED_VALUE"""),44054.0)</f>
        <v>44054</v>
      </c>
      <c r="C212" s="96" t="str">
        <f>IFERROR(__xludf.DUMMYFUNCTION("""COMPUTED_VALUE"""),"A. D. FREDERICK")</f>
        <v>A. D. FREDERICK</v>
      </c>
      <c r="D212" s="96" t="str">
        <f>IFERROR(__xludf.DUMMYFUNCTION("""COMPUTED_VALUE"""),"A. D. FREDERICK3")</f>
        <v>A. D. FREDERICK3</v>
      </c>
      <c r="E212" s="96"/>
      <c r="F212" s="96"/>
      <c r="G212" s="96"/>
      <c r="H212" s="96"/>
      <c r="I212" s="96"/>
      <c r="J212" s="96"/>
      <c r="K212" s="96">
        <f>IFERROR(__xludf.DUMMYFUNCTION("""COMPUTED_VALUE"""),300000.0)</f>
        <v>300000</v>
      </c>
      <c r="L212" s="99">
        <f>IFERROR(__xludf.DUMMYFUNCTION("""COMPUTED_VALUE"""),300000.0)</f>
        <v>300000</v>
      </c>
      <c r="M212" s="96"/>
      <c r="N212" s="96">
        <f>IFERROR(__xludf.DUMMYFUNCTION("""COMPUTED_VALUE"""),0.0)</f>
        <v>0</v>
      </c>
      <c r="O212" s="96">
        <f>IFERROR(__xludf.DUMMYFUNCTION("""COMPUTED_VALUE"""),0.0)</f>
        <v>0</v>
      </c>
      <c r="P212" s="96">
        <f>IFERROR(__xludf.DUMMYFUNCTION("""COMPUTED_VALUE"""),0.0)</f>
        <v>0</v>
      </c>
      <c r="Q212" s="129">
        <f>IFERROR(__xludf.DUMMYFUNCTION("""COMPUTED_VALUE"""),0.0)</f>
        <v>0</v>
      </c>
      <c r="R212" s="99"/>
    </row>
    <row r="213">
      <c r="A213" s="96">
        <f>IFERROR(__xludf.DUMMYFUNCTION("""COMPUTED_VALUE"""),5.0)</f>
        <v>5</v>
      </c>
      <c r="B213" s="98">
        <f>IFERROR(__xludf.DUMMYFUNCTION("""COMPUTED_VALUE"""),44054.0)</f>
        <v>44054</v>
      </c>
      <c r="C213" s="96" t="str">
        <f>IFERROR(__xludf.DUMMYFUNCTION("""COMPUTED_VALUE"""),"NDOMA PETER")</f>
        <v>NDOMA PETER</v>
      </c>
      <c r="D213" s="96" t="str">
        <f>IFERROR(__xludf.DUMMYFUNCTION("""COMPUTED_VALUE"""),"NDOMA PETER5")</f>
        <v>NDOMA PETER5</v>
      </c>
      <c r="E213" s="96"/>
      <c r="F213" s="96"/>
      <c r="G213" s="96"/>
      <c r="H213" s="96"/>
      <c r="I213" s="96"/>
      <c r="J213" s="96"/>
      <c r="K213" s="96">
        <f>IFERROR(__xludf.DUMMYFUNCTION("""COMPUTED_VALUE"""),600000.0)</f>
        <v>600000</v>
      </c>
      <c r="L213" s="99">
        <f>IFERROR(__xludf.DUMMYFUNCTION("""COMPUTED_VALUE"""),600000.0)</f>
        <v>600000</v>
      </c>
      <c r="M213" s="96"/>
      <c r="N213" s="96">
        <f>IFERROR(__xludf.DUMMYFUNCTION("""COMPUTED_VALUE"""),0.0)</f>
        <v>0</v>
      </c>
      <c r="O213" s="96">
        <f>IFERROR(__xludf.DUMMYFUNCTION("""COMPUTED_VALUE"""),0.0)</f>
        <v>0</v>
      </c>
      <c r="P213" s="96">
        <f>IFERROR(__xludf.DUMMYFUNCTION("""COMPUTED_VALUE"""),0.0)</f>
        <v>0</v>
      </c>
      <c r="Q213" s="129">
        <f>IFERROR(__xludf.DUMMYFUNCTION("""COMPUTED_VALUE"""),0.0)</f>
        <v>0</v>
      </c>
      <c r="R213" s="99"/>
    </row>
    <row r="214">
      <c r="A214" s="96">
        <f>IFERROR(__xludf.DUMMYFUNCTION("""COMPUTED_VALUE"""),1.0)</f>
        <v>1</v>
      </c>
      <c r="B214" s="98">
        <f>IFERROR(__xludf.DUMMYFUNCTION("""COMPUTED_VALUE"""),44054.0)</f>
        <v>44054</v>
      </c>
      <c r="C214" s="96" t="str">
        <f>IFERROR(__xludf.DUMMYFUNCTION("""COMPUTED_VALUE"""),"NDOMA NDOMA")</f>
        <v>NDOMA NDOMA</v>
      </c>
      <c r="D214" s="96" t="str">
        <f>IFERROR(__xludf.DUMMYFUNCTION("""COMPUTED_VALUE"""),"NDOMA NDOMA1")</f>
        <v>NDOMA NDOMA1</v>
      </c>
      <c r="E214" s="96"/>
      <c r="F214" s="96"/>
      <c r="G214" s="96"/>
      <c r="H214" s="96"/>
      <c r="I214" s="96"/>
      <c r="J214" s="96"/>
      <c r="K214" s="96">
        <f>IFERROR(__xludf.DUMMYFUNCTION("""COMPUTED_VALUE"""),200000.0)</f>
        <v>200000</v>
      </c>
      <c r="L214" s="99">
        <f>IFERROR(__xludf.DUMMYFUNCTION("""COMPUTED_VALUE"""),200000.0)</f>
        <v>200000</v>
      </c>
      <c r="M214" s="96"/>
      <c r="N214" s="96">
        <f>IFERROR(__xludf.DUMMYFUNCTION("""COMPUTED_VALUE"""),0.0)</f>
        <v>0</v>
      </c>
      <c r="O214" s="96">
        <f>IFERROR(__xludf.DUMMYFUNCTION("""COMPUTED_VALUE"""),0.0)</f>
        <v>0</v>
      </c>
      <c r="P214" s="96">
        <f>IFERROR(__xludf.DUMMYFUNCTION("""COMPUTED_VALUE"""),0.0)</f>
        <v>0</v>
      </c>
      <c r="Q214" s="129">
        <f>IFERROR(__xludf.DUMMYFUNCTION("""COMPUTED_VALUE"""),0.0)</f>
        <v>0</v>
      </c>
      <c r="R214" s="99"/>
    </row>
    <row r="215">
      <c r="A215" s="96">
        <f>IFERROR(__xludf.DUMMYFUNCTION("""COMPUTED_VALUE"""),5.0)</f>
        <v>5</v>
      </c>
      <c r="B215" s="98">
        <f>IFERROR(__xludf.DUMMYFUNCTION("""COMPUTED_VALUE"""),44054.0)</f>
        <v>44054</v>
      </c>
      <c r="C215" s="96" t="str">
        <f>IFERROR(__xludf.DUMMYFUNCTION("""COMPUTED_VALUE"""),"REMMY BODES")</f>
        <v>REMMY BODES</v>
      </c>
      <c r="D215" s="96" t="str">
        <f>IFERROR(__xludf.DUMMYFUNCTION("""COMPUTED_VALUE"""),"REMMY BODES5")</f>
        <v>REMMY BODES5</v>
      </c>
      <c r="E215" s="96"/>
      <c r="F215" s="96"/>
      <c r="G215" s="96"/>
      <c r="H215" s="96"/>
      <c r="I215" s="96"/>
      <c r="J215" s="96"/>
      <c r="K215" s="96">
        <f>IFERROR(__xludf.DUMMYFUNCTION("""COMPUTED_VALUE"""),500000.0)</f>
        <v>500000</v>
      </c>
      <c r="L215" s="99">
        <f>IFERROR(__xludf.DUMMYFUNCTION("""COMPUTED_VALUE"""),500000.0)</f>
        <v>500000</v>
      </c>
      <c r="M215" s="96"/>
      <c r="N215" s="96">
        <f>IFERROR(__xludf.DUMMYFUNCTION("""COMPUTED_VALUE"""),0.0)</f>
        <v>0</v>
      </c>
      <c r="O215" s="96">
        <f>IFERROR(__xludf.DUMMYFUNCTION("""COMPUTED_VALUE"""),0.0)</f>
        <v>0</v>
      </c>
      <c r="P215" s="96">
        <f>IFERROR(__xludf.DUMMYFUNCTION("""COMPUTED_VALUE"""),0.0)</f>
        <v>0</v>
      </c>
      <c r="Q215" s="129">
        <f>IFERROR(__xludf.DUMMYFUNCTION("""COMPUTED_VALUE"""),0.0)</f>
        <v>0</v>
      </c>
      <c r="R215" s="99"/>
    </row>
    <row r="216">
      <c r="A216" s="96">
        <f>IFERROR(__xludf.DUMMYFUNCTION("""COMPUTED_VALUE"""),6.0)</f>
        <v>6</v>
      </c>
      <c r="B216" s="98">
        <f>IFERROR(__xludf.DUMMYFUNCTION("""COMPUTED_VALUE"""),44055.0)</f>
        <v>44055</v>
      </c>
      <c r="C216" s="96" t="str">
        <f>IFERROR(__xludf.DUMMYFUNCTION("""COMPUTED_VALUE"""),"ZULU &amp; NDOMA")</f>
        <v>ZULU &amp; NDOMA</v>
      </c>
      <c r="D216" s="96" t="str">
        <f>IFERROR(__xludf.DUMMYFUNCTION("""COMPUTED_VALUE"""),"ZULU &amp; NDOMA6")</f>
        <v>ZULU &amp; NDOMA6</v>
      </c>
      <c r="E216" s="96"/>
      <c r="F216" s="96"/>
      <c r="G216" s="96"/>
      <c r="H216" s="96"/>
      <c r="I216" s="96"/>
      <c r="J216" s="96"/>
      <c r="K216" s="96">
        <f>IFERROR(__xludf.DUMMYFUNCTION("""COMPUTED_VALUE"""),100000.0)</f>
        <v>100000</v>
      </c>
      <c r="L216" s="99">
        <f>IFERROR(__xludf.DUMMYFUNCTION("""COMPUTED_VALUE"""),100000.0)</f>
        <v>100000</v>
      </c>
      <c r="M216" s="96"/>
      <c r="N216" s="96">
        <f>IFERROR(__xludf.DUMMYFUNCTION("""COMPUTED_VALUE"""),0.0)</f>
        <v>0</v>
      </c>
      <c r="O216" s="96">
        <f>IFERROR(__xludf.DUMMYFUNCTION("""COMPUTED_VALUE"""),0.0)</f>
        <v>0</v>
      </c>
      <c r="P216" s="96">
        <f>IFERROR(__xludf.DUMMYFUNCTION("""COMPUTED_VALUE"""),0.0)</f>
        <v>0</v>
      </c>
      <c r="Q216" s="129">
        <f>IFERROR(__xludf.DUMMYFUNCTION("""COMPUTED_VALUE"""),0.0)</f>
        <v>0</v>
      </c>
      <c r="R216" s="99"/>
    </row>
    <row r="217">
      <c r="A217" s="96">
        <f>IFERROR(__xludf.DUMMYFUNCTION("""COMPUTED_VALUE"""),12.0)</f>
        <v>12</v>
      </c>
      <c r="B217" s="98">
        <f>IFERROR(__xludf.DUMMYFUNCTION("""COMPUTED_VALUE"""),44055.0)</f>
        <v>44055</v>
      </c>
      <c r="C217" s="96" t="str">
        <f>IFERROR(__xludf.DUMMYFUNCTION("""COMPUTED_VALUE"""),"LIVINUS")</f>
        <v>LIVINUS</v>
      </c>
      <c r="D217" s="96" t="str">
        <f>IFERROR(__xludf.DUMMYFUNCTION("""COMPUTED_VALUE"""),"LIVINUS12")</f>
        <v>LIVINUS12</v>
      </c>
      <c r="E217" s="96"/>
      <c r="F217" s="96"/>
      <c r="G217" s="96"/>
      <c r="H217" s="96"/>
      <c r="I217" s="96"/>
      <c r="J217" s="96"/>
      <c r="K217" s="96">
        <f>IFERROR(__xludf.DUMMYFUNCTION("""COMPUTED_VALUE"""),1250000.0)</f>
        <v>1250000</v>
      </c>
      <c r="L217" s="99">
        <f>IFERROR(__xludf.DUMMYFUNCTION("""COMPUTED_VALUE"""),1250000.0)</f>
        <v>1250000</v>
      </c>
      <c r="M217" s="96"/>
      <c r="N217" s="96">
        <f>IFERROR(__xludf.DUMMYFUNCTION("""COMPUTED_VALUE"""),0.0)</f>
        <v>0</v>
      </c>
      <c r="O217" s="96">
        <f>IFERROR(__xludf.DUMMYFUNCTION("""COMPUTED_VALUE"""),0.0)</f>
        <v>0</v>
      </c>
      <c r="P217" s="96">
        <f>IFERROR(__xludf.DUMMYFUNCTION("""COMPUTED_VALUE"""),0.0)</f>
        <v>0</v>
      </c>
      <c r="Q217" s="129">
        <f>IFERROR(__xludf.DUMMYFUNCTION("""COMPUTED_VALUE"""),0.0)</f>
        <v>0</v>
      </c>
      <c r="R217" s="99"/>
    </row>
    <row r="218">
      <c r="A218" s="96">
        <f>IFERROR(__xludf.DUMMYFUNCTION("""COMPUTED_VALUE"""),1.0)</f>
        <v>1</v>
      </c>
      <c r="B218" s="98">
        <f>IFERROR(__xludf.DUMMYFUNCTION("""COMPUTED_VALUE"""),44055.0)</f>
        <v>44055</v>
      </c>
      <c r="C218" s="96" t="str">
        <f>IFERROR(__xludf.DUMMYFUNCTION("""COMPUTED_VALUE"""),"OMODION")</f>
        <v>OMODION</v>
      </c>
      <c r="D218" s="96" t="str">
        <f>IFERROR(__xludf.DUMMYFUNCTION("""COMPUTED_VALUE"""),"OMODION1")</f>
        <v>OMODION1</v>
      </c>
      <c r="E218" s="96"/>
      <c r="F218" s="96"/>
      <c r="G218" s="96"/>
      <c r="H218" s="96"/>
      <c r="I218" s="96"/>
      <c r="J218" s="96"/>
      <c r="K218" s="96">
        <f>IFERROR(__xludf.DUMMYFUNCTION("""COMPUTED_VALUE"""),500000.0)</f>
        <v>500000</v>
      </c>
      <c r="L218" s="99">
        <f>IFERROR(__xludf.DUMMYFUNCTION("""COMPUTED_VALUE"""),500000.0)</f>
        <v>500000</v>
      </c>
      <c r="M218" s="96"/>
      <c r="N218" s="96">
        <f>IFERROR(__xludf.DUMMYFUNCTION("""COMPUTED_VALUE"""),0.0)</f>
        <v>0</v>
      </c>
      <c r="O218" s="96">
        <f>IFERROR(__xludf.DUMMYFUNCTION("""COMPUTED_VALUE"""),0.0)</f>
        <v>0</v>
      </c>
      <c r="P218" s="96">
        <f>IFERROR(__xludf.DUMMYFUNCTION("""COMPUTED_VALUE"""),0.0)</f>
        <v>0</v>
      </c>
      <c r="Q218" s="129">
        <f>IFERROR(__xludf.DUMMYFUNCTION("""COMPUTED_VALUE"""),0.0)</f>
        <v>0</v>
      </c>
      <c r="R218" s="99"/>
    </row>
    <row r="219">
      <c r="A219" s="96">
        <f>IFERROR(__xludf.DUMMYFUNCTION("""COMPUTED_VALUE"""),2.0)</f>
        <v>2</v>
      </c>
      <c r="B219" s="98">
        <f>IFERROR(__xludf.DUMMYFUNCTION("""COMPUTED_VALUE"""),44056.0)</f>
        <v>44056</v>
      </c>
      <c r="C219" s="96" t="str">
        <f>IFERROR(__xludf.DUMMYFUNCTION("""COMPUTED_VALUE"""),"AUGUSTINE IGBA")</f>
        <v>AUGUSTINE IGBA</v>
      </c>
      <c r="D219" s="96" t="str">
        <f>IFERROR(__xludf.DUMMYFUNCTION("""COMPUTED_VALUE"""),"AUGUSTINE IGBA2")</f>
        <v>AUGUSTINE IGBA2</v>
      </c>
      <c r="E219" s="96"/>
      <c r="F219" s="96"/>
      <c r="G219" s="96"/>
      <c r="H219" s="96"/>
      <c r="I219" s="96"/>
      <c r="J219" s="96"/>
      <c r="K219" s="96">
        <f>IFERROR(__xludf.DUMMYFUNCTION("""COMPUTED_VALUE"""),1000000.0)</f>
        <v>1000000</v>
      </c>
      <c r="L219" s="99">
        <f>IFERROR(__xludf.DUMMYFUNCTION("""COMPUTED_VALUE"""),1000000.0)</f>
        <v>1000000</v>
      </c>
      <c r="M219" s="96"/>
      <c r="N219" s="96">
        <f>IFERROR(__xludf.DUMMYFUNCTION("""COMPUTED_VALUE"""),0.0)</f>
        <v>0</v>
      </c>
      <c r="O219" s="96">
        <f>IFERROR(__xludf.DUMMYFUNCTION("""COMPUTED_VALUE"""),0.0)</f>
        <v>0</v>
      </c>
      <c r="P219" s="96">
        <f>IFERROR(__xludf.DUMMYFUNCTION("""COMPUTED_VALUE"""),0.0)</f>
        <v>0</v>
      </c>
      <c r="Q219" s="129">
        <f>IFERROR(__xludf.DUMMYFUNCTION("""COMPUTED_VALUE"""),0.0)</f>
        <v>0</v>
      </c>
      <c r="R219" s="99"/>
    </row>
    <row r="220">
      <c r="A220" s="96">
        <f>IFERROR(__xludf.DUMMYFUNCTION("""COMPUTED_VALUE"""),8.0)</f>
        <v>8</v>
      </c>
      <c r="B220" s="98">
        <f>IFERROR(__xludf.DUMMYFUNCTION("""COMPUTED_VALUE"""),44056.0)</f>
        <v>44056</v>
      </c>
      <c r="C220" s="96" t="str">
        <f>IFERROR(__xludf.DUMMYFUNCTION("""COMPUTED_VALUE"""),"ETUK EFFI")</f>
        <v>ETUK EFFI</v>
      </c>
      <c r="D220" s="96" t="str">
        <f>IFERROR(__xludf.DUMMYFUNCTION("""COMPUTED_VALUE"""),"ETUK EFFI8")</f>
        <v>ETUK EFFI8</v>
      </c>
      <c r="E220" s="96"/>
      <c r="F220" s="96"/>
      <c r="G220" s="96"/>
      <c r="H220" s="96"/>
      <c r="I220" s="96"/>
      <c r="J220" s="96"/>
      <c r="K220" s="96">
        <f>IFERROR(__xludf.DUMMYFUNCTION("""COMPUTED_VALUE"""),500000.0)</f>
        <v>500000</v>
      </c>
      <c r="L220" s="99">
        <f>IFERROR(__xludf.DUMMYFUNCTION("""COMPUTED_VALUE"""),500000.0)</f>
        <v>500000</v>
      </c>
      <c r="M220" s="96"/>
      <c r="N220" s="96">
        <f>IFERROR(__xludf.DUMMYFUNCTION("""COMPUTED_VALUE"""),0.0)</f>
        <v>0</v>
      </c>
      <c r="O220" s="96">
        <f>IFERROR(__xludf.DUMMYFUNCTION("""COMPUTED_VALUE"""),0.0)</f>
        <v>0</v>
      </c>
      <c r="P220" s="96">
        <f>IFERROR(__xludf.DUMMYFUNCTION("""COMPUTED_VALUE"""),0.0)</f>
        <v>0</v>
      </c>
      <c r="Q220" s="129">
        <f>IFERROR(__xludf.DUMMYFUNCTION("""COMPUTED_VALUE"""),0.0)</f>
        <v>0</v>
      </c>
      <c r="R220" s="99"/>
    </row>
    <row r="221">
      <c r="A221" s="96">
        <f>IFERROR(__xludf.DUMMYFUNCTION("""COMPUTED_VALUE"""),14.0)</f>
        <v>14</v>
      </c>
      <c r="B221" s="98">
        <f>IFERROR(__xludf.DUMMYFUNCTION("""COMPUTED_VALUE"""),44055.0)</f>
        <v>44055</v>
      </c>
      <c r="C221" s="96" t="str">
        <f>IFERROR(__xludf.DUMMYFUNCTION("""COMPUTED_VALUE"""),"LYDIA HNSON ")</f>
        <v>LYDIA HNSON </v>
      </c>
      <c r="D221" s="96" t="str">
        <f>IFERROR(__xludf.DUMMYFUNCTION("""COMPUTED_VALUE"""),"LYDIA HNSON 14")</f>
        <v>LYDIA HNSON 14</v>
      </c>
      <c r="E221" s="96">
        <f>IFERROR(__xludf.DUMMYFUNCTION("""COMPUTED_VALUE"""),798.0)</f>
        <v>798</v>
      </c>
      <c r="F221" s="96">
        <f>IFERROR(__xludf.DUMMYFUNCTION("""COMPUTED_VALUE"""),104.0)</f>
        <v>104</v>
      </c>
      <c r="G221" s="96"/>
      <c r="H221" s="96">
        <f>IFERROR(__xludf.DUMMYFUNCTION("""COMPUTED_VALUE"""),13.0)</f>
        <v>13</v>
      </c>
      <c r="I221" s="96"/>
      <c r="J221" s="96">
        <f>IFERROR(__xludf.DUMMYFUNCTION("""COMPUTED_VALUE"""),800.0)</f>
        <v>800</v>
      </c>
      <c r="K221" s="96">
        <f>IFERROR(__xludf.DUMMYFUNCTION("""COMPUTED_VALUE"""),1000000.0)</f>
        <v>1000000</v>
      </c>
      <c r="L221" s="99">
        <f>IFERROR(__xludf.DUMMYFUNCTION("""COMPUTED_VALUE"""),372000.0)</f>
        <v>372000</v>
      </c>
      <c r="M221" s="96">
        <f>IFERROR(__xludf.DUMMYFUNCTION("""COMPUTED_VALUE"""),8.0)</f>
        <v>8</v>
      </c>
      <c r="N221" s="96">
        <f>IFERROR(__xludf.DUMMYFUNCTION("""COMPUTED_VALUE"""),0.0)</f>
        <v>0</v>
      </c>
      <c r="O221" s="96">
        <f>IFERROR(__xludf.DUMMYFUNCTION("""COMPUTED_VALUE"""),12.0)</f>
        <v>12</v>
      </c>
      <c r="P221" s="96">
        <f>IFERROR(__xludf.DUMMYFUNCTION("""COMPUTED_VALUE"""),29.0)</f>
        <v>29</v>
      </c>
      <c r="Q221" s="129">
        <f>IFERROR(__xludf.DUMMYFUNCTION("""COMPUTED_VALUE"""),785.0)</f>
        <v>785</v>
      </c>
      <c r="R221" s="99">
        <f>IFERROR(__xludf.DUMMYFUNCTION("""COMPUTED_VALUE"""),628000.0)</f>
        <v>628000</v>
      </c>
    </row>
    <row r="222">
      <c r="A222" s="96">
        <f>IFERROR(__xludf.DUMMYFUNCTION("""COMPUTED_VALUE"""),13.0)</f>
        <v>13</v>
      </c>
      <c r="B222" s="98">
        <f>IFERROR(__xludf.DUMMYFUNCTION("""COMPUTED_VALUE"""),44055.0)</f>
        <v>44055</v>
      </c>
      <c r="C222" s="96" t="str">
        <f>IFERROR(__xludf.DUMMYFUNCTION("""COMPUTED_VALUE"""),"LIVINUS")</f>
        <v>LIVINUS</v>
      </c>
      <c r="D222" s="96" t="str">
        <f>IFERROR(__xludf.DUMMYFUNCTION("""COMPUTED_VALUE"""),"LIVINUS13")</f>
        <v>LIVINUS13</v>
      </c>
      <c r="E222" s="96"/>
      <c r="F222" s="96"/>
      <c r="G222" s="96"/>
      <c r="H222" s="96"/>
      <c r="I222" s="96"/>
      <c r="J222" s="96"/>
      <c r="K222" s="96">
        <f>IFERROR(__xludf.DUMMYFUNCTION("""COMPUTED_VALUE"""),-1000000.0)</f>
        <v>-1000000</v>
      </c>
      <c r="L222" s="99">
        <f>IFERROR(__xludf.DUMMYFUNCTION("""COMPUTED_VALUE"""),-1000000.0)</f>
        <v>-1000000</v>
      </c>
      <c r="M222" s="96"/>
      <c r="N222" s="96">
        <f>IFERROR(__xludf.DUMMYFUNCTION("""COMPUTED_VALUE"""),0.0)</f>
        <v>0</v>
      </c>
      <c r="O222" s="96">
        <f>IFERROR(__xludf.DUMMYFUNCTION("""COMPUTED_VALUE"""),0.0)</f>
        <v>0</v>
      </c>
      <c r="P222" s="96">
        <f>IFERROR(__xludf.DUMMYFUNCTION("""COMPUTED_VALUE"""),0.0)</f>
        <v>0</v>
      </c>
      <c r="Q222" s="129">
        <f>IFERROR(__xludf.DUMMYFUNCTION("""COMPUTED_VALUE"""),0.0)</f>
        <v>0</v>
      </c>
      <c r="R222" s="99"/>
    </row>
    <row r="223">
      <c r="A223" s="96">
        <f>IFERROR(__xludf.DUMMYFUNCTION("""COMPUTED_VALUE"""),5.0)</f>
        <v>5</v>
      </c>
      <c r="B223" s="98">
        <f>IFERROR(__xludf.DUMMYFUNCTION("""COMPUTED_VALUE"""),44057.0)</f>
        <v>44057</v>
      </c>
      <c r="C223" s="96" t="str">
        <f>IFERROR(__xludf.DUMMYFUNCTION("""COMPUTED_VALUE"""),"ANDRDEW GREAT")</f>
        <v>ANDRDEW GREAT</v>
      </c>
      <c r="D223" s="96" t="str">
        <f>IFERROR(__xludf.DUMMYFUNCTION("""COMPUTED_VALUE"""),"ANDRDEW GREAT5")</f>
        <v>ANDRDEW GREAT5</v>
      </c>
      <c r="E223" s="96"/>
      <c r="F223" s="96"/>
      <c r="G223" s="96"/>
      <c r="H223" s="96"/>
      <c r="I223" s="96"/>
      <c r="J223" s="96"/>
      <c r="K223" s="96">
        <f>IFERROR(__xludf.DUMMYFUNCTION("""COMPUTED_VALUE"""),30000.0)</f>
        <v>30000</v>
      </c>
      <c r="L223" s="99">
        <f>IFERROR(__xludf.DUMMYFUNCTION("""COMPUTED_VALUE"""),30000.0)</f>
        <v>30000</v>
      </c>
      <c r="M223" s="96"/>
      <c r="N223" s="96">
        <f>IFERROR(__xludf.DUMMYFUNCTION("""COMPUTED_VALUE"""),0.0)</f>
        <v>0</v>
      </c>
      <c r="O223" s="96">
        <f>IFERROR(__xludf.DUMMYFUNCTION("""COMPUTED_VALUE"""),0.0)</f>
        <v>0</v>
      </c>
      <c r="P223" s="96">
        <f>IFERROR(__xludf.DUMMYFUNCTION("""COMPUTED_VALUE"""),0.0)</f>
        <v>0</v>
      </c>
      <c r="Q223" s="129">
        <f>IFERROR(__xludf.DUMMYFUNCTION("""COMPUTED_VALUE"""),0.0)</f>
        <v>0</v>
      </c>
      <c r="R223" s="99"/>
    </row>
    <row r="224">
      <c r="A224" s="96">
        <f>IFERROR(__xludf.DUMMYFUNCTION("""COMPUTED_VALUE"""),2.0)</f>
        <v>2</v>
      </c>
      <c r="B224" s="98">
        <f>IFERROR(__xludf.DUMMYFUNCTION("""COMPUTED_VALUE"""),44057.0)</f>
        <v>44057</v>
      </c>
      <c r="C224" s="96" t="str">
        <f>IFERROR(__xludf.DUMMYFUNCTION("""COMPUTED_VALUE"""),"OMODION")</f>
        <v>OMODION</v>
      </c>
      <c r="D224" s="96" t="str">
        <f>IFERROR(__xludf.DUMMYFUNCTION("""COMPUTED_VALUE"""),"OMODION2")</f>
        <v>OMODION2</v>
      </c>
      <c r="E224" s="96"/>
      <c r="F224" s="96"/>
      <c r="G224" s="96"/>
      <c r="H224" s="96"/>
      <c r="I224" s="96"/>
      <c r="J224" s="96"/>
      <c r="K224" s="96">
        <f>IFERROR(__xludf.DUMMYFUNCTION("""COMPUTED_VALUE"""),330000.0)</f>
        <v>330000</v>
      </c>
      <c r="L224" s="99">
        <f>IFERROR(__xludf.DUMMYFUNCTION("""COMPUTED_VALUE"""),330000.0)</f>
        <v>330000</v>
      </c>
      <c r="M224" s="96"/>
      <c r="N224" s="96">
        <f>IFERROR(__xludf.DUMMYFUNCTION("""COMPUTED_VALUE"""),0.0)</f>
        <v>0</v>
      </c>
      <c r="O224" s="96">
        <f>IFERROR(__xludf.DUMMYFUNCTION("""COMPUTED_VALUE"""),0.0)</f>
        <v>0</v>
      </c>
      <c r="P224" s="96">
        <f>IFERROR(__xludf.DUMMYFUNCTION("""COMPUTED_VALUE"""),0.0)</f>
        <v>0</v>
      </c>
      <c r="Q224" s="129">
        <f>IFERROR(__xludf.DUMMYFUNCTION("""COMPUTED_VALUE"""),0.0)</f>
        <v>0</v>
      </c>
      <c r="R224" s="99"/>
    </row>
    <row r="225">
      <c r="A225" s="96">
        <f>IFERROR(__xludf.DUMMYFUNCTION("""COMPUTED_VALUE"""),2.0)</f>
        <v>2</v>
      </c>
      <c r="B225" s="98">
        <f>IFERROR(__xludf.DUMMYFUNCTION("""COMPUTED_VALUE"""),44057.0)</f>
        <v>44057</v>
      </c>
      <c r="C225" s="96" t="str">
        <f>IFERROR(__xludf.DUMMYFUNCTION("""COMPUTED_VALUE"""),"OBIM TIWA HNSON")</f>
        <v>OBIM TIWA HNSON</v>
      </c>
      <c r="D225" s="96" t="str">
        <f>IFERROR(__xludf.DUMMYFUNCTION("""COMPUTED_VALUE"""),"OBIM TIWA HNSON2")</f>
        <v>OBIM TIWA HNSON2</v>
      </c>
      <c r="E225" s="96"/>
      <c r="F225" s="96"/>
      <c r="G225" s="96"/>
      <c r="H225" s="96"/>
      <c r="I225" s="96"/>
      <c r="J225" s="96"/>
      <c r="K225" s="96">
        <f>IFERROR(__xludf.DUMMYFUNCTION("""COMPUTED_VALUE"""),500000.0)</f>
        <v>500000</v>
      </c>
      <c r="L225" s="99">
        <f>IFERROR(__xludf.DUMMYFUNCTION("""COMPUTED_VALUE"""),500000.0)</f>
        <v>500000</v>
      </c>
      <c r="M225" s="96"/>
      <c r="N225" s="96">
        <f>IFERROR(__xludf.DUMMYFUNCTION("""COMPUTED_VALUE"""),0.0)</f>
        <v>0</v>
      </c>
      <c r="O225" s="96">
        <f>IFERROR(__xludf.DUMMYFUNCTION("""COMPUTED_VALUE"""),0.0)</f>
        <v>0</v>
      </c>
      <c r="P225" s="96">
        <f>IFERROR(__xludf.DUMMYFUNCTION("""COMPUTED_VALUE"""),0.0)</f>
        <v>0</v>
      </c>
      <c r="Q225" s="129">
        <f>IFERROR(__xludf.DUMMYFUNCTION("""COMPUTED_VALUE"""),0.0)</f>
        <v>0</v>
      </c>
      <c r="R225" s="99"/>
    </row>
    <row r="226">
      <c r="A226" s="96">
        <f>IFERROR(__xludf.DUMMYFUNCTION("""COMPUTED_VALUE"""),3.0)</f>
        <v>3</v>
      </c>
      <c r="B226" s="98">
        <f>IFERROR(__xludf.DUMMYFUNCTION("""COMPUTED_VALUE"""),44057.0)</f>
        <v>44057</v>
      </c>
      <c r="C226" s="96" t="str">
        <f>IFERROR(__xludf.DUMMYFUNCTION("""COMPUTED_VALUE"""),"OBIM TIWA HNSON")</f>
        <v>OBIM TIWA HNSON</v>
      </c>
      <c r="D226" s="96" t="str">
        <f>IFERROR(__xludf.DUMMYFUNCTION("""COMPUTED_VALUE"""),"OBIM TIWA HNSON3")</f>
        <v>OBIM TIWA HNSON3</v>
      </c>
      <c r="E226" s="96"/>
      <c r="F226" s="96"/>
      <c r="G226" s="96"/>
      <c r="H226" s="96"/>
      <c r="I226" s="96"/>
      <c r="J226" s="96"/>
      <c r="K226" s="96">
        <f>IFERROR(__xludf.DUMMYFUNCTION("""COMPUTED_VALUE"""),20000.0)</f>
        <v>20000</v>
      </c>
      <c r="L226" s="99">
        <f>IFERROR(__xludf.DUMMYFUNCTION("""COMPUTED_VALUE"""),20000.0)</f>
        <v>20000</v>
      </c>
      <c r="M226" s="96"/>
      <c r="N226" s="96">
        <f>IFERROR(__xludf.DUMMYFUNCTION("""COMPUTED_VALUE"""),0.0)</f>
        <v>0</v>
      </c>
      <c r="O226" s="96">
        <f>IFERROR(__xludf.DUMMYFUNCTION("""COMPUTED_VALUE"""),0.0)</f>
        <v>0</v>
      </c>
      <c r="P226" s="96">
        <f>IFERROR(__xludf.DUMMYFUNCTION("""COMPUTED_VALUE"""),0.0)</f>
        <v>0</v>
      </c>
      <c r="Q226" s="129">
        <f>IFERROR(__xludf.DUMMYFUNCTION("""COMPUTED_VALUE"""),0.0)</f>
        <v>0</v>
      </c>
      <c r="R226" s="99"/>
    </row>
    <row r="227">
      <c r="A227" s="96">
        <f>IFERROR(__xludf.DUMMYFUNCTION("""COMPUTED_VALUE"""),7.0)</f>
        <v>7</v>
      </c>
      <c r="B227" s="98">
        <f>IFERROR(__xludf.DUMMYFUNCTION("""COMPUTED_VALUE"""),44041.0)</f>
        <v>44041</v>
      </c>
      <c r="C227" s="96" t="str">
        <f>IFERROR(__xludf.DUMMYFUNCTION("""COMPUTED_VALUE"""),"EDWARD OKO")</f>
        <v>EDWARD OKO</v>
      </c>
      <c r="D227" s="96" t="str">
        <f>IFERROR(__xludf.DUMMYFUNCTION("""COMPUTED_VALUE"""),"EDWARD OKO7")</f>
        <v>EDWARD OKO7</v>
      </c>
      <c r="E227" s="96">
        <f>IFERROR(__xludf.DUMMYFUNCTION("""COMPUTED_VALUE"""),93.0)</f>
        <v>93</v>
      </c>
      <c r="F227" s="96">
        <f>IFERROR(__xludf.DUMMYFUNCTION("""COMPUTED_VALUE"""),8.0)</f>
        <v>8</v>
      </c>
      <c r="G227" s="96"/>
      <c r="H227" s="96">
        <f>IFERROR(__xludf.DUMMYFUNCTION("""COMPUTED_VALUE"""),1.0)</f>
        <v>1</v>
      </c>
      <c r="I227" s="96"/>
      <c r="J227" s="96">
        <f>IFERROR(__xludf.DUMMYFUNCTION("""COMPUTED_VALUE"""),552.07)</f>
        <v>552.07</v>
      </c>
      <c r="K227" s="96"/>
      <c r="L227" s="99">
        <f>IFERROR(__xludf.DUMMYFUNCTION("""COMPUTED_VALUE"""),-50790.0)</f>
        <v>-50790</v>
      </c>
      <c r="M227" s="96">
        <f>IFERROR(__xludf.DUMMYFUNCTION("""COMPUTED_VALUE"""),8.0)</f>
        <v>8</v>
      </c>
      <c r="N227" s="96">
        <f>IFERROR(__xludf.DUMMYFUNCTION("""COMPUTED_VALUE"""),0.0)</f>
        <v>0</v>
      </c>
      <c r="O227" s="96">
        <f>IFERROR(__xludf.DUMMYFUNCTION("""COMPUTED_VALUE"""),1.0)</f>
        <v>1</v>
      </c>
      <c r="P227" s="96">
        <f>IFERROR(__xludf.DUMMYFUNCTION("""COMPUTED_VALUE"""),29.0)</f>
        <v>29</v>
      </c>
      <c r="Q227" s="129">
        <f>IFERROR(__xludf.DUMMYFUNCTION("""COMPUTED_VALUE"""),92.0)</f>
        <v>92</v>
      </c>
      <c r="R227" s="99">
        <f>IFERROR(__xludf.DUMMYFUNCTION("""COMPUTED_VALUE"""),50790.0)</f>
        <v>50790</v>
      </c>
    </row>
    <row r="228">
      <c r="A228" s="96">
        <f>IFERROR(__xludf.DUMMYFUNCTION("""COMPUTED_VALUE"""),4.0)</f>
        <v>4</v>
      </c>
      <c r="B228" s="98">
        <f>IFERROR(__xludf.DUMMYFUNCTION("""COMPUTED_VALUE"""),44054.0)</f>
        <v>44054</v>
      </c>
      <c r="C228" s="96" t="str">
        <f>IFERROR(__xludf.DUMMYFUNCTION("""COMPUTED_VALUE"""),"A. D. FREDERICK")</f>
        <v>A. D. FREDERICK</v>
      </c>
      <c r="D228" s="96" t="str">
        <f>IFERROR(__xludf.DUMMYFUNCTION("""COMPUTED_VALUE"""),"A. D. FREDERICK4")</f>
        <v>A. D. FREDERICK4</v>
      </c>
      <c r="E228" s="96">
        <f>IFERROR(__xludf.DUMMYFUNCTION("""COMPUTED_VALUE"""),321.0)</f>
        <v>321</v>
      </c>
      <c r="F228" s="96">
        <f>IFERROR(__xludf.DUMMYFUNCTION("""COMPUTED_VALUE"""),40.0)</f>
        <v>40</v>
      </c>
      <c r="G228" s="96"/>
      <c r="H228" s="96">
        <f>IFERROR(__xludf.DUMMYFUNCTION("""COMPUTED_VALUE"""),5.0)</f>
        <v>5</v>
      </c>
      <c r="I228" s="96"/>
      <c r="J228" s="96">
        <f>IFERROR(__xludf.DUMMYFUNCTION("""COMPUTED_VALUE"""),800.0)</f>
        <v>800</v>
      </c>
      <c r="K228" s="96"/>
      <c r="L228" s="99">
        <f>IFERROR(__xludf.DUMMYFUNCTION("""COMPUTED_VALUE"""),-252800.0)</f>
        <v>-252800</v>
      </c>
      <c r="M228" s="96">
        <f>IFERROR(__xludf.DUMMYFUNCTION("""COMPUTED_VALUE"""),8.0)</f>
        <v>8</v>
      </c>
      <c r="N228" s="96">
        <f>IFERROR(__xludf.DUMMYFUNCTION("""COMPUTED_VALUE"""),0.0)</f>
        <v>0</v>
      </c>
      <c r="O228" s="96">
        <f>IFERROR(__xludf.DUMMYFUNCTION("""COMPUTED_VALUE"""),5.0)</f>
        <v>5</v>
      </c>
      <c r="P228" s="96">
        <f>IFERROR(__xludf.DUMMYFUNCTION("""COMPUTED_VALUE"""),0.0)</f>
        <v>0</v>
      </c>
      <c r="Q228" s="129">
        <f>IFERROR(__xludf.DUMMYFUNCTION("""COMPUTED_VALUE"""),316.0)</f>
        <v>316</v>
      </c>
      <c r="R228" s="99">
        <f>IFERROR(__xludf.DUMMYFUNCTION("""COMPUTED_VALUE"""),252800.0)</f>
        <v>252800</v>
      </c>
    </row>
    <row r="229">
      <c r="A229" s="96">
        <f>IFERROR(__xludf.DUMMYFUNCTION("""COMPUTED_VALUE"""),6.0)</f>
        <v>6</v>
      </c>
      <c r="B229" s="98">
        <f>IFERROR(__xludf.DUMMYFUNCTION("""COMPUTED_VALUE"""),44057.0)</f>
        <v>44057</v>
      </c>
      <c r="C229" s="96" t="str">
        <f>IFERROR(__xludf.DUMMYFUNCTION("""COMPUTED_VALUE"""),"ANDRDEW GREAT")</f>
        <v>ANDRDEW GREAT</v>
      </c>
      <c r="D229" s="96" t="str">
        <f>IFERROR(__xludf.DUMMYFUNCTION("""COMPUTED_VALUE"""),"ANDRDEW GREAT6")</f>
        <v>ANDRDEW GREAT6</v>
      </c>
      <c r="E229" s="96">
        <f>IFERROR(__xludf.DUMMYFUNCTION("""COMPUTED_VALUE"""),447.0)</f>
        <v>447</v>
      </c>
      <c r="F229" s="96">
        <f>IFERROR(__xludf.DUMMYFUNCTION("""COMPUTED_VALUE"""),67.5)</f>
        <v>67.5</v>
      </c>
      <c r="G229" s="96"/>
      <c r="H229" s="96">
        <f>IFERROR(__xludf.DUMMYFUNCTION("""COMPUTED_VALUE"""),7.0)</f>
        <v>7</v>
      </c>
      <c r="I229" s="96">
        <f>IFERROR(__xludf.DUMMYFUNCTION("""COMPUTED_VALUE"""),1.0)</f>
        <v>1</v>
      </c>
      <c r="J229" s="96">
        <f>IFERROR(__xludf.DUMMYFUNCTION("""COMPUTED_VALUE"""),820.0)</f>
        <v>820</v>
      </c>
      <c r="K229" s="96"/>
      <c r="L229" s="99">
        <f>IFERROR(__xludf.DUMMYFUNCTION("""COMPUTED_VALUE"""),-355880.0)</f>
        <v>-355880</v>
      </c>
      <c r="M229" s="96">
        <f>IFERROR(__xludf.DUMMYFUNCTION("""COMPUTED_VALUE"""),9.64)</f>
        <v>9.64</v>
      </c>
      <c r="N229" s="96">
        <f>IFERROR(__xludf.DUMMYFUNCTION("""COMPUTED_VALUE"""),7.0)</f>
        <v>7</v>
      </c>
      <c r="O229" s="96">
        <f>IFERROR(__xludf.DUMMYFUNCTION("""COMPUTED_VALUE"""),6.0)</f>
        <v>6</v>
      </c>
      <c r="P229" s="96">
        <f>IFERROR(__xludf.DUMMYFUNCTION("""COMPUTED_VALUE"""),56.0)</f>
        <v>56</v>
      </c>
      <c r="Q229" s="129">
        <f>IFERROR(__xludf.DUMMYFUNCTION("""COMPUTED_VALUE"""),434.0)</f>
        <v>434</v>
      </c>
      <c r="R229" s="99">
        <f>IFERROR(__xludf.DUMMYFUNCTION("""COMPUTED_VALUE"""),355880.0)</f>
        <v>355880</v>
      </c>
    </row>
    <row r="230">
      <c r="A230" s="96">
        <f>IFERROR(__xludf.DUMMYFUNCTION("""COMPUTED_VALUE"""),15.0)</f>
        <v>15</v>
      </c>
      <c r="B230" s="98">
        <f>IFERROR(__xludf.DUMMYFUNCTION("""COMPUTED_VALUE"""),44056.0)</f>
        <v>44056</v>
      </c>
      <c r="C230" s="96" t="str">
        <f>IFERROR(__xludf.DUMMYFUNCTION("""COMPUTED_VALUE"""),"CONNECT")</f>
        <v>CONNECT</v>
      </c>
      <c r="D230" s="96" t="str">
        <f>IFERROR(__xludf.DUMMYFUNCTION("""COMPUTED_VALUE"""),"CONNECT15")</f>
        <v>CONNECT15</v>
      </c>
      <c r="E230" s="96">
        <f>IFERROR(__xludf.DUMMYFUNCTION("""COMPUTED_VALUE"""),2652.0)</f>
        <v>2652</v>
      </c>
      <c r="F230" s="96">
        <f>IFERROR(__xludf.DUMMYFUNCTION("""COMPUTED_VALUE"""),328.0)</f>
        <v>328</v>
      </c>
      <c r="G230" s="96"/>
      <c r="H230" s="96">
        <f>IFERROR(__xludf.DUMMYFUNCTION("""COMPUTED_VALUE"""),41.0)</f>
        <v>41</v>
      </c>
      <c r="I230" s="96">
        <f>IFERROR(__xludf.DUMMYFUNCTION("""COMPUTED_VALUE"""),4.0)</f>
        <v>4</v>
      </c>
      <c r="J230" s="96">
        <f>IFERROR(__xludf.DUMMYFUNCTION("""COMPUTED_VALUE"""),820.0)</f>
        <v>820</v>
      </c>
      <c r="K230" s="96"/>
      <c r="L230" s="99">
        <f>IFERROR(__xludf.DUMMYFUNCTION("""COMPUTED_VALUE"""),-2144300.0)</f>
        <v>-2144300</v>
      </c>
      <c r="M230" s="96">
        <f>IFERROR(__xludf.DUMMYFUNCTION("""COMPUTED_VALUE"""),8.0)</f>
        <v>8</v>
      </c>
      <c r="N230" s="96">
        <f>IFERROR(__xludf.DUMMYFUNCTION("""COMPUTED_VALUE"""),0.0)</f>
        <v>0</v>
      </c>
      <c r="O230" s="96">
        <f>IFERROR(__xludf.DUMMYFUNCTION("""COMPUTED_VALUE"""),41.0)</f>
        <v>41</v>
      </c>
      <c r="P230" s="96">
        <f>IFERROR(__xludf.DUMMYFUNCTION("""COMPUTED_VALUE"""),31.0)</f>
        <v>31</v>
      </c>
      <c r="Q230" s="129">
        <f>IFERROR(__xludf.DUMMYFUNCTION("""COMPUTED_VALUE"""),2615.0)</f>
        <v>2615</v>
      </c>
      <c r="R230" s="99">
        <f>IFERROR(__xludf.DUMMYFUNCTION("""COMPUTED_VALUE"""),2144300.0)</f>
        <v>2144300</v>
      </c>
    </row>
    <row r="231">
      <c r="A231" s="96">
        <f>IFERROR(__xludf.DUMMYFUNCTION("""COMPUTED_VALUE"""),9.0)</f>
        <v>9</v>
      </c>
      <c r="B231" s="98">
        <f>IFERROR(__xludf.DUMMYFUNCTION("""COMPUTED_VALUE"""),44055.0)</f>
        <v>44055</v>
      </c>
      <c r="C231" s="96" t="str">
        <f>IFERROR(__xludf.DUMMYFUNCTION("""COMPUTED_VALUE"""),"ETUK EFFI")</f>
        <v>ETUK EFFI</v>
      </c>
      <c r="D231" s="96" t="str">
        <f>IFERROR(__xludf.DUMMYFUNCTION("""COMPUTED_VALUE"""),"ETUK EFFI9")</f>
        <v>ETUK EFFI9</v>
      </c>
      <c r="E231" s="96">
        <f>IFERROR(__xludf.DUMMYFUNCTION("""COMPUTED_VALUE"""),1686.0)</f>
        <v>1686</v>
      </c>
      <c r="F231" s="96">
        <f>IFERROR(__xludf.DUMMYFUNCTION("""COMPUTED_VALUE"""),208.0)</f>
        <v>208</v>
      </c>
      <c r="G231" s="96"/>
      <c r="H231" s="96">
        <f>IFERROR(__xludf.DUMMYFUNCTION("""COMPUTED_VALUE"""),26.0)</f>
        <v>26</v>
      </c>
      <c r="I231" s="96"/>
      <c r="J231" s="96">
        <f>IFERROR(__xludf.DUMMYFUNCTION("""COMPUTED_VALUE"""),810.0)</f>
        <v>810</v>
      </c>
      <c r="K231" s="96"/>
      <c r="L231" s="99">
        <f>IFERROR(__xludf.DUMMYFUNCTION("""COMPUTED_VALUE"""),-1344600.0)</f>
        <v>-1344600</v>
      </c>
      <c r="M231" s="96">
        <f>IFERROR(__xludf.DUMMYFUNCTION("""COMPUTED_VALUE"""),8.0)</f>
        <v>8</v>
      </c>
      <c r="N231" s="96">
        <f>IFERROR(__xludf.DUMMYFUNCTION("""COMPUTED_VALUE"""),0.0)</f>
        <v>0</v>
      </c>
      <c r="O231" s="96">
        <f>IFERROR(__xludf.DUMMYFUNCTION("""COMPUTED_VALUE"""),26.0)</f>
        <v>26</v>
      </c>
      <c r="P231" s="96">
        <f>IFERROR(__xludf.DUMMYFUNCTION("""COMPUTED_VALUE"""),21.0)</f>
        <v>21</v>
      </c>
      <c r="Q231" s="129">
        <f>IFERROR(__xludf.DUMMYFUNCTION("""COMPUTED_VALUE"""),1660.0)</f>
        <v>1660</v>
      </c>
      <c r="R231" s="99">
        <f>IFERROR(__xludf.DUMMYFUNCTION("""COMPUTED_VALUE"""),1344600.0)</f>
        <v>1344600</v>
      </c>
    </row>
    <row r="232">
      <c r="A232" s="96">
        <f>IFERROR(__xludf.DUMMYFUNCTION("""COMPUTED_VALUE"""),7.0)</f>
        <v>7</v>
      </c>
      <c r="B232" s="98">
        <f>IFERROR(__xludf.DUMMYFUNCTION("""COMPUTED_VALUE"""),44058.0)</f>
        <v>44058</v>
      </c>
      <c r="C232" s="96" t="str">
        <f>IFERROR(__xludf.DUMMYFUNCTION("""COMPUTED_VALUE"""),"ANDRDEW GREAT")</f>
        <v>ANDRDEW GREAT</v>
      </c>
      <c r="D232" s="96" t="str">
        <f>IFERROR(__xludf.DUMMYFUNCTION("""COMPUTED_VALUE"""),"ANDRDEW GREAT7")</f>
        <v>ANDRDEW GREAT7</v>
      </c>
      <c r="E232" s="96"/>
      <c r="F232" s="96"/>
      <c r="G232" s="96"/>
      <c r="H232" s="96"/>
      <c r="I232" s="96"/>
      <c r="J232" s="96"/>
      <c r="K232" s="96">
        <f>IFERROR(__xludf.DUMMYFUNCTION("""COMPUTED_VALUE"""),355880.0)</f>
        <v>355880</v>
      </c>
      <c r="L232" s="99">
        <f>IFERROR(__xludf.DUMMYFUNCTION("""COMPUTED_VALUE"""),355880.0)</f>
        <v>355880</v>
      </c>
      <c r="M232" s="96"/>
      <c r="N232" s="96">
        <f>IFERROR(__xludf.DUMMYFUNCTION("""COMPUTED_VALUE"""),0.0)</f>
        <v>0</v>
      </c>
      <c r="O232" s="96">
        <f>IFERROR(__xludf.DUMMYFUNCTION("""COMPUTED_VALUE"""),0.0)</f>
        <v>0</v>
      </c>
      <c r="P232" s="96">
        <f>IFERROR(__xludf.DUMMYFUNCTION("""COMPUTED_VALUE"""),0.0)</f>
        <v>0</v>
      </c>
      <c r="Q232" s="129">
        <f>IFERROR(__xludf.DUMMYFUNCTION("""COMPUTED_VALUE"""),0.0)</f>
        <v>0</v>
      </c>
      <c r="R232" s="99"/>
    </row>
    <row r="233">
      <c r="A233" s="96">
        <f>IFERROR(__xludf.DUMMYFUNCTION("""COMPUTED_VALUE"""),17.0)</f>
        <v>17</v>
      </c>
      <c r="B233" s="98">
        <f>IFERROR(__xludf.DUMMYFUNCTION("""COMPUTED_VALUE"""),44058.0)</f>
        <v>44058</v>
      </c>
      <c r="C233" s="96" t="str">
        <f>IFERROR(__xludf.DUMMYFUNCTION("""COMPUTED_VALUE"""),"RECTOR W.")</f>
        <v>RECTOR W.</v>
      </c>
      <c r="D233" s="96" t="str">
        <f>IFERROR(__xludf.DUMMYFUNCTION("""COMPUTED_VALUE"""),"RECTOR W.17")</f>
        <v>RECTOR W.17</v>
      </c>
      <c r="E233" s="96"/>
      <c r="F233" s="96"/>
      <c r="G233" s="96"/>
      <c r="H233" s="96"/>
      <c r="I233" s="96"/>
      <c r="J233" s="96"/>
      <c r="K233" s="96">
        <f>IFERROR(__xludf.DUMMYFUNCTION("""COMPUTED_VALUE"""),250000.0)</f>
        <v>250000</v>
      </c>
      <c r="L233" s="99">
        <f>IFERROR(__xludf.DUMMYFUNCTION("""COMPUTED_VALUE"""),250000.0)</f>
        <v>250000</v>
      </c>
      <c r="M233" s="96"/>
      <c r="N233" s="96">
        <f>IFERROR(__xludf.DUMMYFUNCTION("""COMPUTED_VALUE"""),0.0)</f>
        <v>0</v>
      </c>
      <c r="O233" s="96">
        <f>IFERROR(__xludf.DUMMYFUNCTION("""COMPUTED_VALUE"""),0.0)</f>
        <v>0</v>
      </c>
      <c r="P233" s="96">
        <f>IFERROR(__xludf.DUMMYFUNCTION("""COMPUTED_VALUE"""),0.0)</f>
        <v>0</v>
      </c>
      <c r="Q233" s="129">
        <f>IFERROR(__xludf.DUMMYFUNCTION("""COMPUTED_VALUE"""),0.0)</f>
        <v>0</v>
      </c>
      <c r="R233" s="99"/>
    </row>
    <row r="234">
      <c r="A234" s="96">
        <f>IFERROR(__xludf.DUMMYFUNCTION("""COMPUTED_VALUE"""),7.0)</f>
        <v>7</v>
      </c>
      <c r="B234" s="98">
        <f>IFERROR(__xludf.DUMMYFUNCTION("""COMPUTED_VALUE"""),44058.0)</f>
        <v>44058</v>
      </c>
      <c r="C234" s="96" t="str">
        <f>IFERROR(__xludf.DUMMYFUNCTION("""COMPUTED_VALUE"""),"ZULU &amp; NDOMA")</f>
        <v>ZULU &amp; NDOMA</v>
      </c>
      <c r="D234" s="96" t="str">
        <f>IFERROR(__xludf.DUMMYFUNCTION("""COMPUTED_VALUE"""),"ZULU &amp; NDOMA7")</f>
        <v>ZULU &amp; NDOMA7</v>
      </c>
      <c r="E234" s="96"/>
      <c r="F234" s="96"/>
      <c r="G234" s="96"/>
      <c r="H234" s="96"/>
      <c r="I234" s="96"/>
      <c r="J234" s="96"/>
      <c r="K234" s="96">
        <f>IFERROR(__xludf.DUMMYFUNCTION("""COMPUTED_VALUE"""),200000.0)</f>
        <v>200000</v>
      </c>
      <c r="L234" s="99">
        <f>IFERROR(__xludf.DUMMYFUNCTION("""COMPUTED_VALUE"""),200000.0)</f>
        <v>200000</v>
      </c>
      <c r="M234" s="96"/>
      <c r="N234" s="96">
        <f>IFERROR(__xludf.DUMMYFUNCTION("""COMPUTED_VALUE"""),0.0)</f>
        <v>0</v>
      </c>
      <c r="O234" s="96">
        <f>IFERROR(__xludf.DUMMYFUNCTION("""COMPUTED_VALUE"""),0.0)</f>
        <v>0</v>
      </c>
      <c r="P234" s="96">
        <f>IFERROR(__xludf.DUMMYFUNCTION("""COMPUTED_VALUE"""),0.0)</f>
        <v>0</v>
      </c>
      <c r="Q234" s="129">
        <f>IFERROR(__xludf.DUMMYFUNCTION("""COMPUTED_VALUE"""),0.0)</f>
        <v>0</v>
      </c>
      <c r="R234" s="99"/>
    </row>
    <row r="235">
      <c r="A235" s="96">
        <f>IFERROR(__xludf.DUMMYFUNCTION("""COMPUTED_VALUE"""),2.0)</f>
        <v>2</v>
      </c>
      <c r="B235" s="98">
        <f>IFERROR(__xludf.DUMMYFUNCTION("""COMPUTED_VALUE"""),44060.0)</f>
        <v>44060</v>
      </c>
      <c r="C235" s="96" t="str">
        <f>IFERROR(__xludf.DUMMYFUNCTION("""COMPUTED_VALUE"""),"MATIAT LOVE")</f>
        <v>MATIAT LOVE</v>
      </c>
      <c r="D235" s="96" t="str">
        <f>IFERROR(__xludf.DUMMYFUNCTION("""COMPUTED_VALUE"""),"MATIAT LOVE2")</f>
        <v>MATIAT LOVE2</v>
      </c>
      <c r="E235" s="96">
        <f>IFERROR(__xludf.DUMMYFUNCTION("""COMPUTED_VALUE"""),120.0)</f>
        <v>120</v>
      </c>
      <c r="F235" s="96">
        <f>IFERROR(__xludf.DUMMYFUNCTION("""COMPUTED_VALUE"""),16.0)</f>
        <v>16</v>
      </c>
      <c r="G235" s="96"/>
      <c r="H235" s="96">
        <f>IFERROR(__xludf.DUMMYFUNCTION("""COMPUTED_VALUE"""),2.0)</f>
        <v>2</v>
      </c>
      <c r="I235" s="96"/>
      <c r="J235" s="96">
        <f>IFERROR(__xludf.DUMMYFUNCTION("""COMPUTED_VALUE"""),810.0)</f>
        <v>810</v>
      </c>
      <c r="K235" s="96"/>
      <c r="L235" s="99">
        <f>IFERROR(__xludf.DUMMYFUNCTION("""COMPUTED_VALUE"""),-95580.0)</f>
        <v>-95580</v>
      </c>
      <c r="M235" s="96">
        <f>IFERROR(__xludf.DUMMYFUNCTION("""COMPUTED_VALUE"""),8.0)</f>
        <v>8</v>
      </c>
      <c r="N235" s="96">
        <f>IFERROR(__xludf.DUMMYFUNCTION("""COMPUTED_VALUE"""),0.0)</f>
        <v>0</v>
      </c>
      <c r="O235" s="96">
        <f>IFERROR(__xludf.DUMMYFUNCTION("""COMPUTED_VALUE"""),1.0)</f>
        <v>1</v>
      </c>
      <c r="P235" s="96">
        <f>IFERROR(__xludf.DUMMYFUNCTION("""COMPUTED_VALUE"""),55.0)</f>
        <v>55</v>
      </c>
      <c r="Q235" s="129">
        <f>IFERROR(__xludf.DUMMYFUNCTION("""COMPUTED_VALUE"""),118.0)</f>
        <v>118</v>
      </c>
      <c r="R235" s="99">
        <f>IFERROR(__xludf.DUMMYFUNCTION("""COMPUTED_VALUE"""),95580.0)</f>
        <v>95580</v>
      </c>
    </row>
    <row r="236">
      <c r="A236" s="96">
        <f>IFERROR(__xludf.DUMMYFUNCTION("""COMPUTED_VALUE"""),4.0)</f>
        <v>4</v>
      </c>
      <c r="B236" s="98">
        <f>IFERROR(__xludf.DUMMYFUNCTION("""COMPUTED_VALUE"""),44060.0)</f>
        <v>44060</v>
      </c>
      <c r="C236" s="96" t="str">
        <f>IFERROR(__xludf.DUMMYFUNCTION("""COMPUTED_VALUE"""),"KARIEN EBAN")</f>
        <v>KARIEN EBAN</v>
      </c>
      <c r="D236" s="96" t="str">
        <f>IFERROR(__xludf.DUMMYFUNCTION("""COMPUTED_VALUE"""),"KARIEN EBAN4")</f>
        <v>KARIEN EBAN4</v>
      </c>
      <c r="E236" s="96">
        <f>IFERROR(__xludf.DUMMYFUNCTION("""COMPUTED_VALUE"""),1643.0)</f>
        <v>1643</v>
      </c>
      <c r="F236" s="96">
        <f>IFERROR(__xludf.DUMMYFUNCTION("""COMPUTED_VALUE"""),246.5)</f>
        <v>246.5</v>
      </c>
      <c r="G236" s="96"/>
      <c r="H236" s="96">
        <f>IFERROR(__xludf.DUMMYFUNCTION("""COMPUTED_VALUE"""),26.0)</f>
        <v>26</v>
      </c>
      <c r="I236" s="96"/>
      <c r="J236" s="96">
        <f>IFERROR(__xludf.DUMMYFUNCTION("""COMPUTED_VALUE"""),830.0)</f>
        <v>830</v>
      </c>
      <c r="K236" s="96"/>
      <c r="L236" s="99">
        <f>IFERROR(__xludf.DUMMYFUNCTION("""COMPUTED_VALUE"""),-1322190.0)</f>
        <v>-1322190</v>
      </c>
      <c r="M236" s="96">
        <f>IFERROR(__xludf.DUMMYFUNCTION("""COMPUTED_VALUE"""),9.48)</f>
        <v>9.48</v>
      </c>
      <c r="N236" s="96">
        <f>IFERROR(__xludf.DUMMYFUNCTION("""COMPUTED_VALUE"""),24.0)</f>
        <v>24</v>
      </c>
      <c r="O236" s="96">
        <f>IFERROR(__xludf.DUMMYFUNCTION("""COMPUTED_VALUE"""),25.0)</f>
        <v>25</v>
      </c>
      <c r="P236" s="96">
        <f>IFERROR(__xludf.DUMMYFUNCTION("""COMPUTED_VALUE"""),17.0)</f>
        <v>17</v>
      </c>
      <c r="Q236" s="129">
        <f>IFERROR(__xludf.DUMMYFUNCTION("""COMPUTED_VALUE"""),1593.0)</f>
        <v>1593</v>
      </c>
      <c r="R236" s="99">
        <f>IFERROR(__xludf.DUMMYFUNCTION("""COMPUTED_VALUE"""),1322190.0)</f>
        <v>1322190</v>
      </c>
    </row>
    <row r="237">
      <c r="A237" s="96">
        <f>IFERROR(__xludf.DUMMYFUNCTION("""COMPUTED_VALUE"""),5.0)</f>
        <v>5</v>
      </c>
      <c r="B237" s="98">
        <f>IFERROR(__xludf.DUMMYFUNCTION("""COMPUTED_VALUE"""),44060.0)</f>
        <v>44060</v>
      </c>
      <c r="C237" s="96" t="str">
        <f>IFERROR(__xludf.DUMMYFUNCTION("""COMPUTED_VALUE"""),"A. D. FREDERICK")</f>
        <v>A. D. FREDERICK</v>
      </c>
      <c r="D237" s="96" t="str">
        <f>IFERROR(__xludf.DUMMYFUNCTION("""COMPUTED_VALUE"""),"A. D. FREDERICK5")</f>
        <v>A. D. FREDERICK5</v>
      </c>
      <c r="E237" s="96"/>
      <c r="F237" s="96"/>
      <c r="G237" s="96"/>
      <c r="H237" s="96"/>
      <c r="I237" s="96"/>
      <c r="J237" s="96"/>
      <c r="K237" s="96">
        <f>IFERROR(__xludf.DUMMYFUNCTION("""COMPUTED_VALUE"""),150000.0)</f>
        <v>150000</v>
      </c>
      <c r="L237" s="99">
        <f>IFERROR(__xludf.DUMMYFUNCTION("""COMPUTED_VALUE"""),150000.0)</f>
        <v>150000</v>
      </c>
      <c r="M237" s="96"/>
      <c r="N237" s="96">
        <f>IFERROR(__xludf.DUMMYFUNCTION("""COMPUTED_VALUE"""),0.0)</f>
        <v>0</v>
      </c>
      <c r="O237" s="96">
        <f>IFERROR(__xludf.DUMMYFUNCTION("""COMPUTED_VALUE"""),0.0)</f>
        <v>0</v>
      </c>
      <c r="P237" s="96">
        <f>IFERROR(__xludf.DUMMYFUNCTION("""COMPUTED_VALUE"""),0.0)</f>
        <v>0</v>
      </c>
      <c r="Q237" s="129">
        <f>IFERROR(__xludf.DUMMYFUNCTION("""COMPUTED_VALUE"""),0.0)</f>
        <v>0</v>
      </c>
      <c r="R237" s="99"/>
    </row>
    <row r="238">
      <c r="A238" s="96">
        <f>IFERROR(__xludf.DUMMYFUNCTION("""COMPUTED_VALUE"""),14.0)</f>
        <v>14</v>
      </c>
      <c r="B238" s="98">
        <f>IFERROR(__xludf.DUMMYFUNCTION("""COMPUTED_VALUE"""),44060.0)</f>
        <v>44060</v>
      </c>
      <c r="C238" s="96" t="str">
        <f>IFERROR(__xludf.DUMMYFUNCTION("""COMPUTED_VALUE"""),"LIVINUS")</f>
        <v>LIVINUS</v>
      </c>
      <c r="D238" s="96" t="str">
        <f>IFERROR(__xludf.DUMMYFUNCTION("""COMPUTED_VALUE"""),"LIVINUS14")</f>
        <v>LIVINUS14</v>
      </c>
      <c r="E238" s="96"/>
      <c r="F238" s="96"/>
      <c r="G238" s="96"/>
      <c r="H238" s="96"/>
      <c r="I238" s="96"/>
      <c r="J238" s="96"/>
      <c r="K238" s="96">
        <f>IFERROR(__xludf.DUMMYFUNCTION("""COMPUTED_VALUE"""),1427500.0)</f>
        <v>1427500</v>
      </c>
      <c r="L238" s="99">
        <f>IFERROR(__xludf.DUMMYFUNCTION("""COMPUTED_VALUE"""),1427500.0)</f>
        <v>1427500</v>
      </c>
      <c r="M238" s="96"/>
      <c r="N238" s="96">
        <f>IFERROR(__xludf.DUMMYFUNCTION("""COMPUTED_VALUE"""),0.0)</f>
        <v>0</v>
      </c>
      <c r="O238" s="96">
        <f>IFERROR(__xludf.DUMMYFUNCTION("""COMPUTED_VALUE"""),0.0)</f>
        <v>0</v>
      </c>
      <c r="P238" s="96">
        <f>IFERROR(__xludf.DUMMYFUNCTION("""COMPUTED_VALUE"""),0.0)</f>
        <v>0</v>
      </c>
      <c r="Q238" s="129">
        <f>IFERROR(__xludf.DUMMYFUNCTION("""COMPUTED_VALUE"""),0.0)</f>
        <v>0</v>
      </c>
      <c r="R238" s="99"/>
    </row>
    <row r="239">
      <c r="A239" s="96">
        <f>IFERROR(__xludf.DUMMYFUNCTION("""COMPUTED_VALUE"""),5.0)</f>
        <v>5</v>
      </c>
      <c r="B239" s="98">
        <f>IFERROR(__xludf.DUMMYFUNCTION("""COMPUTED_VALUE"""),44060.0)</f>
        <v>44060</v>
      </c>
      <c r="C239" s="96" t="str">
        <f>IFERROR(__xludf.DUMMYFUNCTION("""COMPUTED_VALUE"""),"KARIEN EBAN")</f>
        <v>KARIEN EBAN</v>
      </c>
      <c r="D239" s="96" t="str">
        <f>IFERROR(__xludf.DUMMYFUNCTION("""COMPUTED_VALUE"""),"KARIEN EBAN5")</f>
        <v>KARIEN EBAN5</v>
      </c>
      <c r="E239" s="96"/>
      <c r="F239" s="96"/>
      <c r="G239" s="96"/>
      <c r="H239" s="96"/>
      <c r="I239" s="96"/>
      <c r="J239" s="96"/>
      <c r="K239" s="96">
        <f>IFERROR(__xludf.DUMMYFUNCTION("""COMPUTED_VALUE"""),2000000.0)</f>
        <v>2000000</v>
      </c>
      <c r="L239" s="99">
        <f>IFERROR(__xludf.DUMMYFUNCTION("""COMPUTED_VALUE"""),2000000.0)</f>
        <v>2000000</v>
      </c>
      <c r="M239" s="96"/>
      <c r="N239" s="96">
        <f>IFERROR(__xludf.DUMMYFUNCTION("""COMPUTED_VALUE"""),0.0)</f>
        <v>0</v>
      </c>
      <c r="O239" s="96">
        <f>IFERROR(__xludf.DUMMYFUNCTION("""COMPUTED_VALUE"""),0.0)</f>
        <v>0</v>
      </c>
      <c r="P239" s="96">
        <f>IFERROR(__xludf.DUMMYFUNCTION("""COMPUTED_VALUE"""),0.0)</f>
        <v>0</v>
      </c>
      <c r="Q239" s="129">
        <f>IFERROR(__xludf.DUMMYFUNCTION("""COMPUTED_VALUE"""),0.0)</f>
        <v>0</v>
      </c>
      <c r="R239" s="99"/>
    </row>
    <row r="240">
      <c r="A240" s="96">
        <f>IFERROR(__xludf.DUMMYFUNCTION("""COMPUTED_VALUE"""),3.0)</f>
        <v>3</v>
      </c>
      <c r="B240" s="98">
        <f>IFERROR(__xludf.DUMMYFUNCTION("""COMPUTED_VALUE"""),44060.0)</f>
        <v>44060</v>
      </c>
      <c r="C240" s="96" t="str">
        <f>IFERROR(__xludf.DUMMYFUNCTION("""COMPUTED_VALUE"""),"MATIAT LOVE")</f>
        <v>MATIAT LOVE</v>
      </c>
      <c r="D240" s="96" t="str">
        <f>IFERROR(__xludf.DUMMYFUNCTION("""COMPUTED_VALUE"""),"MATIAT LOVE3")</f>
        <v>MATIAT LOVE3</v>
      </c>
      <c r="E240" s="96"/>
      <c r="F240" s="96"/>
      <c r="G240" s="96"/>
      <c r="H240" s="96"/>
      <c r="I240" s="96"/>
      <c r="J240" s="96"/>
      <c r="K240" s="96">
        <f>IFERROR(__xludf.DUMMYFUNCTION("""COMPUTED_VALUE"""),5000.0)</f>
        <v>5000</v>
      </c>
      <c r="L240" s="99">
        <f>IFERROR(__xludf.DUMMYFUNCTION("""COMPUTED_VALUE"""),5000.0)</f>
        <v>5000</v>
      </c>
      <c r="M240" s="96"/>
      <c r="N240" s="96">
        <f>IFERROR(__xludf.DUMMYFUNCTION("""COMPUTED_VALUE"""),0.0)</f>
        <v>0</v>
      </c>
      <c r="O240" s="96">
        <f>IFERROR(__xludf.DUMMYFUNCTION("""COMPUTED_VALUE"""),0.0)</f>
        <v>0</v>
      </c>
      <c r="P240" s="96">
        <f>IFERROR(__xludf.DUMMYFUNCTION("""COMPUTED_VALUE"""),0.0)</f>
        <v>0</v>
      </c>
      <c r="Q240" s="129">
        <f>IFERROR(__xludf.DUMMYFUNCTION("""COMPUTED_VALUE"""),0.0)</f>
        <v>0</v>
      </c>
      <c r="R240" s="99"/>
    </row>
    <row r="241">
      <c r="A241" s="96">
        <f>IFERROR(__xludf.DUMMYFUNCTION("""COMPUTED_VALUE"""),4.0)</f>
        <v>4</v>
      </c>
      <c r="B241" s="98">
        <f>IFERROR(__xludf.DUMMYFUNCTION("""COMPUTED_VALUE"""),44061.0)</f>
        <v>44061</v>
      </c>
      <c r="C241" s="96" t="str">
        <f>IFERROR(__xludf.DUMMYFUNCTION("""COMPUTED_VALUE"""),"MATIAT LOVE")</f>
        <v>MATIAT LOVE</v>
      </c>
      <c r="D241" s="96" t="str">
        <f>IFERROR(__xludf.DUMMYFUNCTION("""COMPUTED_VALUE"""),"MATIAT LOVE4")</f>
        <v>MATIAT LOVE4</v>
      </c>
      <c r="E241" s="96"/>
      <c r="F241" s="96"/>
      <c r="G241" s="96"/>
      <c r="H241" s="96"/>
      <c r="I241" s="96"/>
      <c r="J241" s="96"/>
      <c r="K241" s="96">
        <f>IFERROR(__xludf.DUMMYFUNCTION("""COMPUTED_VALUE"""),90500.0)</f>
        <v>90500</v>
      </c>
      <c r="L241" s="99">
        <f>IFERROR(__xludf.DUMMYFUNCTION("""COMPUTED_VALUE"""),90500.0)</f>
        <v>90500</v>
      </c>
      <c r="M241" s="96"/>
      <c r="N241" s="96">
        <f>IFERROR(__xludf.DUMMYFUNCTION("""COMPUTED_VALUE"""),0.0)</f>
        <v>0</v>
      </c>
      <c r="O241" s="96">
        <f>IFERROR(__xludf.DUMMYFUNCTION("""COMPUTED_VALUE"""),0.0)</f>
        <v>0</v>
      </c>
      <c r="P241" s="96">
        <f>IFERROR(__xludf.DUMMYFUNCTION("""COMPUTED_VALUE"""),0.0)</f>
        <v>0</v>
      </c>
      <c r="Q241" s="129">
        <f>IFERROR(__xludf.DUMMYFUNCTION("""COMPUTED_VALUE"""),0.0)</f>
        <v>0</v>
      </c>
      <c r="R241" s="99"/>
    </row>
    <row r="242">
      <c r="A242" s="96">
        <f>IFERROR(__xludf.DUMMYFUNCTION("""COMPUTED_VALUE"""),3.0)</f>
        <v>3</v>
      </c>
      <c r="B242" s="98">
        <f>IFERROR(__xludf.DUMMYFUNCTION("""COMPUTED_VALUE"""),44060.0)</f>
        <v>44060</v>
      </c>
      <c r="C242" s="96" t="str">
        <f>IFERROR(__xludf.DUMMYFUNCTION("""COMPUTED_VALUE"""),"AUGUSTINE IGBA")</f>
        <v>AUGUSTINE IGBA</v>
      </c>
      <c r="D242" s="96" t="str">
        <f>IFERROR(__xludf.DUMMYFUNCTION("""COMPUTED_VALUE"""),"AUGUSTINE IGBA3")</f>
        <v>AUGUSTINE IGBA3</v>
      </c>
      <c r="E242" s="96">
        <f>IFERROR(__xludf.DUMMYFUNCTION("""COMPUTED_VALUE"""),1396.0)</f>
        <v>1396</v>
      </c>
      <c r="F242" s="96">
        <f>IFERROR(__xludf.DUMMYFUNCTION("""COMPUTED_VALUE"""),194.5)</f>
        <v>194.5</v>
      </c>
      <c r="G242" s="96"/>
      <c r="H242" s="96">
        <f>IFERROR(__xludf.DUMMYFUNCTION("""COMPUTED_VALUE"""),20.0)</f>
        <v>20</v>
      </c>
      <c r="I242" s="96">
        <f>IFERROR(__xludf.DUMMYFUNCTION("""COMPUTED_VALUE"""),4.0)</f>
        <v>4</v>
      </c>
      <c r="J242" s="96">
        <f>IFERROR(__xludf.DUMMYFUNCTION("""COMPUTED_VALUE"""),830.0)</f>
        <v>830</v>
      </c>
      <c r="K242" s="96"/>
      <c r="L242" s="99">
        <f>IFERROR(__xludf.DUMMYFUNCTION("""COMPUTED_VALUE"""),-1125480.0)</f>
        <v>-1125480</v>
      </c>
      <c r="M242" s="96">
        <f>IFERROR(__xludf.DUMMYFUNCTION("""COMPUTED_VALUE"""),9.73)</f>
        <v>9.73</v>
      </c>
      <c r="N242" s="96">
        <f>IFERROR(__xludf.DUMMYFUNCTION("""COMPUTED_VALUE"""),24.0)</f>
        <v>24</v>
      </c>
      <c r="O242" s="96">
        <f>IFERROR(__xludf.DUMMYFUNCTION("""COMPUTED_VALUE"""),21.0)</f>
        <v>21</v>
      </c>
      <c r="P242" s="96">
        <f>IFERROR(__xludf.DUMMYFUNCTION("""COMPUTED_VALUE"""),33.0)</f>
        <v>33</v>
      </c>
      <c r="Q242" s="129">
        <f>IFERROR(__xludf.DUMMYFUNCTION("""COMPUTED_VALUE"""),1356.0)</f>
        <v>1356</v>
      </c>
      <c r="R242" s="99">
        <f>IFERROR(__xludf.DUMMYFUNCTION("""COMPUTED_VALUE"""),1125480.0)</f>
        <v>1125480</v>
      </c>
    </row>
    <row r="243">
      <c r="A243" s="96">
        <f>IFERROR(__xludf.DUMMYFUNCTION("""COMPUTED_VALUE"""),8.0)</f>
        <v>8</v>
      </c>
      <c r="B243" s="98">
        <f>IFERROR(__xludf.DUMMYFUNCTION("""COMPUTED_VALUE"""),44060.0)</f>
        <v>44060</v>
      </c>
      <c r="C243" s="96" t="str">
        <f>IFERROR(__xludf.DUMMYFUNCTION("""COMPUTED_VALUE"""),"EDWARD OKO")</f>
        <v>EDWARD OKO</v>
      </c>
      <c r="D243" s="96" t="str">
        <f>IFERROR(__xludf.DUMMYFUNCTION("""COMPUTED_VALUE"""),"EDWARD OKO8")</f>
        <v>EDWARD OKO8</v>
      </c>
      <c r="E243" s="96">
        <f>IFERROR(__xludf.DUMMYFUNCTION("""COMPUTED_VALUE"""),390.0)</f>
        <v>390</v>
      </c>
      <c r="F243" s="96">
        <f>IFERROR(__xludf.DUMMYFUNCTION("""COMPUTED_VALUE"""),57.5)</f>
        <v>57.5</v>
      </c>
      <c r="G243" s="96"/>
      <c r="H243" s="96">
        <f>IFERROR(__xludf.DUMMYFUNCTION("""COMPUTED_VALUE"""),6.0)</f>
        <v>6</v>
      </c>
      <c r="I243" s="96"/>
      <c r="J243" s="96">
        <f>IFERROR(__xludf.DUMMYFUNCTION("""COMPUTED_VALUE"""),830.0)</f>
        <v>830</v>
      </c>
      <c r="K243" s="96"/>
      <c r="L243" s="99">
        <f>IFERROR(__xludf.DUMMYFUNCTION("""COMPUTED_VALUE"""),-313740.0)</f>
        <v>-313740</v>
      </c>
      <c r="M243" s="96">
        <f>IFERROR(__xludf.DUMMYFUNCTION("""COMPUTED_VALUE"""),9.58)</f>
        <v>9.58</v>
      </c>
      <c r="N243" s="96">
        <f>IFERROR(__xludf.DUMMYFUNCTION("""COMPUTED_VALUE"""),6.0)</f>
        <v>6</v>
      </c>
      <c r="O243" s="96">
        <f>IFERROR(__xludf.DUMMYFUNCTION("""COMPUTED_VALUE"""),6.0)</f>
        <v>6</v>
      </c>
      <c r="P243" s="96">
        <f>IFERROR(__xludf.DUMMYFUNCTION("""COMPUTED_VALUE"""),0.0)</f>
        <v>0</v>
      </c>
      <c r="Q243" s="129">
        <f>IFERROR(__xludf.DUMMYFUNCTION("""COMPUTED_VALUE"""),378.0)</f>
        <v>378</v>
      </c>
      <c r="R243" s="99">
        <f>IFERROR(__xludf.DUMMYFUNCTION("""COMPUTED_VALUE"""),313740.0)</f>
        <v>313740</v>
      </c>
    </row>
    <row r="244">
      <c r="A244" s="96">
        <f>IFERROR(__xludf.DUMMYFUNCTION("""COMPUTED_VALUE"""),6.0)</f>
        <v>6</v>
      </c>
      <c r="B244" s="98">
        <f>IFERROR(__xludf.DUMMYFUNCTION("""COMPUTED_VALUE"""),44063.0)</f>
        <v>44063</v>
      </c>
      <c r="C244" s="96" t="str">
        <f>IFERROR(__xludf.DUMMYFUNCTION("""COMPUTED_VALUE"""),"ALFRED ALABI")</f>
        <v>ALFRED ALABI</v>
      </c>
      <c r="D244" s="96" t="str">
        <f>IFERROR(__xludf.DUMMYFUNCTION("""COMPUTED_VALUE"""),"ALFRED ALABI6")</f>
        <v>ALFRED ALABI6</v>
      </c>
      <c r="E244" s="96">
        <f>IFERROR(__xludf.DUMMYFUNCTION("""COMPUTED_VALUE"""),1764.0)</f>
        <v>1764</v>
      </c>
      <c r="F244" s="96">
        <f>IFERROR(__xludf.DUMMYFUNCTION("""COMPUTED_VALUE"""),256.0)</f>
        <v>256</v>
      </c>
      <c r="G244" s="96"/>
      <c r="H244" s="96">
        <f>IFERROR(__xludf.DUMMYFUNCTION("""COMPUTED_VALUE"""),26.0)</f>
        <v>26</v>
      </c>
      <c r="I244" s="96"/>
      <c r="J244" s="96">
        <f>IFERROR(__xludf.DUMMYFUNCTION("""COMPUTED_VALUE"""),537.65)</f>
        <v>537.65</v>
      </c>
      <c r="K244" s="96"/>
      <c r="L244" s="99">
        <f>IFERROR(__xludf.DUMMYFUNCTION("""COMPUTED_VALUE"""),-917230.0)</f>
        <v>-917230</v>
      </c>
      <c r="M244" s="96">
        <f>IFERROR(__xludf.DUMMYFUNCTION("""COMPUTED_VALUE"""),9.85)</f>
        <v>9.85</v>
      </c>
      <c r="N244" s="96">
        <f>IFERROR(__xludf.DUMMYFUNCTION("""COMPUTED_VALUE"""),32.0)</f>
        <v>32</v>
      </c>
      <c r="O244" s="96">
        <f>IFERROR(__xludf.DUMMYFUNCTION("""COMPUTED_VALUE"""),27.0)</f>
        <v>27</v>
      </c>
      <c r="P244" s="96">
        <f>IFERROR(__xludf.DUMMYFUNCTION("""COMPUTED_VALUE"""),4.0)</f>
        <v>4</v>
      </c>
      <c r="Q244" s="129">
        <f>IFERROR(__xludf.DUMMYFUNCTION("""COMPUTED_VALUE"""),1706.0)</f>
        <v>1706</v>
      </c>
      <c r="R244" s="99">
        <f>IFERROR(__xludf.DUMMYFUNCTION("""COMPUTED_VALUE"""),917230.0)</f>
        <v>917230</v>
      </c>
    </row>
    <row r="245">
      <c r="A245" s="96">
        <f>IFERROR(__xludf.DUMMYFUNCTION("""COMPUTED_VALUE"""),7.0)</f>
        <v>7</v>
      </c>
      <c r="B245" s="98">
        <f>IFERROR(__xludf.DUMMYFUNCTION("""COMPUTED_VALUE"""),44063.0)</f>
        <v>44063</v>
      </c>
      <c r="C245" s="96" t="str">
        <f>IFERROR(__xludf.DUMMYFUNCTION("""COMPUTED_VALUE"""),"ALFRED ALABI")</f>
        <v>ALFRED ALABI</v>
      </c>
      <c r="D245" s="96" t="str">
        <f>IFERROR(__xludf.DUMMYFUNCTION("""COMPUTED_VALUE"""),"ALFRED ALABI7")</f>
        <v>ALFRED ALABI7</v>
      </c>
      <c r="E245" s="96"/>
      <c r="F245" s="96"/>
      <c r="G245" s="96"/>
      <c r="H245" s="96"/>
      <c r="I245" s="96"/>
      <c r="J245" s="96"/>
      <c r="K245" s="96">
        <f>IFERROR(__xludf.DUMMYFUNCTION("""COMPUTED_VALUE"""),600000.0)</f>
        <v>600000</v>
      </c>
      <c r="L245" s="99">
        <f>IFERROR(__xludf.DUMMYFUNCTION("""COMPUTED_VALUE"""),600000.0)</f>
        <v>600000</v>
      </c>
      <c r="M245" s="96"/>
      <c r="N245" s="96">
        <f>IFERROR(__xludf.DUMMYFUNCTION("""COMPUTED_VALUE"""),0.0)</f>
        <v>0</v>
      </c>
      <c r="O245" s="96">
        <f>IFERROR(__xludf.DUMMYFUNCTION("""COMPUTED_VALUE"""),0.0)</f>
        <v>0</v>
      </c>
      <c r="P245" s="96">
        <f>IFERROR(__xludf.DUMMYFUNCTION("""COMPUTED_VALUE"""),0.0)</f>
        <v>0</v>
      </c>
      <c r="Q245" s="129">
        <f>IFERROR(__xludf.DUMMYFUNCTION("""COMPUTED_VALUE"""),0.0)</f>
        <v>0</v>
      </c>
      <c r="R245" s="99"/>
    </row>
    <row r="246">
      <c r="A246" s="96">
        <f>IFERROR(__xludf.DUMMYFUNCTION("""COMPUTED_VALUE"""),4.0)</f>
        <v>4</v>
      </c>
      <c r="B246" s="98">
        <f>IFERROR(__xludf.DUMMYFUNCTION("""COMPUTED_VALUE"""),44063.0)</f>
        <v>44063</v>
      </c>
      <c r="C246" s="96" t="str">
        <f>IFERROR(__xludf.DUMMYFUNCTION("""COMPUTED_VALUE"""),"AUGUSTINE IGBA")</f>
        <v>AUGUSTINE IGBA</v>
      </c>
      <c r="D246" s="96" t="str">
        <f>IFERROR(__xludf.DUMMYFUNCTION("""COMPUTED_VALUE"""),"AUGUSTINE IGBA4")</f>
        <v>AUGUSTINE IGBA4</v>
      </c>
      <c r="E246" s="96"/>
      <c r="F246" s="96"/>
      <c r="G246" s="96"/>
      <c r="H246" s="96"/>
      <c r="I246" s="96"/>
      <c r="J246" s="96"/>
      <c r="K246" s="96">
        <f>IFERROR(__xludf.DUMMYFUNCTION("""COMPUTED_VALUE"""),2000000.0)</f>
        <v>2000000</v>
      </c>
      <c r="L246" s="99">
        <f>IFERROR(__xludf.DUMMYFUNCTION("""COMPUTED_VALUE"""),2000000.0)</f>
        <v>2000000</v>
      </c>
      <c r="M246" s="96"/>
      <c r="N246" s="96">
        <f>IFERROR(__xludf.DUMMYFUNCTION("""COMPUTED_VALUE"""),0.0)</f>
        <v>0</v>
      </c>
      <c r="O246" s="96">
        <f>IFERROR(__xludf.DUMMYFUNCTION("""COMPUTED_VALUE"""),0.0)</f>
        <v>0</v>
      </c>
      <c r="P246" s="96">
        <f>IFERROR(__xludf.DUMMYFUNCTION("""COMPUTED_VALUE"""),0.0)</f>
        <v>0</v>
      </c>
      <c r="Q246" s="129">
        <f>IFERROR(__xludf.DUMMYFUNCTION("""COMPUTED_VALUE"""),0.0)</f>
        <v>0</v>
      </c>
      <c r="R246" s="99"/>
    </row>
    <row r="247">
      <c r="A247" s="96">
        <f>IFERROR(__xludf.DUMMYFUNCTION("""COMPUTED_VALUE"""),8.0)</f>
        <v>8</v>
      </c>
      <c r="B247" s="98">
        <f>IFERROR(__xludf.DUMMYFUNCTION("""COMPUTED_VALUE"""),44063.0)</f>
        <v>44063</v>
      </c>
      <c r="C247" s="96" t="str">
        <f>IFERROR(__xludf.DUMMYFUNCTION("""COMPUTED_VALUE"""),"ALFRED ALABI")</f>
        <v>ALFRED ALABI</v>
      </c>
      <c r="D247" s="96" t="str">
        <f>IFERROR(__xludf.DUMMYFUNCTION("""COMPUTED_VALUE"""),"ALFRED ALABI8")</f>
        <v>ALFRED ALABI8</v>
      </c>
      <c r="E247" s="96"/>
      <c r="F247" s="96"/>
      <c r="G247" s="96"/>
      <c r="H247" s="96"/>
      <c r="I247" s="96"/>
      <c r="J247" s="96"/>
      <c r="K247" s="96">
        <f>IFERROR(__xludf.DUMMYFUNCTION("""COMPUTED_VALUE"""),700000.0)</f>
        <v>700000</v>
      </c>
      <c r="L247" s="99">
        <f>IFERROR(__xludf.DUMMYFUNCTION("""COMPUTED_VALUE"""),700000.0)</f>
        <v>700000</v>
      </c>
      <c r="M247" s="96"/>
      <c r="N247" s="96">
        <f>IFERROR(__xludf.DUMMYFUNCTION("""COMPUTED_VALUE"""),0.0)</f>
        <v>0</v>
      </c>
      <c r="O247" s="96">
        <f>IFERROR(__xludf.DUMMYFUNCTION("""COMPUTED_VALUE"""),0.0)</f>
        <v>0</v>
      </c>
      <c r="P247" s="96">
        <f>IFERROR(__xludf.DUMMYFUNCTION("""COMPUTED_VALUE"""),0.0)</f>
        <v>0</v>
      </c>
      <c r="Q247" s="129">
        <f>IFERROR(__xludf.DUMMYFUNCTION("""COMPUTED_VALUE"""),0.0)</f>
        <v>0</v>
      </c>
      <c r="R247" s="99"/>
    </row>
    <row r="248">
      <c r="A248" s="96">
        <f>IFERROR(__xludf.DUMMYFUNCTION("""COMPUTED_VALUE"""),9.0)</f>
        <v>9</v>
      </c>
      <c r="B248" s="98">
        <f>IFERROR(__xludf.DUMMYFUNCTION("""COMPUTED_VALUE"""),44063.0)</f>
        <v>44063</v>
      </c>
      <c r="C248" s="96" t="str">
        <f>IFERROR(__xludf.DUMMYFUNCTION("""COMPUTED_VALUE"""),"ALFRED ALABI")</f>
        <v>ALFRED ALABI</v>
      </c>
      <c r="D248" s="96" t="str">
        <f>IFERROR(__xludf.DUMMYFUNCTION("""COMPUTED_VALUE"""),"ALFRED ALABI9")</f>
        <v>ALFRED ALABI9</v>
      </c>
      <c r="E248" s="96"/>
      <c r="F248" s="96"/>
      <c r="G248" s="96"/>
      <c r="H248" s="96"/>
      <c r="I248" s="96"/>
      <c r="J248" s="96"/>
      <c r="K248" s="96">
        <f>IFERROR(__xludf.DUMMYFUNCTION("""COMPUTED_VALUE"""),400000.0)</f>
        <v>400000</v>
      </c>
      <c r="L248" s="99">
        <f>IFERROR(__xludf.DUMMYFUNCTION("""COMPUTED_VALUE"""),400000.0)</f>
        <v>400000</v>
      </c>
      <c r="M248" s="96"/>
      <c r="N248" s="96">
        <f>IFERROR(__xludf.DUMMYFUNCTION("""COMPUTED_VALUE"""),0.0)</f>
        <v>0</v>
      </c>
      <c r="O248" s="96">
        <f>IFERROR(__xludf.DUMMYFUNCTION("""COMPUTED_VALUE"""),0.0)</f>
        <v>0</v>
      </c>
      <c r="P248" s="96">
        <f>IFERROR(__xludf.DUMMYFUNCTION("""COMPUTED_VALUE"""),0.0)</f>
        <v>0</v>
      </c>
      <c r="Q248" s="129">
        <f>IFERROR(__xludf.DUMMYFUNCTION("""COMPUTED_VALUE"""),0.0)</f>
        <v>0</v>
      </c>
      <c r="R248" s="99"/>
    </row>
    <row r="249">
      <c r="A249" s="96">
        <f>IFERROR(__xludf.DUMMYFUNCTION("""COMPUTED_VALUE"""),6.0)</f>
        <v>6</v>
      </c>
      <c r="B249" s="98">
        <f>IFERROR(__xludf.DUMMYFUNCTION("""COMPUTED_VALUE"""),44040.0)</f>
        <v>44040</v>
      </c>
      <c r="C249" s="96" t="str">
        <f>IFERROR(__xludf.DUMMYFUNCTION("""COMPUTED_VALUE"""),"KARIEN EBAN")</f>
        <v>KARIEN EBAN</v>
      </c>
      <c r="D249" s="96" t="str">
        <f>IFERROR(__xludf.DUMMYFUNCTION("""COMPUTED_VALUE"""),"KARIEN EBAN6")</f>
        <v>KARIEN EBAN6</v>
      </c>
      <c r="E249" s="96"/>
      <c r="F249" s="96"/>
      <c r="G249" s="96"/>
      <c r="H249" s="96"/>
      <c r="I249" s="96"/>
      <c r="J249" s="96"/>
      <c r="K249" s="96"/>
      <c r="L249" s="99">
        <f>IFERROR(__xludf.DUMMYFUNCTION("""COMPUTED_VALUE"""),-500000.0)</f>
        <v>-500000</v>
      </c>
      <c r="M249" s="96"/>
      <c r="N249" s="96">
        <f>IFERROR(__xludf.DUMMYFUNCTION("""COMPUTED_VALUE"""),0.0)</f>
        <v>0</v>
      </c>
      <c r="O249" s="96">
        <f>IFERROR(__xludf.DUMMYFUNCTION("""COMPUTED_VALUE"""),0.0)</f>
        <v>0</v>
      </c>
      <c r="P249" s="96">
        <f>IFERROR(__xludf.DUMMYFUNCTION("""COMPUTED_VALUE"""),0.0)</f>
        <v>0</v>
      </c>
      <c r="Q249" s="129">
        <f>IFERROR(__xludf.DUMMYFUNCTION("""COMPUTED_VALUE"""),0.0)</f>
        <v>0</v>
      </c>
      <c r="R249" s="99">
        <f>IFERROR(__xludf.DUMMYFUNCTION("""COMPUTED_VALUE"""),500000.0)</f>
        <v>500000</v>
      </c>
    </row>
    <row r="250">
      <c r="A250" s="96">
        <f>IFERROR(__xludf.DUMMYFUNCTION("""COMPUTED_VALUE"""),7.0)</f>
        <v>7</v>
      </c>
      <c r="B250" s="98">
        <f>IFERROR(__xludf.DUMMYFUNCTION("""COMPUTED_VALUE"""),44064.0)</f>
        <v>44064</v>
      </c>
      <c r="C250" s="96" t="str">
        <f>IFERROR(__xludf.DUMMYFUNCTION("""COMPUTED_VALUE"""),"KARIEN EBAN")</f>
        <v>KARIEN EBAN</v>
      </c>
      <c r="D250" s="96" t="str">
        <f>IFERROR(__xludf.DUMMYFUNCTION("""COMPUTED_VALUE"""),"KARIEN EBAN7")</f>
        <v>KARIEN EBAN7</v>
      </c>
      <c r="E250" s="96"/>
      <c r="F250" s="96"/>
      <c r="G250" s="96"/>
      <c r="H250" s="96"/>
      <c r="I250" s="96"/>
      <c r="J250" s="96"/>
      <c r="K250" s="96">
        <f>IFERROR(__xludf.DUMMYFUNCTION("""COMPUTED_VALUE"""),722000.0)</f>
        <v>722000</v>
      </c>
      <c r="L250" s="99">
        <f>IFERROR(__xludf.DUMMYFUNCTION("""COMPUTED_VALUE"""),722000.0)</f>
        <v>722000</v>
      </c>
      <c r="M250" s="96"/>
      <c r="N250" s="96">
        <f>IFERROR(__xludf.DUMMYFUNCTION("""COMPUTED_VALUE"""),0.0)</f>
        <v>0</v>
      </c>
      <c r="O250" s="96">
        <f>IFERROR(__xludf.DUMMYFUNCTION("""COMPUTED_VALUE"""),0.0)</f>
        <v>0</v>
      </c>
      <c r="P250" s="96">
        <f>IFERROR(__xludf.DUMMYFUNCTION("""COMPUTED_VALUE"""),0.0)</f>
        <v>0</v>
      </c>
      <c r="Q250" s="129">
        <f>IFERROR(__xludf.DUMMYFUNCTION("""COMPUTED_VALUE"""),0.0)</f>
        <v>0</v>
      </c>
      <c r="R250" s="99"/>
    </row>
    <row r="251">
      <c r="A251" s="96">
        <f>IFERROR(__xludf.DUMMYFUNCTION("""COMPUTED_VALUE"""),18.0)</f>
        <v>18</v>
      </c>
      <c r="B251" s="98">
        <f>IFERROR(__xludf.DUMMYFUNCTION("""COMPUTED_VALUE"""),44065.0)</f>
        <v>44065</v>
      </c>
      <c r="C251" s="96" t="str">
        <f>IFERROR(__xludf.DUMMYFUNCTION("""COMPUTED_VALUE"""),"RECTOR W.")</f>
        <v>RECTOR W.</v>
      </c>
      <c r="D251" s="96" t="str">
        <f>IFERROR(__xludf.DUMMYFUNCTION("""COMPUTED_VALUE"""),"RECTOR W.18")</f>
        <v>RECTOR W.18</v>
      </c>
      <c r="E251" s="96"/>
      <c r="F251" s="96"/>
      <c r="G251" s="96"/>
      <c r="H251" s="96"/>
      <c r="I251" s="96"/>
      <c r="J251" s="96"/>
      <c r="K251" s="96">
        <f>IFERROR(__xludf.DUMMYFUNCTION("""COMPUTED_VALUE"""),140000.0)</f>
        <v>140000</v>
      </c>
      <c r="L251" s="99">
        <f>IFERROR(__xludf.DUMMYFUNCTION("""COMPUTED_VALUE"""),140000.0)</f>
        <v>140000</v>
      </c>
      <c r="M251" s="96"/>
      <c r="N251" s="96">
        <f>IFERROR(__xludf.DUMMYFUNCTION("""COMPUTED_VALUE"""),0.0)</f>
        <v>0</v>
      </c>
      <c r="O251" s="96">
        <f>IFERROR(__xludf.DUMMYFUNCTION("""COMPUTED_VALUE"""),0.0)</f>
        <v>0</v>
      </c>
      <c r="P251" s="96">
        <f>IFERROR(__xludf.DUMMYFUNCTION("""COMPUTED_VALUE"""),0.0)</f>
        <v>0</v>
      </c>
      <c r="Q251" s="129">
        <f>IFERROR(__xludf.DUMMYFUNCTION("""COMPUTED_VALUE"""),0.0)</f>
        <v>0</v>
      </c>
      <c r="R251" s="99"/>
    </row>
    <row r="252">
      <c r="A252" s="96">
        <f>IFERROR(__xludf.DUMMYFUNCTION("""COMPUTED_VALUE"""),15.0)</f>
        <v>15</v>
      </c>
      <c r="B252" s="98">
        <f>IFERROR(__xludf.DUMMYFUNCTION("""COMPUTED_VALUE"""),44067.0)</f>
        <v>44067</v>
      </c>
      <c r="C252" s="96" t="str">
        <f>IFERROR(__xludf.DUMMYFUNCTION("""COMPUTED_VALUE"""),"LYDIA HNSON ")</f>
        <v>LYDIA HNSON </v>
      </c>
      <c r="D252" s="96" t="str">
        <f>IFERROR(__xludf.DUMMYFUNCTION("""COMPUTED_VALUE"""),"LYDIA HNSON 15")</f>
        <v>LYDIA HNSON 15</v>
      </c>
      <c r="E252" s="96"/>
      <c r="F252" s="96"/>
      <c r="G252" s="96"/>
      <c r="H252" s="96"/>
      <c r="I252" s="96"/>
      <c r="J252" s="96"/>
      <c r="K252" s="96">
        <f>IFERROR(__xludf.DUMMYFUNCTION("""COMPUTED_VALUE"""),100000.0)</f>
        <v>100000</v>
      </c>
      <c r="L252" s="99">
        <f>IFERROR(__xludf.DUMMYFUNCTION("""COMPUTED_VALUE"""),100000.0)</f>
        <v>100000</v>
      </c>
      <c r="M252" s="96"/>
      <c r="N252" s="96">
        <f>IFERROR(__xludf.DUMMYFUNCTION("""COMPUTED_VALUE"""),0.0)</f>
        <v>0</v>
      </c>
      <c r="O252" s="96">
        <f>IFERROR(__xludf.DUMMYFUNCTION("""COMPUTED_VALUE"""),0.0)</f>
        <v>0</v>
      </c>
      <c r="P252" s="96">
        <f>IFERROR(__xludf.DUMMYFUNCTION("""COMPUTED_VALUE"""),0.0)</f>
        <v>0</v>
      </c>
      <c r="Q252" s="129">
        <f>IFERROR(__xludf.DUMMYFUNCTION("""COMPUTED_VALUE"""),0.0)</f>
        <v>0</v>
      </c>
      <c r="R252" s="99"/>
    </row>
    <row r="253">
      <c r="A253" s="96">
        <f>IFERROR(__xludf.DUMMYFUNCTION("""COMPUTED_VALUE"""),7.0)</f>
        <v>7</v>
      </c>
      <c r="B253" s="98">
        <f>IFERROR(__xludf.DUMMYFUNCTION("""COMPUTED_VALUE"""),44067.0)</f>
        <v>44067</v>
      </c>
      <c r="C253" s="96" t="str">
        <f>IFERROR(__xludf.DUMMYFUNCTION("""COMPUTED_VALUE"""),"BOSURU  BOSURU")</f>
        <v>BOSURU  BOSURU</v>
      </c>
      <c r="D253" s="96" t="str">
        <f>IFERROR(__xludf.DUMMYFUNCTION("""COMPUTED_VALUE"""),"BOSURU  BOSURU7")</f>
        <v>BOSURU  BOSURU7</v>
      </c>
      <c r="E253" s="96"/>
      <c r="F253" s="96"/>
      <c r="G253" s="96"/>
      <c r="H253" s="96"/>
      <c r="I253" s="96"/>
      <c r="J253" s="96"/>
      <c r="K253" s="96">
        <f>IFERROR(__xludf.DUMMYFUNCTION("""COMPUTED_VALUE"""),100000.0)</f>
        <v>100000</v>
      </c>
      <c r="L253" s="99">
        <f>IFERROR(__xludf.DUMMYFUNCTION("""COMPUTED_VALUE"""),100000.0)</f>
        <v>100000</v>
      </c>
      <c r="M253" s="96"/>
      <c r="N253" s="96">
        <f>IFERROR(__xludf.DUMMYFUNCTION("""COMPUTED_VALUE"""),0.0)</f>
        <v>0</v>
      </c>
      <c r="O253" s="96">
        <f>IFERROR(__xludf.DUMMYFUNCTION("""COMPUTED_VALUE"""),0.0)</f>
        <v>0</v>
      </c>
      <c r="P253" s="96">
        <f>IFERROR(__xludf.DUMMYFUNCTION("""COMPUTED_VALUE"""),0.0)</f>
        <v>0</v>
      </c>
      <c r="Q253" s="129">
        <f>IFERROR(__xludf.DUMMYFUNCTION("""COMPUTED_VALUE"""),0.0)</f>
        <v>0</v>
      </c>
      <c r="R253" s="99"/>
    </row>
    <row r="254">
      <c r="A254" s="96">
        <f>IFERROR(__xludf.DUMMYFUNCTION("""COMPUTED_VALUE"""),2.0)</f>
        <v>2</v>
      </c>
      <c r="B254" s="98">
        <f>IFERROR(__xludf.DUMMYFUNCTION("""COMPUTED_VALUE"""),44067.0)</f>
        <v>44067</v>
      </c>
      <c r="C254" s="96" t="str">
        <f>IFERROR(__xludf.DUMMYFUNCTION("""COMPUTED_VALUE"""),"R.  MAXWELL AGRO")</f>
        <v>R.  MAXWELL AGRO</v>
      </c>
      <c r="D254" s="96" t="str">
        <f>IFERROR(__xludf.DUMMYFUNCTION("""COMPUTED_VALUE"""),"R.  MAXWELL AGRO2")</f>
        <v>R.  MAXWELL AGRO2</v>
      </c>
      <c r="E254" s="96"/>
      <c r="F254" s="96"/>
      <c r="G254" s="96"/>
      <c r="H254" s="96"/>
      <c r="I254" s="96"/>
      <c r="J254" s="96"/>
      <c r="K254" s="96">
        <f>IFERROR(__xludf.DUMMYFUNCTION("""COMPUTED_VALUE"""),50000.0)</f>
        <v>50000</v>
      </c>
      <c r="L254" s="99">
        <f>IFERROR(__xludf.DUMMYFUNCTION("""COMPUTED_VALUE"""),50000.0)</f>
        <v>50000</v>
      </c>
      <c r="M254" s="96"/>
      <c r="N254" s="96">
        <f>IFERROR(__xludf.DUMMYFUNCTION("""COMPUTED_VALUE"""),0.0)</f>
        <v>0</v>
      </c>
      <c r="O254" s="96">
        <f>IFERROR(__xludf.DUMMYFUNCTION("""COMPUTED_VALUE"""),0.0)</f>
        <v>0</v>
      </c>
      <c r="P254" s="96">
        <f>IFERROR(__xludf.DUMMYFUNCTION("""COMPUTED_VALUE"""),0.0)</f>
        <v>0</v>
      </c>
      <c r="Q254" s="129">
        <f>IFERROR(__xludf.DUMMYFUNCTION("""COMPUTED_VALUE"""),0.0)</f>
        <v>0</v>
      </c>
      <c r="R254" s="99"/>
    </row>
    <row r="255">
      <c r="A255" s="96">
        <f>IFERROR(__xludf.DUMMYFUNCTION("""COMPUTED_VALUE"""),9.0)</f>
        <v>9</v>
      </c>
      <c r="B255" s="98">
        <f>IFERROR(__xludf.DUMMYFUNCTION("""COMPUTED_VALUE"""),44067.0)</f>
        <v>44067</v>
      </c>
      <c r="C255" s="96" t="str">
        <f>IFERROR(__xludf.DUMMYFUNCTION("""COMPUTED_VALUE"""),"EDWARD OKO")</f>
        <v>EDWARD OKO</v>
      </c>
      <c r="D255" s="96" t="str">
        <f>IFERROR(__xludf.DUMMYFUNCTION("""COMPUTED_VALUE"""),"EDWARD OKO9")</f>
        <v>EDWARD OKO9</v>
      </c>
      <c r="E255" s="96"/>
      <c r="F255" s="96"/>
      <c r="G255" s="96"/>
      <c r="H255" s="96"/>
      <c r="I255" s="96"/>
      <c r="J255" s="96"/>
      <c r="K255" s="96">
        <f>IFERROR(__xludf.DUMMYFUNCTION("""COMPUTED_VALUE"""),85000.0)</f>
        <v>85000</v>
      </c>
      <c r="L255" s="99">
        <f>IFERROR(__xludf.DUMMYFUNCTION("""COMPUTED_VALUE"""),85000.0)</f>
        <v>85000</v>
      </c>
      <c r="M255" s="96"/>
      <c r="N255" s="96">
        <f>IFERROR(__xludf.DUMMYFUNCTION("""COMPUTED_VALUE"""),0.0)</f>
        <v>0</v>
      </c>
      <c r="O255" s="96">
        <f>IFERROR(__xludf.DUMMYFUNCTION("""COMPUTED_VALUE"""),0.0)</f>
        <v>0</v>
      </c>
      <c r="P255" s="96">
        <f>IFERROR(__xludf.DUMMYFUNCTION("""COMPUTED_VALUE"""),0.0)</f>
        <v>0</v>
      </c>
      <c r="Q255" s="129">
        <f>IFERROR(__xludf.DUMMYFUNCTION("""COMPUTED_VALUE"""),0.0)</f>
        <v>0</v>
      </c>
      <c r="R255" s="99"/>
    </row>
    <row r="256">
      <c r="A256" s="96">
        <f>IFERROR(__xludf.DUMMYFUNCTION("""COMPUTED_VALUE"""),2.0)</f>
        <v>2</v>
      </c>
      <c r="B256" s="98">
        <f>IFERROR(__xludf.DUMMYFUNCTION("""COMPUTED_VALUE"""),44067.0)</f>
        <v>44067</v>
      </c>
      <c r="C256" s="96" t="str">
        <f>IFERROR(__xludf.DUMMYFUNCTION("""COMPUTED_VALUE"""),"PAPA AJASCO BETTE")</f>
        <v>PAPA AJASCO BETTE</v>
      </c>
      <c r="D256" s="96" t="str">
        <f>IFERROR(__xludf.DUMMYFUNCTION("""COMPUTED_VALUE"""),"PAPA AJASCO BETTE2")</f>
        <v>PAPA AJASCO BETTE2</v>
      </c>
      <c r="E256" s="96"/>
      <c r="F256" s="96"/>
      <c r="G256" s="96"/>
      <c r="H256" s="96"/>
      <c r="I256" s="96"/>
      <c r="J256" s="96"/>
      <c r="K256" s="96">
        <f>IFERROR(__xludf.DUMMYFUNCTION("""COMPUTED_VALUE"""),20000.0)</f>
        <v>20000</v>
      </c>
      <c r="L256" s="99">
        <f>IFERROR(__xludf.DUMMYFUNCTION("""COMPUTED_VALUE"""),20000.0)</f>
        <v>20000</v>
      </c>
      <c r="M256" s="96"/>
      <c r="N256" s="96">
        <f>IFERROR(__xludf.DUMMYFUNCTION("""COMPUTED_VALUE"""),0.0)</f>
        <v>0</v>
      </c>
      <c r="O256" s="96">
        <f>IFERROR(__xludf.DUMMYFUNCTION("""COMPUTED_VALUE"""),0.0)</f>
        <v>0</v>
      </c>
      <c r="P256" s="96">
        <f>IFERROR(__xludf.DUMMYFUNCTION("""COMPUTED_VALUE"""),0.0)</f>
        <v>0</v>
      </c>
      <c r="Q256" s="129">
        <f>IFERROR(__xludf.DUMMYFUNCTION("""COMPUTED_VALUE"""),0.0)</f>
        <v>0</v>
      </c>
      <c r="R256" s="99"/>
    </row>
    <row r="257">
      <c r="A257" s="96">
        <f>IFERROR(__xludf.DUMMYFUNCTION("""COMPUTED_VALUE"""),9.0)</f>
        <v>9</v>
      </c>
      <c r="B257" s="98">
        <f>IFERROR(__xludf.DUMMYFUNCTION("""COMPUTED_VALUE"""),44068.0)</f>
        <v>44068</v>
      </c>
      <c r="C257" s="96" t="str">
        <f>IFERROR(__xludf.DUMMYFUNCTION("""COMPUTED_VALUE""")," MAXWELL AGRO")</f>
        <v> MAXWELL AGRO</v>
      </c>
      <c r="D257" s="96" t="str">
        <f>IFERROR(__xludf.DUMMYFUNCTION("""COMPUTED_VALUE""")," MAXWELL AGRO9")</f>
        <v> MAXWELL AGRO9</v>
      </c>
      <c r="E257" s="96">
        <f>IFERROR(__xludf.DUMMYFUNCTION("""COMPUTED_VALUE"""),657.0)</f>
        <v>657</v>
      </c>
      <c r="F257" s="96">
        <f>IFERROR(__xludf.DUMMYFUNCTION("""COMPUTED_VALUE"""),93.0)</f>
        <v>93</v>
      </c>
      <c r="G257" s="96"/>
      <c r="H257" s="96">
        <f>IFERROR(__xludf.DUMMYFUNCTION("""COMPUTED_VALUE"""),10.0)</f>
        <v>10</v>
      </c>
      <c r="I257" s="96">
        <f>IFERROR(__xludf.DUMMYFUNCTION("""COMPUTED_VALUE"""),0.0)</f>
        <v>0</v>
      </c>
      <c r="J257" s="96">
        <f>IFERROR(__xludf.DUMMYFUNCTION("""COMPUTED_VALUE"""),825.35)</f>
        <v>825.35</v>
      </c>
      <c r="K257" s="96"/>
      <c r="L257" s="99">
        <f>IFERROR(__xludf.DUMMYFUNCTION("""COMPUTED_VALUE"""),-527400.0)</f>
        <v>-527400</v>
      </c>
      <c r="M257" s="96">
        <f>IFERROR(__xludf.DUMMYFUNCTION("""COMPUTED_VALUE"""),9.3)</f>
        <v>9.3</v>
      </c>
      <c r="N257" s="96">
        <f>IFERROR(__xludf.DUMMYFUNCTION("""COMPUTED_VALUE"""),8.0)</f>
        <v>8</v>
      </c>
      <c r="O257" s="96">
        <f>IFERROR(__xludf.DUMMYFUNCTION("""COMPUTED_VALUE"""),10.0)</f>
        <v>10</v>
      </c>
      <c r="P257" s="96">
        <f>IFERROR(__xludf.DUMMYFUNCTION("""COMPUTED_VALUE"""),8.0)</f>
        <v>8</v>
      </c>
      <c r="Q257" s="129">
        <f>IFERROR(__xludf.DUMMYFUNCTION("""COMPUTED_VALUE"""),639.0)</f>
        <v>639</v>
      </c>
      <c r="R257" s="99">
        <f>IFERROR(__xludf.DUMMYFUNCTION("""COMPUTED_VALUE"""),527400.0)</f>
        <v>527400</v>
      </c>
    </row>
    <row r="258">
      <c r="A258" s="96">
        <f>IFERROR(__xludf.DUMMYFUNCTION("""COMPUTED_VALUE"""),10.0)</f>
        <v>10</v>
      </c>
      <c r="B258" s="98">
        <f>IFERROR(__xludf.DUMMYFUNCTION("""COMPUTED_VALUE"""),44068.0)</f>
        <v>44068</v>
      </c>
      <c r="C258" s="96" t="str">
        <f>IFERROR(__xludf.DUMMYFUNCTION("""COMPUTED_VALUE""")," MAXWELL AGRO")</f>
        <v> MAXWELL AGRO</v>
      </c>
      <c r="D258" s="96" t="str">
        <f>IFERROR(__xludf.DUMMYFUNCTION("""COMPUTED_VALUE""")," MAXWELL AGRO10")</f>
        <v> MAXWELL AGRO10</v>
      </c>
      <c r="E258" s="96"/>
      <c r="F258" s="96"/>
      <c r="G258" s="96"/>
      <c r="H258" s="96"/>
      <c r="I258" s="96"/>
      <c r="J258" s="96"/>
      <c r="K258" s="96">
        <f>IFERROR(__xludf.DUMMYFUNCTION("""COMPUTED_VALUE"""),300000.0)</f>
        <v>300000</v>
      </c>
      <c r="L258" s="99">
        <f>IFERROR(__xludf.DUMMYFUNCTION("""COMPUTED_VALUE"""),300000.0)</f>
        <v>300000</v>
      </c>
      <c r="M258" s="96"/>
      <c r="N258" s="96">
        <f>IFERROR(__xludf.DUMMYFUNCTION("""COMPUTED_VALUE"""),0.0)</f>
        <v>0</v>
      </c>
      <c r="O258" s="96">
        <f>IFERROR(__xludf.DUMMYFUNCTION("""COMPUTED_VALUE"""),0.0)</f>
        <v>0</v>
      </c>
      <c r="P258" s="96">
        <f>IFERROR(__xludf.DUMMYFUNCTION("""COMPUTED_VALUE"""),0.0)</f>
        <v>0</v>
      </c>
      <c r="Q258" s="129">
        <f>IFERROR(__xludf.DUMMYFUNCTION("""COMPUTED_VALUE"""),0.0)</f>
        <v>0</v>
      </c>
      <c r="R258" s="99"/>
    </row>
    <row r="259">
      <c r="A259" s="96">
        <f>IFERROR(__xludf.DUMMYFUNCTION("""COMPUTED_VALUE"""),11.0)</f>
        <v>11</v>
      </c>
      <c r="B259" s="98">
        <f>IFERROR(__xludf.DUMMYFUNCTION("""COMPUTED_VALUE"""),44068.0)</f>
        <v>44068</v>
      </c>
      <c r="C259" s="96" t="str">
        <f>IFERROR(__xludf.DUMMYFUNCTION("""COMPUTED_VALUE""")," MAXWELL AGRO")</f>
        <v> MAXWELL AGRO</v>
      </c>
      <c r="D259" s="96" t="str">
        <f>IFERROR(__xludf.DUMMYFUNCTION("""COMPUTED_VALUE""")," MAXWELL AGRO11")</f>
        <v> MAXWELL AGRO11</v>
      </c>
      <c r="E259" s="96"/>
      <c r="F259" s="96"/>
      <c r="G259" s="96"/>
      <c r="H259" s="96"/>
      <c r="I259" s="96"/>
      <c r="J259" s="96"/>
      <c r="K259" s="96">
        <f>IFERROR(__xludf.DUMMYFUNCTION("""COMPUTED_VALUE"""),4500.0)</f>
        <v>4500</v>
      </c>
      <c r="L259" s="99">
        <f>IFERROR(__xludf.DUMMYFUNCTION("""COMPUTED_VALUE"""),4500.0)</f>
        <v>4500</v>
      </c>
      <c r="M259" s="96"/>
      <c r="N259" s="96">
        <f>IFERROR(__xludf.DUMMYFUNCTION("""COMPUTED_VALUE"""),0.0)</f>
        <v>0</v>
      </c>
      <c r="O259" s="96">
        <f>IFERROR(__xludf.DUMMYFUNCTION("""COMPUTED_VALUE"""),0.0)</f>
        <v>0</v>
      </c>
      <c r="P259" s="96">
        <f>IFERROR(__xludf.DUMMYFUNCTION("""COMPUTED_VALUE"""),0.0)</f>
        <v>0</v>
      </c>
      <c r="Q259" s="129">
        <f>IFERROR(__xludf.DUMMYFUNCTION("""COMPUTED_VALUE"""),0.0)</f>
        <v>0</v>
      </c>
      <c r="R259" s="99"/>
    </row>
    <row r="260">
      <c r="A260" s="96">
        <f>IFERROR(__xludf.DUMMYFUNCTION("""COMPUTED_VALUE"""),2.0)</f>
        <v>2</v>
      </c>
      <c r="B260" s="98">
        <f>IFERROR(__xludf.DUMMYFUNCTION("""COMPUTED_VALUE"""),44068.0)</f>
        <v>44068</v>
      </c>
      <c r="C260" s="96" t="str">
        <f>IFERROR(__xludf.DUMMYFUNCTION("""COMPUTED_VALUE"""),"REIMON ALABA")</f>
        <v>REIMON ALABA</v>
      </c>
      <c r="D260" s="96" t="str">
        <f>IFERROR(__xludf.DUMMYFUNCTION("""COMPUTED_VALUE"""),"REIMON ALABA2")</f>
        <v>REIMON ALABA2</v>
      </c>
      <c r="E260" s="96"/>
      <c r="F260" s="96"/>
      <c r="G260" s="96"/>
      <c r="H260" s="96"/>
      <c r="I260" s="96"/>
      <c r="J260" s="96"/>
      <c r="K260" s="96">
        <f>IFERROR(__xludf.DUMMYFUNCTION("""COMPUTED_VALUE"""),200000.0)</f>
        <v>200000</v>
      </c>
      <c r="L260" s="99">
        <f>IFERROR(__xludf.DUMMYFUNCTION("""COMPUTED_VALUE"""),200000.0)</f>
        <v>200000</v>
      </c>
      <c r="M260" s="96"/>
      <c r="N260" s="96">
        <f>IFERROR(__xludf.DUMMYFUNCTION("""COMPUTED_VALUE"""),0.0)</f>
        <v>0</v>
      </c>
      <c r="O260" s="96">
        <f>IFERROR(__xludf.DUMMYFUNCTION("""COMPUTED_VALUE"""),0.0)</f>
        <v>0</v>
      </c>
      <c r="P260" s="96">
        <f>IFERROR(__xludf.DUMMYFUNCTION("""COMPUTED_VALUE"""),0.0)</f>
        <v>0</v>
      </c>
      <c r="Q260" s="129">
        <f>IFERROR(__xludf.DUMMYFUNCTION("""COMPUTED_VALUE"""),0.0)</f>
        <v>0</v>
      </c>
      <c r="R260" s="99"/>
    </row>
    <row r="261">
      <c r="A261" s="96">
        <f>IFERROR(__xludf.DUMMYFUNCTION("""COMPUTED_VALUE"""),16.0)</f>
        <v>16</v>
      </c>
      <c r="B261" s="98">
        <f>IFERROR(__xludf.DUMMYFUNCTION("""COMPUTED_VALUE"""),44068.0)</f>
        <v>44068</v>
      </c>
      <c r="C261" s="96" t="str">
        <f>IFERROR(__xludf.DUMMYFUNCTION("""COMPUTED_VALUE"""),"LYDIA HNSON ")</f>
        <v>LYDIA HNSON </v>
      </c>
      <c r="D261" s="96" t="str">
        <f>IFERROR(__xludf.DUMMYFUNCTION("""COMPUTED_VALUE"""),"LYDIA HNSON 16")</f>
        <v>LYDIA HNSON 16</v>
      </c>
      <c r="E261" s="96"/>
      <c r="F261" s="96"/>
      <c r="G261" s="96"/>
      <c r="H261" s="96"/>
      <c r="I261" s="96"/>
      <c r="J261" s="96"/>
      <c r="K261" s="96">
        <f>IFERROR(__xludf.DUMMYFUNCTION("""COMPUTED_VALUE"""),10000.0)</f>
        <v>10000</v>
      </c>
      <c r="L261" s="99">
        <f>IFERROR(__xludf.DUMMYFUNCTION("""COMPUTED_VALUE"""),10000.0)</f>
        <v>10000</v>
      </c>
      <c r="M261" s="96"/>
      <c r="N261" s="96">
        <f>IFERROR(__xludf.DUMMYFUNCTION("""COMPUTED_VALUE"""),0.0)</f>
        <v>0</v>
      </c>
      <c r="O261" s="96">
        <f>IFERROR(__xludf.DUMMYFUNCTION("""COMPUTED_VALUE"""),0.0)</f>
        <v>0</v>
      </c>
      <c r="P261" s="96">
        <f>IFERROR(__xludf.DUMMYFUNCTION("""COMPUTED_VALUE"""),0.0)</f>
        <v>0</v>
      </c>
      <c r="Q261" s="129">
        <f>IFERROR(__xludf.DUMMYFUNCTION("""COMPUTED_VALUE"""),0.0)</f>
        <v>0</v>
      </c>
      <c r="R261" s="99"/>
    </row>
    <row r="262">
      <c r="A262" s="96">
        <f>IFERROR(__xludf.DUMMYFUNCTION("""COMPUTED_VALUE"""),1.0)</f>
        <v>1</v>
      </c>
      <c r="B262" s="98">
        <f>IFERROR(__xludf.DUMMYFUNCTION("""COMPUTED_VALUE"""),44068.0)</f>
        <v>44068</v>
      </c>
      <c r="C262" s="96" t="str">
        <f>IFERROR(__xludf.DUMMYFUNCTION("""COMPUTED_VALUE"""),"NEIGHBOR")</f>
        <v>NEIGHBOR</v>
      </c>
      <c r="D262" s="96" t="str">
        <f>IFERROR(__xludf.DUMMYFUNCTION("""COMPUTED_VALUE"""),"NEIGHBOR1")</f>
        <v>NEIGHBOR1</v>
      </c>
      <c r="E262" s="96"/>
      <c r="F262" s="96"/>
      <c r="G262" s="96"/>
      <c r="H262" s="96"/>
      <c r="I262" s="96"/>
      <c r="J262" s="96"/>
      <c r="K262" s="96">
        <f>IFERROR(__xludf.DUMMYFUNCTION("""COMPUTED_VALUE"""),500000.0)</f>
        <v>500000</v>
      </c>
      <c r="L262" s="99">
        <f>IFERROR(__xludf.DUMMYFUNCTION("""COMPUTED_VALUE"""),500000.0)</f>
        <v>500000</v>
      </c>
      <c r="M262" s="96"/>
      <c r="N262" s="96">
        <f>IFERROR(__xludf.DUMMYFUNCTION("""COMPUTED_VALUE"""),0.0)</f>
        <v>0</v>
      </c>
      <c r="O262" s="96">
        <f>IFERROR(__xludf.DUMMYFUNCTION("""COMPUTED_VALUE"""),0.0)</f>
        <v>0</v>
      </c>
      <c r="P262" s="96">
        <f>IFERROR(__xludf.DUMMYFUNCTION("""COMPUTED_VALUE"""),0.0)</f>
        <v>0</v>
      </c>
      <c r="Q262" s="129">
        <f>IFERROR(__xludf.DUMMYFUNCTION("""COMPUTED_VALUE"""),0.0)</f>
        <v>0</v>
      </c>
      <c r="R262" s="99"/>
    </row>
    <row r="263">
      <c r="A263" s="96">
        <f>IFERROR(__xludf.DUMMYFUNCTION("""COMPUTED_VALUE"""),2.0)</f>
        <v>2</v>
      </c>
      <c r="B263" s="98">
        <f>IFERROR(__xludf.DUMMYFUNCTION("""COMPUTED_VALUE"""),44069.0)</f>
        <v>44069</v>
      </c>
      <c r="C263" s="96" t="str">
        <f>IFERROR(__xludf.DUMMYFUNCTION("""COMPUTED_VALUE"""),"NEIGHBOR")</f>
        <v>NEIGHBOR</v>
      </c>
      <c r="D263" s="96" t="str">
        <f>IFERROR(__xludf.DUMMYFUNCTION("""COMPUTED_VALUE"""),"NEIGHBOR2")</f>
        <v>NEIGHBOR2</v>
      </c>
      <c r="E263" s="96">
        <f>IFERROR(__xludf.DUMMYFUNCTION("""COMPUTED_VALUE"""),638.0)</f>
        <v>638</v>
      </c>
      <c r="F263" s="96">
        <f>IFERROR(__xludf.DUMMYFUNCTION("""COMPUTED_VALUE"""),102.0)</f>
        <v>102</v>
      </c>
      <c r="G263" s="96"/>
      <c r="H263" s="96">
        <f>IFERROR(__xludf.DUMMYFUNCTION("""COMPUTED_VALUE"""),10.0)</f>
        <v>10</v>
      </c>
      <c r="I263" s="96">
        <f>IFERROR(__xludf.DUMMYFUNCTION("""COMPUTED_VALUE"""),0.0)</f>
        <v>0</v>
      </c>
      <c r="J263" s="96">
        <f>IFERROR(__xludf.DUMMYFUNCTION("""COMPUTED_VALUE"""),850.0)</f>
        <v>850</v>
      </c>
      <c r="K263" s="96"/>
      <c r="L263" s="99">
        <f>IFERROR(__xludf.DUMMYFUNCTION("""COMPUTED_VALUE"""),-521900.0)</f>
        <v>-521900</v>
      </c>
      <c r="M263" s="96">
        <f>IFERROR(__xludf.DUMMYFUNCTION("""COMPUTED_VALUE"""),10.2)</f>
        <v>10.2</v>
      </c>
      <c r="N263" s="96">
        <f>IFERROR(__xludf.DUMMYFUNCTION("""COMPUTED_VALUE"""),14.0)</f>
        <v>14</v>
      </c>
      <c r="O263" s="96">
        <f>IFERROR(__xludf.DUMMYFUNCTION("""COMPUTED_VALUE"""),9.0)</f>
        <v>9</v>
      </c>
      <c r="P263" s="96">
        <f>IFERROR(__xludf.DUMMYFUNCTION("""COMPUTED_VALUE"""),46.0)</f>
        <v>46</v>
      </c>
      <c r="Q263" s="129">
        <f>IFERROR(__xludf.DUMMYFUNCTION("""COMPUTED_VALUE"""),614.0)</f>
        <v>614</v>
      </c>
      <c r="R263" s="99">
        <f>IFERROR(__xludf.DUMMYFUNCTION("""COMPUTED_VALUE"""),521900.0)</f>
        <v>521900</v>
      </c>
    </row>
    <row r="264">
      <c r="A264" s="96">
        <f>IFERROR(__xludf.DUMMYFUNCTION("""COMPUTED_VALUE"""),13.0)</f>
        <v>13</v>
      </c>
      <c r="B264" s="98">
        <f>IFERROR(__xludf.DUMMYFUNCTION("""COMPUTED_VALUE"""),44069.0)</f>
        <v>44069</v>
      </c>
      <c r="C264" s="96" t="str">
        <f>IFERROR(__xludf.DUMMYFUNCTION("""COMPUTED_VALUE"""),"NDOMA BODE I.D")</f>
        <v>NDOMA BODE I.D</v>
      </c>
      <c r="D264" s="96" t="str">
        <f>IFERROR(__xludf.DUMMYFUNCTION("""COMPUTED_VALUE"""),"NDOMA BODE I.D13")</f>
        <v>NDOMA BODE I.D13</v>
      </c>
      <c r="E264" s="96">
        <f>IFERROR(__xludf.DUMMYFUNCTION("""COMPUTED_VALUE"""),1304.0)</f>
        <v>1304</v>
      </c>
      <c r="F264" s="96">
        <f>IFERROR(__xludf.DUMMYFUNCTION("""COMPUTED_VALUE"""),168.0)</f>
        <v>168</v>
      </c>
      <c r="G264" s="96"/>
      <c r="H264" s="96">
        <f>IFERROR(__xludf.DUMMYFUNCTION("""COMPUTED_VALUE"""),21.0)</f>
        <v>21</v>
      </c>
      <c r="I264" s="96">
        <f>IFERROR(__xludf.DUMMYFUNCTION("""COMPUTED_VALUE"""),0.0)</f>
        <v>0</v>
      </c>
      <c r="J264" s="96">
        <f>IFERROR(__xludf.DUMMYFUNCTION("""COMPUTED_VALUE"""),820.0)</f>
        <v>820</v>
      </c>
      <c r="K264" s="96"/>
      <c r="L264" s="99">
        <f>IFERROR(__xludf.DUMMYFUNCTION("""COMPUTED_VALUE"""),-1052060.0)</f>
        <v>-1052060</v>
      </c>
      <c r="M264" s="96">
        <f>IFERROR(__xludf.DUMMYFUNCTION("""COMPUTED_VALUE"""),8.0)</f>
        <v>8</v>
      </c>
      <c r="N264" s="96">
        <f>IFERROR(__xludf.DUMMYFUNCTION("""COMPUTED_VALUE"""),0.0)</f>
        <v>0</v>
      </c>
      <c r="O264" s="96">
        <f>IFERROR(__xludf.DUMMYFUNCTION("""COMPUTED_VALUE"""),20.0)</f>
        <v>20</v>
      </c>
      <c r="P264" s="96">
        <f>IFERROR(__xludf.DUMMYFUNCTION("""COMPUTED_VALUE"""),22.0)</f>
        <v>22</v>
      </c>
      <c r="Q264" s="129">
        <f>IFERROR(__xludf.DUMMYFUNCTION("""COMPUTED_VALUE"""),1283.0)</f>
        <v>1283</v>
      </c>
      <c r="R264" s="99">
        <f>IFERROR(__xludf.DUMMYFUNCTION("""COMPUTED_VALUE"""),1052060.0)</f>
        <v>1052060</v>
      </c>
    </row>
    <row r="265">
      <c r="A265" s="96">
        <f>IFERROR(__xludf.DUMMYFUNCTION("""COMPUTED_VALUE"""),8.0)</f>
        <v>8</v>
      </c>
      <c r="B265" s="98">
        <f>IFERROR(__xludf.DUMMYFUNCTION("""COMPUTED_VALUE"""),44069.0)</f>
        <v>44069</v>
      </c>
      <c r="C265" s="96" t="str">
        <f>IFERROR(__xludf.DUMMYFUNCTION("""COMPUTED_VALUE"""),"ANDRDEW GREAT")</f>
        <v>ANDRDEW GREAT</v>
      </c>
      <c r="D265" s="96" t="str">
        <f>IFERROR(__xludf.DUMMYFUNCTION("""COMPUTED_VALUE"""),"ANDRDEW GREAT8")</f>
        <v>ANDRDEW GREAT8</v>
      </c>
      <c r="E265" s="96"/>
      <c r="F265" s="96"/>
      <c r="G265" s="96"/>
      <c r="H265" s="96"/>
      <c r="I265" s="96"/>
      <c r="J265" s="96"/>
      <c r="K265" s="96">
        <f>IFERROR(__xludf.DUMMYFUNCTION("""COMPUTED_VALUE"""),200000.0)</f>
        <v>200000</v>
      </c>
      <c r="L265" s="99">
        <f>IFERROR(__xludf.DUMMYFUNCTION("""COMPUTED_VALUE"""),200000.0)</f>
        <v>200000</v>
      </c>
      <c r="M265" s="96"/>
      <c r="N265" s="96">
        <f>IFERROR(__xludf.DUMMYFUNCTION("""COMPUTED_VALUE"""),0.0)</f>
        <v>0</v>
      </c>
      <c r="O265" s="96">
        <f>IFERROR(__xludf.DUMMYFUNCTION("""COMPUTED_VALUE"""),0.0)</f>
        <v>0</v>
      </c>
      <c r="P265" s="96">
        <f>IFERROR(__xludf.DUMMYFUNCTION("""COMPUTED_VALUE"""),0.0)</f>
        <v>0</v>
      </c>
      <c r="Q265" s="129">
        <f>IFERROR(__xludf.DUMMYFUNCTION("""COMPUTED_VALUE"""),0.0)</f>
        <v>0</v>
      </c>
      <c r="R265" s="99"/>
    </row>
    <row r="266">
      <c r="A266" s="96">
        <f>IFERROR(__xludf.DUMMYFUNCTION("""COMPUTED_VALUE"""),10.0)</f>
        <v>10</v>
      </c>
      <c r="B266" s="98">
        <f>IFERROR(__xludf.DUMMYFUNCTION("""COMPUTED_VALUE"""),44069.0)</f>
        <v>44069</v>
      </c>
      <c r="C266" s="96" t="str">
        <f>IFERROR(__xludf.DUMMYFUNCTION("""COMPUTED_VALUE"""),"EDWARD OKO")</f>
        <v>EDWARD OKO</v>
      </c>
      <c r="D266" s="96" t="str">
        <f>IFERROR(__xludf.DUMMYFUNCTION("""COMPUTED_VALUE"""),"EDWARD OKO10")</f>
        <v>EDWARD OKO10</v>
      </c>
      <c r="E266" s="96"/>
      <c r="F266" s="96"/>
      <c r="G266" s="96"/>
      <c r="H266" s="96"/>
      <c r="I266" s="96"/>
      <c r="J266" s="96"/>
      <c r="K266" s="96">
        <f>IFERROR(__xludf.DUMMYFUNCTION("""COMPUTED_VALUE"""),100000.0)</f>
        <v>100000</v>
      </c>
      <c r="L266" s="99">
        <f>IFERROR(__xludf.DUMMYFUNCTION("""COMPUTED_VALUE"""),100000.0)</f>
        <v>100000</v>
      </c>
      <c r="M266" s="96"/>
      <c r="N266" s="96">
        <f>IFERROR(__xludf.DUMMYFUNCTION("""COMPUTED_VALUE"""),0.0)</f>
        <v>0</v>
      </c>
      <c r="O266" s="96">
        <f>IFERROR(__xludf.DUMMYFUNCTION("""COMPUTED_VALUE"""),0.0)</f>
        <v>0</v>
      </c>
      <c r="P266" s="96">
        <f>IFERROR(__xludf.DUMMYFUNCTION("""COMPUTED_VALUE"""),0.0)</f>
        <v>0</v>
      </c>
      <c r="Q266" s="129">
        <f>IFERROR(__xludf.DUMMYFUNCTION("""COMPUTED_VALUE"""),0.0)</f>
        <v>0</v>
      </c>
      <c r="R266" s="99"/>
    </row>
    <row r="267">
      <c r="A267" s="96">
        <f>IFERROR(__xludf.DUMMYFUNCTION("""COMPUTED_VALUE"""),17.0)</f>
        <v>17</v>
      </c>
      <c r="B267" s="98">
        <f>IFERROR(__xludf.DUMMYFUNCTION("""COMPUTED_VALUE"""),44069.0)</f>
        <v>44069</v>
      </c>
      <c r="C267" s="96" t="str">
        <f>IFERROR(__xludf.DUMMYFUNCTION("""COMPUTED_VALUE"""),"LYDIA HNSON ")</f>
        <v>LYDIA HNSON </v>
      </c>
      <c r="D267" s="96" t="str">
        <f>IFERROR(__xludf.DUMMYFUNCTION("""COMPUTED_VALUE"""),"LYDIA HNSON 17")</f>
        <v>LYDIA HNSON 17</v>
      </c>
      <c r="E267" s="96"/>
      <c r="F267" s="96"/>
      <c r="G267" s="96"/>
      <c r="H267" s="96"/>
      <c r="I267" s="96"/>
      <c r="J267" s="96"/>
      <c r="K267" s="96">
        <f>IFERROR(__xludf.DUMMYFUNCTION("""COMPUTED_VALUE"""),1990000.0)</f>
        <v>1990000</v>
      </c>
      <c r="L267" s="99">
        <f>IFERROR(__xludf.DUMMYFUNCTION("""COMPUTED_VALUE"""),1990000.0)</f>
        <v>1990000</v>
      </c>
      <c r="M267" s="96"/>
      <c r="N267" s="96">
        <f>IFERROR(__xludf.DUMMYFUNCTION("""COMPUTED_VALUE"""),0.0)</f>
        <v>0</v>
      </c>
      <c r="O267" s="96">
        <f>IFERROR(__xludf.DUMMYFUNCTION("""COMPUTED_VALUE"""),0.0)</f>
        <v>0</v>
      </c>
      <c r="P267" s="96">
        <f>IFERROR(__xludf.DUMMYFUNCTION("""COMPUTED_VALUE"""),0.0)</f>
        <v>0</v>
      </c>
      <c r="Q267" s="129">
        <f>IFERROR(__xludf.DUMMYFUNCTION("""COMPUTED_VALUE"""),0.0)</f>
        <v>0</v>
      </c>
      <c r="R267" s="99"/>
    </row>
    <row r="268">
      <c r="A268" s="96">
        <f>IFERROR(__xludf.DUMMYFUNCTION("""COMPUTED_VALUE"""),15.0)</f>
        <v>15</v>
      </c>
      <c r="B268" s="98">
        <f>IFERROR(__xludf.DUMMYFUNCTION("""COMPUTED_VALUE"""),44069.0)</f>
        <v>44069</v>
      </c>
      <c r="C268" s="96" t="str">
        <f>IFERROR(__xludf.DUMMYFUNCTION("""COMPUTED_VALUE"""),"LIVINUS")</f>
        <v>LIVINUS</v>
      </c>
      <c r="D268" s="96" t="str">
        <f>IFERROR(__xludf.DUMMYFUNCTION("""COMPUTED_VALUE"""),"LIVINUS15")</f>
        <v>LIVINUS15</v>
      </c>
      <c r="E268" s="96"/>
      <c r="F268" s="96"/>
      <c r="G268" s="96"/>
      <c r="H268" s="96"/>
      <c r="I268" s="96"/>
      <c r="J268" s="96"/>
      <c r="K268" s="96">
        <f>IFERROR(__xludf.DUMMYFUNCTION("""COMPUTED_VALUE"""),2250000.0)</f>
        <v>2250000</v>
      </c>
      <c r="L268" s="99">
        <f>IFERROR(__xludf.DUMMYFUNCTION("""COMPUTED_VALUE"""),2250000.0)</f>
        <v>2250000</v>
      </c>
      <c r="M268" s="96"/>
      <c r="N268" s="96">
        <f>IFERROR(__xludf.DUMMYFUNCTION("""COMPUTED_VALUE"""),0.0)</f>
        <v>0</v>
      </c>
      <c r="O268" s="96">
        <f>IFERROR(__xludf.DUMMYFUNCTION("""COMPUTED_VALUE"""),0.0)</f>
        <v>0</v>
      </c>
      <c r="P268" s="96">
        <f>IFERROR(__xludf.DUMMYFUNCTION("""COMPUTED_VALUE"""),0.0)</f>
        <v>0</v>
      </c>
      <c r="Q268" s="129">
        <f>IFERROR(__xludf.DUMMYFUNCTION("""COMPUTED_VALUE"""),0.0)</f>
        <v>0</v>
      </c>
      <c r="R268" s="99"/>
    </row>
    <row r="269">
      <c r="A269" s="96">
        <f>IFERROR(__xludf.DUMMYFUNCTION("""COMPUTED_VALUE"""),4.0)</f>
        <v>4</v>
      </c>
      <c r="B269" s="98">
        <f>IFERROR(__xludf.DUMMYFUNCTION("""COMPUTED_VALUE"""),44069.0)</f>
        <v>44069</v>
      </c>
      <c r="C269" s="96" t="str">
        <f>IFERROR(__xludf.DUMMYFUNCTION("""COMPUTED_VALUE"""),"MAXWELL AGRO OBI")</f>
        <v>MAXWELL AGRO OBI</v>
      </c>
      <c r="D269" s="96" t="str">
        <f>IFERROR(__xludf.DUMMYFUNCTION("""COMPUTED_VALUE"""),"MAXWELL AGRO OBI4")</f>
        <v>MAXWELL AGRO OBI4</v>
      </c>
      <c r="E269" s="96"/>
      <c r="F269" s="96"/>
      <c r="G269" s="96"/>
      <c r="H269" s="96"/>
      <c r="I269" s="96"/>
      <c r="J269" s="96"/>
      <c r="K269" s="96">
        <f>IFERROR(__xludf.DUMMYFUNCTION("""COMPUTED_VALUE"""),500000.0)</f>
        <v>500000</v>
      </c>
      <c r="L269" s="99">
        <f>IFERROR(__xludf.DUMMYFUNCTION("""COMPUTED_VALUE"""),500000.0)</f>
        <v>500000</v>
      </c>
      <c r="M269" s="96"/>
      <c r="N269" s="96">
        <f>IFERROR(__xludf.DUMMYFUNCTION("""COMPUTED_VALUE"""),0.0)</f>
        <v>0</v>
      </c>
      <c r="O269" s="96">
        <f>IFERROR(__xludf.DUMMYFUNCTION("""COMPUTED_VALUE"""),0.0)</f>
        <v>0</v>
      </c>
      <c r="P269" s="96">
        <f>IFERROR(__xludf.DUMMYFUNCTION("""COMPUTED_VALUE"""),0.0)</f>
        <v>0</v>
      </c>
      <c r="Q269" s="129">
        <f>IFERROR(__xludf.DUMMYFUNCTION("""COMPUTED_VALUE"""),0.0)</f>
        <v>0</v>
      </c>
      <c r="R269" s="99"/>
    </row>
    <row r="270">
      <c r="A270" s="96">
        <f>IFERROR(__xludf.DUMMYFUNCTION("""COMPUTED_VALUE"""),14.0)</f>
        <v>14</v>
      </c>
      <c r="B270" s="98">
        <f>IFERROR(__xludf.DUMMYFUNCTION("""COMPUTED_VALUE"""),44069.0)</f>
        <v>44069</v>
      </c>
      <c r="C270" s="96" t="str">
        <f>IFERROR(__xludf.DUMMYFUNCTION("""COMPUTED_VALUE"""),"NDOMA BODE I.D")</f>
        <v>NDOMA BODE I.D</v>
      </c>
      <c r="D270" s="96" t="str">
        <f>IFERROR(__xludf.DUMMYFUNCTION("""COMPUTED_VALUE"""),"NDOMA BODE I.D14")</f>
        <v>NDOMA BODE I.D14</v>
      </c>
      <c r="E270" s="96"/>
      <c r="F270" s="96"/>
      <c r="G270" s="96"/>
      <c r="H270" s="96"/>
      <c r="I270" s="96"/>
      <c r="J270" s="96"/>
      <c r="K270" s="96">
        <f>IFERROR(__xludf.DUMMYFUNCTION("""COMPUTED_VALUE"""),1052000.0)</f>
        <v>1052000</v>
      </c>
      <c r="L270" s="99">
        <f>IFERROR(__xludf.DUMMYFUNCTION("""COMPUTED_VALUE"""),1052000.0)</f>
        <v>1052000</v>
      </c>
      <c r="M270" s="96"/>
      <c r="N270" s="96">
        <f>IFERROR(__xludf.DUMMYFUNCTION("""COMPUTED_VALUE"""),0.0)</f>
        <v>0</v>
      </c>
      <c r="O270" s="96">
        <f>IFERROR(__xludf.DUMMYFUNCTION("""COMPUTED_VALUE"""),0.0)</f>
        <v>0</v>
      </c>
      <c r="P270" s="96">
        <f>IFERROR(__xludf.DUMMYFUNCTION("""COMPUTED_VALUE"""),0.0)</f>
        <v>0</v>
      </c>
      <c r="Q270" s="129">
        <f>IFERROR(__xludf.DUMMYFUNCTION("""COMPUTED_VALUE"""),0.0)</f>
        <v>0</v>
      </c>
      <c r="R270" s="99"/>
    </row>
    <row r="271">
      <c r="A271" s="96">
        <f>IFERROR(__xludf.DUMMYFUNCTION("""COMPUTED_VALUE"""),5.0)</f>
        <v>5</v>
      </c>
      <c r="B271" s="98">
        <f>IFERROR(__xludf.DUMMYFUNCTION("""COMPUTED_VALUE"""),44069.0)</f>
        <v>44069</v>
      </c>
      <c r="C271" s="96" t="str">
        <f>IFERROR(__xludf.DUMMYFUNCTION("""COMPUTED_VALUE"""),"EUGENE")</f>
        <v>EUGENE</v>
      </c>
      <c r="D271" s="96" t="str">
        <f>IFERROR(__xludf.DUMMYFUNCTION("""COMPUTED_VALUE"""),"EUGENE5")</f>
        <v>EUGENE5</v>
      </c>
      <c r="E271" s="96"/>
      <c r="F271" s="96"/>
      <c r="G271" s="96"/>
      <c r="H271" s="96"/>
      <c r="I271" s="96"/>
      <c r="J271" s="96"/>
      <c r="K271" s="96">
        <f>IFERROR(__xludf.DUMMYFUNCTION("""COMPUTED_VALUE"""),800000.0)</f>
        <v>800000</v>
      </c>
      <c r="L271" s="99">
        <f>IFERROR(__xludf.DUMMYFUNCTION("""COMPUTED_VALUE"""),800000.0)</f>
        <v>800000</v>
      </c>
      <c r="M271" s="96"/>
      <c r="N271" s="96">
        <f>IFERROR(__xludf.DUMMYFUNCTION("""COMPUTED_VALUE"""),0.0)</f>
        <v>0</v>
      </c>
      <c r="O271" s="96">
        <f>IFERROR(__xludf.DUMMYFUNCTION("""COMPUTED_VALUE"""),0.0)</f>
        <v>0</v>
      </c>
      <c r="P271" s="96">
        <f>IFERROR(__xludf.DUMMYFUNCTION("""COMPUTED_VALUE"""),0.0)</f>
        <v>0</v>
      </c>
      <c r="Q271" s="129">
        <f>IFERROR(__xludf.DUMMYFUNCTION("""COMPUTED_VALUE"""),0.0)</f>
        <v>0</v>
      </c>
      <c r="R271" s="99"/>
    </row>
    <row r="272">
      <c r="A272" s="96">
        <f>IFERROR(__xludf.DUMMYFUNCTION("""COMPUTED_VALUE"""),3.0)</f>
        <v>3</v>
      </c>
      <c r="B272" s="98">
        <f>IFERROR(__xludf.DUMMYFUNCTION("""COMPUTED_VALUE"""),44069.0)</f>
        <v>44069</v>
      </c>
      <c r="C272" s="96" t="str">
        <f>IFERROR(__xludf.DUMMYFUNCTION("""COMPUTED_VALUE"""),"NEIGHBOR")</f>
        <v>NEIGHBOR</v>
      </c>
      <c r="D272" s="96" t="str">
        <f>IFERROR(__xludf.DUMMYFUNCTION("""COMPUTED_VALUE"""),"NEIGHBOR3")</f>
        <v>NEIGHBOR3</v>
      </c>
      <c r="E272" s="96"/>
      <c r="F272" s="96"/>
      <c r="G272" s="96"/>
      <c r="H272" s="96"/>
      <c r="I272" s="96"/>
      <c r="J272" s="96"/>
      <c r="K272" s="96">
        <f>IFERROR(__xludf.DUMMYFUNCTION("""COMPUTED_VALUE"""),20400.0)</f>
        <v>20400</v>
      </c>
      <c r="L272" s="99">
        <f>IFERROR(__xludf.DUMMYFUNCTION("""COMPUTED_VALUE"""),20400.0)</f>
        <v>20400</v>
      </c>
      <c r="M272" s="96"/>
      <c r="N272" s="96">
        <f>IFERROR(__xludf.DUMMYFUNCTION("""COMPUTED_VALUE"""),0.0)</f>
        <v>0</v>
      </c>
      <c r="O272" s="96">
        <f>IFERROR(__xludf.DUMMYFUNCTION("""COMPUTED_VALUE"""),0.0)</f>
        <v>0</v>
      </c>
      <c r="P272" s="96">
        <f>IFERROR(__xludf.DUMMYFUNCTION("""COMPUTED_VALUE"""),0.0)</f>
        <v>0</v>
      </c>
      <c r="Q272" s="129">
        <f>IFERROR(__xludf.DUMMYFUNCTION("""COMPUTED_VALUE"""),0.0)</f>
        <v>0</v>
      </c>
      <c r="R272" s="99"/>
    </row>
    <row r="273">
      <c r="A273" s="96">
        <f>IFERROR(__xludf.DUMMYFUNCTION("""COMPUTED_VALUE"""),18.0)</f>
        <v>18</v>
      </c>
      <c r="B273" s="98">
        <f>IFERROR(__xludf.DUMMYFUNCTION("""COMPUTED_VALUE"""),44070.0)</f>
        <v>44070</v>
      </c>
      <c r="C273" s="96" t="str">
        <f>IFERROR(__xludf.DUMMYFUNCTION("""COMPUTED_VALUE"""),"LYDIA HNSON ")</f>
        <v>LYDIA HNSON </v>
      </c>
      <c r="D273" s="96" t="str">
        <f>IFERROR(__xludf.DUMMYFUNCTION("""COMPUTED_VALUE"""),"LYDIA HNSON 18")</f>
        <v>LYDIA HNSON 18</v>
      </c>
      <c r="E273" s="96">
        <f>IFERROR(__xludf.DUMMYFUNCTION("""COMPUTED_VALUE"""),2512.0)</f>
        <v>2512</v>
      </c>
      <c r="F273" s="96">
        <f>IFERROR(__xludf.DUMMYFUNCTION("""COMPUTED_VALUE"""),320.0)</f>
        <v>320</v>
      </c>
      <c r="G273" s="96"/>
      <c r="H273" s="96">
        <f>IFERROR(__xludf.DUMMYFUNCTION("""COMPUTED_VALUE"""),40.0)</f>
        <v>40</v>
      </c>
      <c r="I273" s="96">
        <f>IFERROR(__xludf.DUMMYFUNCTION("""COMPUTED_VALUE"""),0.0)</f>
        <v>0</v>
      </c>
      <c r="J273" s="96">
        <f>IFERROR(__xludf.DUMMYFUNCTION("""COMPUTED_VALUE"""),840.0)</f>
        <v>840</v>
      </c>
      <c r="K273" s="96"/>
      <c r="L273" s="99">
        <f>IFERROR(__xludf.DUMMYFUNCTION("""COMPUTED_VALUE"""),-2076480.0)</f>
        <v>-2076480</v>
      </c>
      <c r="M273" s="96">
        <f>IFERROR(__xludf.DUMMYFUNCTION("""COMPUTED_VALUE"""),8.0)</f>
        <v>8</v>
      </c>
      <c r="N273" s="96">
        <f>IFERROR(__xludf.DUMMYFUNCTION("""COMPUTED_VALUE"""),0.0)</f>
        <v>0</v>
      </c>
      <c r="O273" s="96">
        <f>IFERROR(__xludf.DUMMYFUNCTION("""COMPUTED_VALUE"""),39.0)</f>
        <v>39</v>
      </c>
      <c r="P273" s="96">
        <f>IFERROR(__xludf.DUMMYFUNCTION("""COMPUTED_VALUE"""),15.0)</f>
        <v>15</v>
      </c>
      <c r="Q273" s="129">
        <f>IFERROR(__xludf.DUMMYFUNCTION("""COMPUTED_VALUE"""),2472.0)</f>
        <v>2472</v>
      </c>
      <c r="R273" s="99">
        <f>IFERROR(__xludf.DUMMYFUNCTION("""COMPUTED_VALUE"""),2076480.0)</f>
        <v>2076480</v>
      </c>
    </row>
    <row r="274">
      <c r="A274" s="96">
        <f>IFERROR(__xludf.DUMMYFUNCTION("""COMPUTED_VALUE"""),6.0)</f>
        <v>6</v>
      </c>
      <c r="B274" s="98">
        <f>IFERROR(__xludf.DUMMYFUNCTION("""COMPUTED_VALUE"""),44067.0)</f>
        <v>44067</v>
      </c>
      <c r="C274" s="96" t="str">
        <f>IFERROR(__xludf.DUMMYFUNCTION("""COMPUTED_VALUE"""),"A. D. FREDERICK")</f>
        <v>A. D. FREDERICK</v>
      </c>
      <c r="D274" s="96" t="str">
        <f>IFERROR(__xludf.DUMMYFUNCTION("""COMPUTED_VALUE"""),"A. D. FREDERICK6")</f>
        <v>A. D. FREDERICK6</v>
      </c>
      <c r="E274" s="96">
        <f>IFERROR(__xludf.DUMMYFUNCTION("""COMPUTED_VALUE"""),623.0)</f>
        <v>623</v>
      </c>
      <c r="F274" s="96">
        <f>IFERROR(__xludf.DUMMYFUNCTION("""COMPUTED_VALUE"""),80.0)</f>
        <v>80</v>
      </c>
      <c r="G274" s="96"/>
      <c r="H274" s="96">
        <f>IFERROR(__xludf.DUMMYFUNCTION("""COMPUTED_VALUE"""),10.0)</f>
        <v>10</v>
      </c>
      <c r="I274" s="96">
        <f>IFERROR(__xludf.DUMMYFUNCTION("""COMPUTED_VALUE"""),0.0)</f>
        <v>0</v>
      </c>
      <c r="J274" s="96">
        <f>IFERROR(__xludf.DUMMYFUNCTION("""COMPUTED_VALUE"""),830.0)</f>
        <v>830</v>
      </c>
      <c r="K274" s="96"/>
      <c r="L274" s="99">
        <f>IFERROR(__xludf.DUMMYFUNCTION("""COMPUTED_VALUE"""),-508790.0)</f>
        <v>-508790</v>
      </c>
      <c r="M274" s="96">
        <f>IFERROR(__xludf.DUMMYFUNCTION("""COMPUTED_VALUE"""),8.0)</f>
        <v>8</v>
      </c>
      <c r="N274" s="96">
        <f>IFERROR(__xludf.DUMMYFUNCTION("""COMPUTED_VALUE"""),0.0)</f>
        <v>0</v>
      </c>
      <c r="O274" s="96">
        <f>IFERROR(__xludf.DUMMYFUNCTION("""COMPUTED_VALUE"""),9.0)</f>
        <v>9</v>
      </c>
      <c r="P274" s="96">
        <f>IFERROR(__xludf.DUMMYFUNCTION("""COMPUTED_VALUE"""),46.0)</f>
        <v>46</v>
      </c>
      <c r="Q274" s="129">
        <f>IFERROR(__xludf.DUMMYFUNCTION("""COMPUTED_VALUE"""),613.0)</f>
        <v>613</v>
      </c>
      <c r="R274" s="99">
        <f>IFERROR(__xludf.DUMMYFUNCTION("""COMPUTED_VALUE"""),508790.0)</f>
        <v>508790</v>
      </c>
    </row>
    <row r="275">
      <c r="A275" s="96">
        <f>IFERROR(__xludf.DUMMYFUNCTION("""COMPUTED_VALUE"""),16.0)</f>
        <v>16</v>
      </c>
      <c r="B275" s="98">
        <f>IFERROR(__xludf.DUMMYFUNCTION("""COMPUTED_VALUE"""),44070.0)</f>
        <v>44070</v>
      </c>
      <c r="C275" s="96" t="str">
        <f>IFERROR(__xludf.DUMMYFUNCTION("""COMPUTED_VALUE"""),"CONNECT")</f>
        <v>CONNECT</v>
      </c>
      <c r="D275" s="96" t="str">
        <f>IFERROR(__xludf.DUMMYFUNCTION("""COMPUTED_VALUE"""),"CONNECT16")</f>
        <v>CONNECT16</v>
      </c>
      <c r="E275" s="96"/>
      <c r="F275" s="96"/>
      <c r="G275" s="96"/>
      <c r="H275" s="96"/>
      <c r="I275" s="96"/>
      <c r="J275" s="96"/>
      <c r="K275" s="96">
        <f>IFERROR(__xludf.DUMMYFUNCTION("""COMPUTED_VALUE"""),2000000.0)</f>
        <v>2000000</v>
      </c>
      <c r="L275" s="99">
        <f>IFERROR(__xludf.DUMMYFUNCTION("""COMPUTED_VALUE"""),2000000.0)</f>
        <v>2000000</v>
      </c>
      <c r="M275" s="96"/>
      <c r="N275" s="96">
        <f>IFERROR(__xludf.DUMMYFUNCTION("""COMPUTED_VALUE"""),0.0)</f>
        <v>0</v>
      </c>
      <c r="O275" s="96">
        <f>IFERROR(__xludf.DUMMYFUNCTION("""COMPUTED_VALUE"""),0.0)</f>
        <v>0</v>
      </c>
      <c r="P275" s="96">
        <f>IFERROR(__xludf.DUMMYFUNCTION("""COMPUTED_VALUE"""),0.0)</f>
        <v>0</v>
      </c>
      <c r="Q275" s="129">
        <f>IFERROR(__xludf.DUMMYFUNCTION("""COMPUTED_VALUE"""),0.0)</f>
        <v>0</v>
      </c>
      <c r="R275" s="99"/>
    </row>
    <row r="276">
      <c r="A276" s="96">
        <f>IFERROR(__xludf.DUMMYFUNCTION("""COMPUTED_VALUE"""),5.0)</f>
        <v>5</v>
      </c>
      <c r="B276" s="98">
        <f>IFERROR(__xludf.DUMMYFUNCTION("""COMPUTED_VALUE"""),44070.0)</f>
        <v>44070</v>
      </c>
      <c r="C276" s="96" t="str">
        <f>IFERROR(__xludf.DUMMYFUNCTION("""COMPUTED_VALUE"""),"AUGUSTINE IGBA")</f>
        <v>AUGUSTINE IGBA</v>
      </c>
      <c r="D276" s="96" t="str">
        <f>IFERROR(__xludf.DUMMYFUNCTION("""COMPUTED_VALUE"""),"AUGUSTINE IGBA5")</f>
        <v>AUGUSTINE IGBA5</v>
      </c>
      <c r="E276" s="96"/>
      <c r="F276" s="96"/>
      <c r="G276" s="96"/>
      <c r="H276" s="96"/>
      <c r="I276" s="96"/>
      <c r="J276" s="96"/>
      <c r="K276" s="96">
        <f>IFERROR(__xludf.DUMMYFUNCTION("""COMPUTED_VALUE"""),2000000.0)</f>
        <v>2000000</v>
      </c>
      <c r="L276" s="99">
        <f>IFERROR(__xludf.DUMMYFUNCTION("""COMPUTED_VALUE"""),2000000.0)</f>
        <v>2000000</v>
      </c>
      <c r="M276" s="96"/>
      <c r="N276" s="96">
        <f>IFERROR(__xludf.DUMMYFUNCTION("""COMPUTED_VALUE"""),0.0)</f>
        <v>0</v>
      </c>
      <c r="O276" s="96">
        <f>IFERROR(__xludf.DUMMYFUNCTION("""COMPUTED_VALUE"""),0.0)</f>
        <v>0</v>
      </c>
      <c r="P276" s="96">
        <f>IFERROR(__xludf.DUMMYFUNCTION("""COMPUTED_VALUE"""),0.0)</f>
        <v>0</v>
      </c>
      <c r="Q276" s="129">
        <f>IFERROR(__xludf.DUMMYFUNCTION("""COMPUTED_VALUE"""),0.0)</f>
        <v>0</v>
      </c>
      <c r="R276" s="99"/>
    </row>
    <row r="277">
      <c r="A277" s="96">
        <f>IFERROR(__xludf.DUMMYFUNCTION("""COMPUTED_VALUE"""),4.0)</f>
        <v>4</v>
      </c>
      <c r="B277" s="98">
        <f>IFERROR(__xludf.DUMMYFUNCTION("""COMPUTED_VALUE"""),44070.0)</f>
        <v>44070</v>
      </c>
      <c r="C277" s="96" t="str">
        <f>IFERROR(__xludf.DUMMYFUNCTION("""COMPUTED_VALUE"""),"OTU KOKO KEIBO")</f>
        <v>OTU KOKO KEIBO</v>
      </c>
      <c r="D277" s="96" t="str">
        <f>IFERROR(__xludf.DUMMYFUNCTION("""COMPUTED_VALUE"""),"OTU KOKO KEIBO4")</f>
        <v>OTU KOKO KEIBO4</v>
      </c>
      <c r="E277" s="96"/>
      <c r="F277" s="96"/>
      <c r="G277" s="96"/>
      <c r="H277" s="96"/>
      <c r="I277" s="96"/>
      <c r="J277" s="96"/>
      <c r="K277" s="96">
        <f>IFERROR(__xludf.DUMMYFUNCTION("""COMPUTED_VALUE"""),35000.0)</f>
        <v>35000</v>
      </c>
      <c r="L277" s="99">
        <f>IFERROR(__xludf.DUMMYFUNCTION("""COMPUTED_VALUE"""),35000.0)</f>
        <v>35000</v>
      </c>
      <c r="M277" s="96"/>
      <c r="N277" s="96">
        <f>IFERROR(__xludf.DUMMYFUNCTION("""COMPUTED_VALUE"""),0.0)</f>
        <v>0</v>
      </c>
      <c r="O277" s="96">
        <f>IFERROR(__xludf.DUMMYFUNCTION("""COMPUTED_VALUE"""),0.0)</f>
        <v>0</v>
      </c>
      <c r="P277" s="96">
        <f>IFERROR(__xludf.DUMMYFUNCTION("""COMPUTED_VALUE"""),0.0)</f>
        <v>0</v>
      </c>
      <c r="Q277" s="129">
        <f>IFERROR(__xludf.DUMMYFUNCTION("""COMPUTED_VALUE"""),0.0)</f>
        <v>0</v>
      </c>
      <c r="R277" s="99"/>
    </row>
    <row r="278">
      <c r="A278" s="96">
        <f>IFERROR(__xludf.DUMMYFUNCTION("""COMPUTED_VALUE"""),1.0)</f>
        <v>1</v>
      </c>
      <c r="B278" s="98">
        <f>IFERROR(__xludf.DUMMYFUNCTION("""COMPUTED_VALUE"""),44069.0)</f>
        <v>44069</v>
      </c>
      <c r="C278" s="96" t="str">
        <f>IFERROR(__xludf.DUMMYFUNCTION("""COMPUTED_VALUE"""),"NDOMA PRIN")</f>
        <v>NDOMA PRIN</v>
      </c>
      <c r="D278" s="96" t="str">
        <f>IFERROR(__xludf.DUMMYFUNCTION("""COMPUTED_VALUE"""),"NDOMA PRIN1")</f>
        <v>NDOMA PRIN1</v>
      </c>
      <c r="E278" s="96">
        <f>IFERROR(__xludf.DUMMYFUNCTION("""COMPUTED_VALUE"""),135.0)</f>
        <v>135</v>
      </c>
      <c r="F278" s="96">
        <f>IFERROR(__xludf.DUMMYFUNCTION("""COMPUTED_VALUE"""),26.5)</f>
        <v>26.5</v>
      </c>
      <c r="G278" s="96"/>
      <c r="H278" s="96">
        <f>IFERROR(__xludf.DUMMYFUNCTION("""COMPUTED_VALUE"""),2.0)</f>
        <v>2</v>
      </c>
      <c r="I278" s="96"/>
      <c r="J278" s="96">
        <f>IFERROR(__xludf.DUMMYFUNCTION("""COMPUTED_VALUE"""),800.0)</f>
        <v>800</v>
      </c>
      <c r="K278" s="96"/>
      <c r="L278" s="99">
        <f>IFERROR(__xludf.DUMMYFUNCTION("""COMPUTED_VALUE"""),-100800.0)</f>
        <v>-100800</v>
      </c>
      <c r="M278" s="96">
        <f>IFERROR(__xludf.DUMMYFUNCTION("""COMPUTED_VALUE"""),13.25)</f>
        <v>13.25</v>
      </c>
      <c r="N278" s="96">
        <f>IFERROR(__xludf.DUMMYFUNCTION("""COMPUTED_VALUE"""),7.0)</f>
        <v>7</v>
      </c>
      <c r="O278" s="96">
        <f>IFERROR(__xludf.DUMMYFUNCTION("""COMPUTED_VALUE"""),2.0)</f>
        <v>2</v>
      </c>
      <c r="P278" s="96">
        <f>IFERROR(__xludf.DUMMYFUNCTION("""COMPUTED_VALUE"""),0.0)</f>
        <v>0</v>
      </c>
      <c r="Q278" s="129">
        <f>IFERROR(__xludf.DUMMYFUNCTION("""COMPUTED_VALUE"""),126.0)</f>
        <v>126</v>
      </c>
      <c r="R278" s="99">
        <f>IFERROR(__xludf.DUMMYFUNCTION("""COMPUTED_VALUE"""),100800.0)</f>
        <v>100800</v>
      </c>
    </row>
    <row r="279">
      <c r="A279" s="96">
        <f>IFERROR(__xludf.DUMMYFUNCTION("""COMPUTED_VALUE"""),10.0)</f>
        <v>10</v>
      </c>
      <c r="B279" s="98">
        <f>IFERROR(__xludf.DUMMYFUNCTION("""COMPUTED_VALUE"""),44071.0)</f>
        <v>44071</v>
      </c>
      <c r="C279" s="96" t="str">
        <f>IFERROR(__xludf.DUMMYFUNCTION("""COMPUTED_VALUE"""),"ETUK EFFI")</f>
        <v>ETUK EFFI</v>
      </c>
      <c r="D279" s="96" t="str">
        <f>IFERROR(__xludf.DUMMYFUNCTION("""COMPUTED_VALUE"""),"ETUK EFFI10")</f>
        <v>ETUK EFFI10</v>
      </c>
      <c r="E279" s="96"/>
      <c r="F279" s="96"/>
      <c r="G279" s="96"/>
      <c r="H279" s="96"/>
      <c r="I279" s="96"/>
      <c r="J279" s="96"/>
      <c r="K279" s="96"/>
      <c r="L279" s="99">
        <f>IFERROR(__xludf.DUMMYFUNCTION("""COMPUTED_VALUE"""),-592260.0)</f>
        <v>-592260</v>
      </c>
      <c r="M279" s="96"/>
      <c r="N279" s="96">
        <f>IFERROR(__xludf.DUMMYFUNCTION("""COMPUTED_VALUE"""),0.0)</f>
        <v>0</v>
      </c>
      <c r="O279" s="96">
        <f>IFERROR(__xludf.DUMMYFUNCTION("""COMPUTED_VALUE"""),0.0)</f>
        <v>0</v>
      </c>
      <c r="P279" s="96">
        <f>IFERROR(__xludf.DUMMYFUNCTION("""COMPUTED_VALUE"""),0.0)</f>
        <v>0</v>
      </c>
      <c r="Q279" s="129">
        <f>IFERROR(__xludf.DUMMYFUNCTION("""COMPUTED_VALUE"""),0.0)</f>
        <v>0</v>
      </c>
      <c r="R279" s="99">
        <f>IFERROR(__xludf.DUMMYFUNCTION("""COMPUTED_VALUE"""),592260.0)</f>
        <v>592260</v>
      </c>
    </row>
    <row r="280">
      <c r="A280" s="96">
        <f>IFERROR(__xludf.DUMMYFUNCTION("""COMPUTED_VALUE"""),5.0)</f>
        <v>5</v>
      </c>
      <c r="B280" s="98">
        <f>IFERROR(__xludf.DUMMYFUNCTION("""COMPUTED_VALUE"""),44071.0)</f>
        <v>44071</v>
      </c>
      <c r="C280" s="96" t="str">
        <f>IFERROR(__xludf.DUMMYFUNCTION("""COMPUTED_VALUE"""),"OTU KOKO KEIBO")</f>
        <v>OTU KOKO KEIBO</v>
      </c>
      <c r="D280" s="96" t="str">
        <f>IFERROR(__xludf.DUMMYFUNCTION("""COMPUTED_VALUE"""),"OTU KOKO KEIBO5")</f>
        <v>OTU KOKO KEIBO5</v>
      </c>
      <c r="E280" s="96"/>
      <c r="F280" s="96"/>
      <c r="G280" s="96"/>
      <c r="H280" s="96"/>
      <c r="I280" s="96"/>
      <c r="J280" s="96"/>
      <c r="K280" s="96">
        <f>IFERROR(__xludf.DUMMYFUNCTION("""COMPUTED_VALUE"""),50000.0)</f>
        <v>50000</v>
      </c>
      <c r="L280" s="99">
        <f>IFERROR(__xludf.DUMMYFUNCTION("""COMPUTED_VALUE"""),50000.0)</f>
        <v>50000</v>
      </c>
      <c r="M280" s="96"/>
      <c r="N280" s="96">
        <f>IFERROR(__xludf.DUMMYFUNCTION("""COMPUTED_VALUE"""),0.0)</f>
        <v>0</v>
      </c>
      <c r="O280" s="96">
        <f>IFERROR(__xludf.DUMMYFUNCTION("""COMPUTED_VALUE"""),0.0)</f>
        <v>0</v>
      </c>
      <c r="P280" s="96">
        <f>IFERROR(__xludf.DUMMYFUNCTION("""COMPUTED_VALUE"""),0.0)</f>
        <v>0</v>
      </c>
      <c r="Q280" s="129">
        <f>IFERROR(__xludf.DUMMYFUNCTION("""COMPUTED_VALUE"""),0.0)</f>
        <v>0</v>
      </c>
      <c r="R280" s="99"/>
    </row>
    <row r="281">
      <c r="A281" s="96">
        <f>IFERROR(__xludf.DUMMYFUNCTION("""COMPUTED_VALUE"""),3.0)</f>
        <v>3</v>
      </c>
      <c r="B281" s="98">
        <f>IFERROR(__xludf.DUMMYFUNCTION("""COMPUTED_VALUE"""),44071.0)</f>
        <v>44071</v>
      </c>
      <c r="C281" s="96" t="str">
        <f>IFERROR(__xludf.DUMMYFUNCTION("""COMPUTED_VALUE"""),"NAOMI")</f>
        <v>NAOMI</v>
      </c>
      <c r="D281" s="96" t="str">
        <f>IFERROR(__xludf.DUMMYFUNCTION("""COMPUTED_VALUE"""),"NAOMI3")</f>
        <v>NAOMI3</v>
      </c>
      <c r="E281" s="96"/>
      <c r="F281" s="96"/>
      <c r="G281" s="96"/>
      <c r="H281" s="96"/>
      <c r="I281" s="96"/>
      <c r="J281" s="96"/>
      <c r="K281" s="96">
        <f>IFERROR(__xludf.DUMMYFUNCTION("""COMPUTED_VALUE"""),50000.0)</f>
        <v>50000</v>
      </c>
      <c r="L281" s="99">
        <f>IFERROR(__xludf.DUMMYFUNCTION("""COMPUTED_VALUE"""),50000.0)</f>
        <v>50000</v>
      </c>
      <c r="M281" s="96"/>
      <c r="N281" s="96">
        <f>IFERROR(__xludf.DUMMYFUNCTION("""COMPUTED_VALUE"""),0.0)</f>
        <v>0</v>
      </c>
      <c r="O281" s="96">
        <f>IFERROR(__xludf.DUMMYFUNCTION("""COMPUTED_VALUE"""),0.0)</f>
        <v>0</v>
      </c>
      <c r="P281" s="96">
        <f>IFERROR(__xludf.DUMMYFUNCTION("""COMPUTED_VALUE"""),0.0)</f>
        <v>0</v>
      </c>
      <c r="Q281" s="129">
        <f>IFERROR(__xludf.DUMMYFUNCTION("""COMPUTED_VALUE"""),0.0)</f>
        <v>0</v>
      </c>
      <c r="R281" s="99"/>
    </row>
    <row r="282">
      <c r="A282" s="96">
        <f>IFERROR(__xludf.DUMMYFUNCTION("""COMPUTED_VALUE"""),19.0)</f>
        <v>19</v>
      </c>
      <c r="B282" s="98">
        <f>IFERROR(__xludf.DUMMYFUNCTION("""COMPUTED_VALUE"""),44071.0)</f>
        <v>44071</v>
      </c>
      <c r="C282" s="96" t="str">
        <f>IFERROR(__xludf.DUMMYFUNCTION("""COMPUTED_VALUE"""),"RECTOR W.")</f>
        <v>RECTOR W.</v>
      </c>
      <c r="D282" s="96" t="str">
        <f>IFERROR(__xludf.DUMMYFUNCTION("""COMPUTED_VALUE"""),"RECTOR W.19")</f>
        <v>RECTOR W.19</v>
      </c>
      <c r="E282" s="96"/>
      <c r="F282" s="96"/>
      <c r="G282" s="96"/>
      <c r="H282" s="96"/>
      <c r="I282" s="96"/>
      <c r="J282" s="96"/>
      <c r="K282" s="96">
        <f>IFERROR(__xludf.DUMMYFUNCTION("""COMPUTED_VALUE"""),100000.0)</f>
        <v>100000</v>
      </c>
      <c r="L282" s="99">
        <f>IFERROR(__xludf.DUMMYFUNCTION("""COMPUTED_VALUE"""),100000.0)</f>
        <v>100000</v>
      </c>
      <c r="M282" s="96"/>
      <c r="N282" s="96">
        <f>IFERROR(__xludf.DUMMYFUNCTION("""COMPUTED_VALUE"""),0.0)</f>
        <v>0</v>
      </c>
      <c r="O282" s="96">
        <f>IFERROR(__xludf.DUMMYFUNCTION("""COMPUTED_VALUE"""),0.0)</f>
        <v>0</v>
      </c>
      <c r="P282" s="96">
        <f>IFERROR(__xludf.DUMMYFUNCTION("""COMPUTED_VALUE"""),0.0)</f>
        <v>0</v>
      </c>
      <c r="Q282" s="129">
        <f>IFERROR(__xludf.DUMMYFUNCTION("""COMPUTED_VALUE"""),0.0)</f>
        <v>0</v>
      </c>
      <c r="R282" s="99"/>
    </row>
    <row r="283">
      <c r="A283" s="96">
        <f>IFERROR(__xludf.DUMMYFUNCTION("""COMPUTED_VALUE"""),2.0)</f>
        <v>2</v>
      </c>
      <c r="B283" s="98">
        <f>IFERROR(__xludf.DUMMYFUNCTION("""COMPUTED_VALUE"""),44071.0)</f>
        <v>44071</v>
      </c>
      <c r="C283" s="96" t="str">
        <f>IFERROR(__xludf.DUMMYFUNCTION("""COMPUTED_VALUE"""),"NDOMA PRIN")</f>
        <v>NDOMA PRIN</v>
      </c>
      <c r="D283" s="96" t="str">
        <f>IFERROR(__xludf.DUMMYFUNCTION("""COMPUTED_VALUE"""),"NDOMA PRIN2")</f>
        <v>NDOMA PRIN2</v>
      </c>
      <c r="E283" s="96"/>
      <c r="F283" s="96"/>
      <c r="G283" s="96"/>
      <c r="H283" s="96"/>
      <c r="I283" s="96"/>
      <c r="J283" s="96"/>
      <c r="K283" s="96">
        <f>IFERROR(__xludf.DUMMYFUNCTION("""COMPUTED_VALUE"""),159000.0)</f>
        <v>159000</v>
      </c>
      <c r="L283" s="99">
        <f>IFERROR(__xludf.DUMMYFUNCTION("""COMPUTED_VALUE"""),159000.0)</f>
        <v>159000</v>
      </c>
      <c r="M283" s="96"/>
      <c r="N283" s="96">
        <f>IFERROR(__xludf.DUMMYFUNCTION("""COMPUTED_VALUE"""),0.0)</f>
        <v>0</v>
      </c>
      <c r="O283" s="96">
        <f>IFERROR(__xludf.DUMMYFUNCTION("""COMPUTED_VALUE"""),0.0)</f>
        <v>0</v>
      </c>
      <c r="P283" s="96">
        <f>IFERROR(__xludf.DUMMYFUNCTION("""COMPUTED_VALUE"""),0.0)</f>
        <v>0</v>
      </c>
      <c r="Q283" s="129">
        <f>IFERROR(__xludf.DUMMYFUNCTION("""COMPUTED_VALUE"""),0.0)</f>
        <v>0</v>
      </c>
      <c r="R283" s="99"/>
    </row>
    <row r="284">
      <c r="A284" s="96">
        <f>IFERROR(__xludf.DUMMYFUNCTION("""COMPUTED_VALUE"""),6.0)</f>
        <v>6</v>
      </c>
      <c r="B284" s="98">
        <f>IFERROR(__xludf.DUMMYFUNCTION("""COMPUTED_VALUE"""),44072.0)</f>
        <v>44072</v>
      </c>
      <c r="C284" s="96" t="str">
        <f>IFERROR(__xludf.DUMMYFUNCTION("""COMPUTED_VALUE"""),"OTU KOKO KEIBO")</f>
        <v>OTU KOKO KEIBO</v>
      </c>
      <c r="D284" s="96" t="str">
        <f>IFERROR(__xludf.DUMMYFUNCTION("""COMPUTED_VALUE"""),"OTU KOKO KEIBO6")</f>
        <v>OTU KOKO KEIBO6</v>
      </c>
      <c r="E284" s="96"/>
      <c r="F284" s="96"/>
      <c r="G284" s="96"/>
      <c r="H284" s="96"/>
      <c r="I284" s="96"/>
      <c r="J284" s="96"/>
      <c r="K284" s="96">
        <f>IFERROR(__xludf.DUMMYFUNCTION("""COMPUTED_VALUE"""),5000.0)</f>
        <v>5000</v>
      </c>
      <c r="L284" s="99">
        <f>IFERROR(__xludf.DUMMYFUNCTION("""COMPUTED_VALUE"""),5000.0)</f>
        <v>5000</v>
      </c>
      <c r="M284" s="96"/>
      <c r="N284" s="96">
        <f>IFERROR(__xludf.DUMMYFUNCTION("""COMPUTED_VALUE"""),0.0)</f>
        <v>0</v>
      </c>
      <c r="O284" s="96">
        <f>IFERROR(__xludf.DUMMYFUNCTION("""COMPUTED_VALUE"""),0.0)</f>
        <v>0</v>
      </c>
      <c r="P284" s="96">
        <f>IFERROR(__xludf.DUMMYFUNCTION("""COMPUTED_VALUE"""),0.0)</f>
        <v>0</v>
      </c>
      <c r="Q284" s="129">
        <f>IFERROR(__xludf.DUMMYFUNCTION("""COMPUTED_VALUE"""),0.0)</f>
        <v>0</v>
      </c>
      <c r="R284" s="99"/>
    </row>
    <row r="285">
      <c r="A285" s="96">
        <f>IFERROR(__xludf.DUMMYFUNCTION("""COMPUTED_VALUE"""),6.0)</f>
        <v>6</v>
      </c>
      <c r="B285" s="98">
        <f>IFERROR(__xludf.DUMMYFUNCTION("""COMPUTED_VALUE"""),44074.0)</f>
        <v>44074</v>
      </c>
      <c r="C285" s="96" t="str">
        <f>IFERROR(__xludf.DUMMYFUNCTION("""COMPUTED_VALUE"""),"REMMY BODES")</f>
        <v>REMMY BODES</v>
      </c>
      <c r="D285" s="96" t="str">
        <f>IFERROR(__xludf.DUMMYFUNCTION("""COMPUTED_VALUE"""),"REMMY BODES6")</f>
        <v>REMMY BODES6</v>
      </c>
      <c r="E285" s="96"/>
      <c r="F285" s="96"/>
      <c r="G285" s="96"/>
      <c r="H285" s="96"/>
      <c r="I285" s="96"/>
      <c r="J285" s="96"/>
      <c r="K285" s="96">
        <f>IFERROR(__xludf.DUMMYFUNCTION("""COMPUTED_VALUE"""),220000.0)</f>
        <v>220000</v>
      </c>
      <c r="L285" s="99">
        <f>IFERROR(__xludf.DUMMYFUNCTION("""COMPUTED_VALUE"""),220000.0)</f>
        <v>220000</v>
      </c>
      <c r="M285" s="96"/>
      <c r="N285" s="96">
        <f>IFERROR(__xludf.DUMMYFUNCTION("""COMPUTED_VALUE"""),0.0)</f>
        <v>0</v>
      </c>
      <c r="O285" s="96">
        <f>IFERROR(__xludf.DUMMYFUNCTION("""COMPUTED_VALUE"""),0.0)</f>
        <v>0</v>
      </c>
      <c r="P285" s="96">
        <f>IFERROR(__xludf.DUMMYFUNCTION("""COMPUTED_VALUE"""),0.0)</f>
        <v>0</v>
      </c>
      <c r="Q285" s="129">
        <f>IFERROR(__xludf.DUMMYFUNCTION("""COMPUTED_VALUE"""),0.0)</f>
        <v>0</v>
      </c>
      <c r="R285" s="99"/>
    </row>
    <row r="286">
      <c r="A286" s="96">
        <f>IFERROR(__xludf.DUMMYFUNCTION("""COMPUTED_VALUE"""),19.0)</f>
        <v>19</v>
      </c>
      <c r="B286" s="98">
        <f>IFERROR(__xludf.DUMMYFUNCTION("""COMPUTED_VALUE"""),44074.0)</f>
        <v>44074</v>
      </c>
      <c r="C286" s="96" t="str">
        <f>IFERROR(__xludf.DUMMYFUNCTION("""COMPUTED_VALUE"""),"LYDIA HNSON ")</f>
        <v>LYDIA HNSON </v>
      </c>
      <c r="D286" s="96" t="str">
        <f>IFERROR(__xludf.DUMMYFUNCTION("""COMPUTED_VALUE"""),"LYDIA HNSON 19")</f>
        <v>LYDIA HNSON 19</v>
      </c>
      <c r="E286" s="96"/>
      <c r="F286" s="96"/>
      <c r="G286" s="96"/>
      <c r="H286" s="96"/>
      <c r="I286" s="96"/>
      <c r="J286" s="96"/>
      <c r="K286" s="96">
        <f>IFERROR(__xludf.DUMMYFUNCTION("""COMPUTED_VALUE"""),35000.0)</f>
        <v>35000</v>
      </c>
      <c r="L286" s="99">
        <f>IFERROR(__xludf.DUMMYFUNCTION("""COMPUTED_VALUE"""),35000.0)</f>
        <v>35000</v>
      </c>
      <c r="M286" s="96"/>
      <c r="N286" s="96">
        <f>IFERROR(__xludf.DUMMYFUNCTION("""COMPUTED_VALUE"""),0.0)</f>
        <v>0</v>
      </c>
      <c r="O286" s="96">
        <f>IFERROR(__xludf.DUMMYFUNCTION("""COMPUTED_VALUE"""),0.0)</f>
        <v>0</v>
      </c>
      <c r="P286" s="96">
        <f>IFERROR(__xludf.DUMMYFUNCTION("""COMPUTED_VALUE"""),0.0)</f>
        <v>0</v>
      </c>
      <c r="Q286" s="129">
        <f>IFERROR(__xludf.DUMMYFUNCTION("""COMPUTED_VALUE"""),0.0)</f>
        <v>0</v>
      </c>
      <c r="R286" s="99"/>
    </row>
    <row r="287">
      <c r="A287" s="96">
        <f>IFERROR(__xludf.DUMMYFUNCTION("""COMPUTED_VALUE"""),1.0)</f>
        <v>1</v>
      </c>
      <c r="B287" s="98">
        <f>IFERROR(__xludf.DUMMYFUNCTION("""COMPUTED_VALUE"""),44074.0)</f>
        <v>44074</v>
      </c>
      <c r="C287" s="96" t="str">
        <f>IFERROR(__xludf.DUMMYFUNCTION("""COMPUTED_VALUE"""),"SEPH LOVE")</f>
        <v>SEPH LOVE</v>
      </c>
      <c r="D287" s="96" t="str">
        <f>IFERROR(__xludf.DUMMYFUNCTION("""COMPUTED_VALUE"""),"SEPH LOVE1")</f>
        <v>SEPH LOVE1</v>
      </c>
      <c r="E287" s="96"/>
      <c r="F287" s="96"/>
      <c r="G287" s="96"/>
      <c r="H287" s="96"/>
      <c r="I287" s="96"/>
      <c r="J287" s="96"/>
      <c r="K287" s="96">
        <f>IFERROR(__xludf.DUMMYFUNCTION("""COMPUTED_VALUE"""),2500000.0)</f>
        <v>2500000</v>
      </c>
      <c r="L287" s="99">
        <f>IFERROR(__xludf.DUMMYFUNCTION("""COMPUTED_VALUE"""),2500000.0)</f>
        <v>2500000</v>
      </c>
      <c r="M287" s="96"/>
      <c r="N287" s="96">
        <f>IFERROR(__xludf.DUMMYFUNCTION("""COMPUTED_VALUE"""),0.0)</f>
        <v>0</v>
      </c>
      <c r="O287" s="96">
        <f>IFERROR(__xludf.DUMMYFUNCTION("""COMPUTED_VALUE"""),0.0)</f>
        <v>0</v>
      </c>
      <c r="P287" s="96">
        <f>IFERROR(__xludf.DUMMYFUNCTION("""COMPUTED_VALUE"""),0.0)</f>
        <v>0</v>
      </c>
      <c r="Q287" s="129">
        <f>IFERROR(__xludf.DUMMYFUNCTION("""COMPUTED_VALUE"""),0.0)</f>
        <v>0</v>
      </c>
      <c r="R287" s="99"/>
    </row>
    <row r="288">
      <c r="A288" s="96">
        <f>IFERROR(__xludf.DUMMYFUNCTION("""COMPUTED_VALUE"""),7.0)</f>
        <v>7</v>
      </c>
      <c r="B288" s="98">
        <f>IFERROR(__xludf.DUMMYFUNCTION("""COMPUTED_VALUE"""),44075.0)</f>
        <v>44075</v>
      </c>
      <c r="C288" s="96" t="str">
        <f>IFERROR(__xludf.DUMMYFUNCTION("""COMPUTED_VALUE"""),"A. D. FREDERICK")</f>
        <v>A. D. FREDERICK</v>
      </c>
      <c r="D288" s="96" t="str">
        <f>IFERROR(__xludf.DUMMYFUNCTION("""COMPUTED_VALUE"""),"A. D. FREDERICK7")</f>
        <v>A. D. FREDERICK7</v>
      </c>
      <c r="E288" s="96"/>
      <c r="F288" s="96"/>
      <c r="G288" s="96"/>
      <c r="H288" s="96"/>
      <c r="I288" s="96"/>
      <c r="J288" s="96"/>
      <c r="K288" s="96">
        <f>IFERROR(__xludf.DUMMYFUNCTION("""COMPUTED_VALUE"""),1105000.0)</f>
        <v>1105000</v>
      </c>
      <c r="L288" s="99">
        <f>IFERROR(__xludf.DUMMYFUNCTION("""COMPUTED_VALUE"""),1105000.0)</f>
        <v>1105000</v>
      </c>
      <c r="M288" s="96"/>
      <c r="N288" s="96">
        <f>IFERROR(__xludf.DUMMYFUNCTION("""COMPUTED_VALUE"""),0.0)</f>
        <v>0</v>
      </c>
      <c r="O288" s="96">
        <f>IFERROR(__xludf.DUMMYFUNCTION("""COMPUTED_VALUE"""),0.0)</f>
        <v>0</v>
      </c>
      <c r="P288" s="96">
        <f>IFERROR(__xludf.DUMMYFUNCTION("""COMPUTED_VALUE"""),0.0)</f>
        <v>0</v>
      </c>
      <c r="Q288" s="129">
        <f>IFERROR(__xludf.DUMMYFUNCTION("""COMPUTED_VALUE"""),0.0)</f>
        <v>0</v>
      </c>
      <c r="R288" s="99"/>
    </row>
    <row r="289">
      <c r="A289" s="96">
        <f>IFERROR(__xludf.DUMMYFUNCTION("""COMPUTED_VALUE"""),7.0)</f>
        <v>7</v>
      </c>
      <c r="B289" s="98">
        <f>IFERROR(__xludf.DUMMYFUNCTION("""COMPUTED_VALUE"""),44075.0)</f>
        <v>44075</v>
      </c>
      <c r="C289" s="96" t="str">
        <f>IFERROR(__xludf.DUMMYFUNCTION("""COMPUTED_VALUE"""),"OTU KOKO KEIBO")</f>
        <v>OTU KOKO KEIBO</v>
      </c>
      <c r="D289" s="96" t="str">
        <f>IFERROR(__xludf.DUMMYFUNCTION("""COMPUTED_VALUE"""),"OTU KOKO KEIBO7")</f>
        <v>OTU KOKO KEIBO7</v>
      </c>
      <c r="E289" s="96"/>
      <c r="F289" s="96"/>
      <c r="G289" s="96"/>
      <c r="H289" s="96"/>
      <c r="I289" s="96"/>
      <c r="J289" s="96"/>
      <c r="K289" s="96">
        <f>IFERROR(__xludf.DUMMYFUNCTION("""COMPUTED_VALUE"""),20000.0)</f>
        <v>20000</v>
      </c>
      <c r="L289" s="99">
        <f>IFERROR(__xludf.DUMMYFUNCTION("""COMPUTED_VALUE"""),20000.0)</f>
        <v>20000</v>
      </c>
      <c r="M289" s="96"/>
      <c r="N289" s="96">
        <f>IFERROR(__xludf.DUMMYFUNCTION("""COMPUTED_VALUE"""),0.0)</f>
        <v>0</v>
      </c>
      <c r="O289" s="96">
        <f>IFERROR(__xludf.DUMMYFUNCTION("""COMPUTED_VALUE"""),0.0)</f>
        <v>0</v>
      </c>
      <c r="P289" s="96">
        <f>IFERROR(__xludf.DUMMYFUNCTION("""COMPUTED_VALUE"""),0.0)</f>
        <v>0</v>
      </c>
      <c r="Q289" s="129">
        <f>IFERROR(__xludf.DUMMYFUNCTION("""COMPUTED_VALUE"""),0.0)</f>
        <v>0</v>
      </c>
      <c r="R289" s="99"/>
    </row>
    <row r="290">
      <c r="A290" s="96">
        <f>IFERROR(__xludf.DUMMYFUNCTION("""COMPUTED_VALUE"""),6.0)</f>
        <v>6</v>
      </c>
      <c r="B290" s="98">
        <f>IFERROR(__xludf.DUMMYFUNCTION("""COMPUTED_VALUE"""),44075.0)</f>
        <v>44075</v>
      </c>
      <c r="C290" s="96" t="str">
        <f>IFERROR(__xludf.DUMMYFUNCTION("""COMPUTED_VALUE"""),"EMMANUEL OKO ")</f>
        <v>EMMANUEL OKO </v>
      </c>
      <c r="D290" s="96" t="str">
        <f>IFERROR(__xludf.DUMMYFUNCTION("""COMPUTED_VALUE"""),"EMMANUEL OKO 6")</f>
        <v>EMMANUEL OKO 6</v>
      </c>
      <c r="E290" s="96"/>
      <c r="F290" s="96"/>
      <c r="G290" s="96"/>
      <c r="H290" s="96"/>
      <c r="I290" s="96"/>
      <c r="J290" s="96"/>
      <c r="K290" s="96">
        <f>IFERROR(__xludf.DUMMYFUNCTION("""COMPUTED_VALUE"""),936000.0)</f>
        <v>936000</v>
      </c>
      <c r="L290" s="99">
        <f>IFERROR(__xludf.DUMMYFUNCTION("""COMPUTED_VALUE"""),936000.0)</f>
        <v>936000</v>
      </c>
      <c r="M290" s="96"/>
      <c r="N290" s="96">
        <f>IFERROR(__xludf.DUMMYFUNCTION("""COMPUTED_VALUE"""),0.0)</f>
        <v>0</v>
      </c>
      <c r="O290" s="96">
        <f>IFERROR(__xludf.DUMMYFUNCTION("""COMPUTED_VALUE"""),0.0)</f>
        <v>0</v>
      </c>
      <c r="P290" s="96">
        <f>IFERROR(__xludf.DUMMYFUNCTION("""COMPUTED_VALUE"""),0.0)</f>
        <v>0</v>
      </c>
      <c r="Q290" s="129">
        <f>IFERROR(__xludf.DUMMYFUNCTION("""COMPUTED_VALUE"""),0.0)</f>
        <v>0</v>
      </c>
      <c r="R290" s="99"/>
    </row>
    <row r="291">
      <c r="A291" s="96">
        <f>IFERROR(__xludf.DUMMYFUNCTION("""COMPUTED_VALUE"""),8.0)</f>
        <v>8</v>
      </c>
      <c r="B291" s="98">
        <f>IFERROR(__xludf.DUMMYFUNCTION("""COMPUTED_VALUE"""),44077.0)</f>
        <v>44077</v>
      </c>
      <c r="C291" s="96" t="str">
        <f>IFERROR(__xludf.DUMMYFUNCTION("""COMPUTED_VALUE"""),"BOSURU  BOSURU")</f>
        <v>BOSURU  BOSURU</v>
      </c>
      <c r="D291" s="96" t="str">
        <f>IFERROR(__xludf.DUMMYFUNCTION("""COMPUTED_VALUE"""),"BOSURU  BOSURU8")</f>
        <v>BOSURU  BOSURU8</v>
      </c>
      <c r="E291" s="96"/>
      <c r="F291" s="96"/>
      <c r="G291" s="96"/>
      <c r="H291" s="96"/>
      <c r="I291" s="96"/>
      <c r="J291" s="96"/>
      <c r="K291" s="96">
        <f>IFERROR(__xludf.DUMMYFUNCTION("""COMPUTED_VALUE"""),500000.0)</f>
        <v>500000</v>
      </c>
      <c r="L291" s="99">
        <f>IFERROR(__xludf.DUMMYFUNCTION("""COMPUTED_VALUE"""),500000.0)</f>
        <v>500000</v>
      </c>
      <c r="M291" s="96"/>
      <c r="N291" s="96">
        <f>IFERROR(__xludf.DUMMYFUNCTION("""COMPUTED_VALUE"""),0.0)</f>
        <v>0</v>
      </c>
      <c r="O291" s="96">
        <f>IFERROR(__xludf.DUMMYFUNCTION("""COMPUTED_VALUE"""),0.0)</f>
        <v>0</v>
      </c>
      <c r="P291" s="96">
        <f>IFERROR(__xludf.DUMMYFUNCTION("""COMPUTED_VALUE"""),0.0)</f>
        <v>0</v>
      </c>
      <c r="Q291" s="129">
        <f>IFERROR(__xludf.DUMMYFUNCTION("""COMPUTED_VALUE"""),0.0)</f>
        <v>0</v>
      </c>
      <c r="R291" s="99"/>
    </row>
    <row r="292">
      <c r="A292" s="96">
        <f>IFERROR(__xludf.DUMMYFUNCTION("""COMPUTED_VALUE"""),6.0)</f>
        <v>6</v>
      </c>
      <c r="B292" s="98">
        <f>IFERROR(__xludf.DUMMYFUNCTION("""COMPUTED_VALUE"""),44077.0)</f>
        <v>44077</v>
      </c>
      <c r="C292" s="96" t="str">
        <f>IFERROR(__xludf.DUMMYFUNCTION("""COMPUTED_VALUE"""),"NDOMA PETER")</f>
        <v>NDOMA PETER</v>
      </c>
      <c r="D292" s="96" t="str">
        <f>IFERROR(__xludf.DUMMYFUNCTION("""COMPUTED_VALUE"""),"NDOMA PETER6")</f>
        <v>NDOMA PETER6</v>
      </c>
      <c r="E292" s="96">
        <f>IFERROR(__xludf.DUMMYFUNCTION("""COMPUTED_VALUE"""),768.0)</f>
        <v>768</v>
      </c>
      <c r="F292" s="96">
        <f>IFERROR(__xludf.DUMMYFUNCTION("""COMPUTED_VALUE"""),96.0)</f>
        <v>96</v>
      </c>
      <c r="G292" s="96"/>
      <c r="H292" s="96">
        <f>IFERROR(__xludf.DUMMYFUNCTION("""COMPUTED_VALUE"""),12.0)</f>
        <v>12</v>
      </c>
      <c r="I292" s="96"/>
      <c r="J292" s="96">
        <f>IFERROR(__xludf.DUMMYFUNCTION("""COMPUTED_VALUE"""),839.95)</f>
        <v>839.95</v>
      </c>
      <c r="K292" s="96"/>
      <c r="L292" s="99">
        <f>IFERROR(__xludf.DUMMYFUNCTION("""COMPUTED_VALUE"""),-635000.0)</f>
        <v>-635000</v>
      </c>
      <c r="M292" s="96">
        <f>IFERROR(__xludf.DUMMYFUNCTION("""COMPUTED_VALUE"""),8.0)</f>
        <v>8</v>
      </c>
      <c r="N292" s="96">
        <f>IFERROR(__xludf.DUMMYFUNCTION("""COMPUTED_VALUE"""),0.0)</f>
        <v>0</v>
      </c>
      <c r="O292" s="96">
        <f>IFERROR(__xludf.DUMMYFUNCTION("""COMPUTED_VALUE"""),12.0)</f>
        <v>12</v>
      </c>
      <c r="P292" s="96">
        <f>IFERROR(__xludf.DUMMYFUNCTION("""COMPUTED_VALUE"""),0.0)</f>
        <v>0</v>
      </c>
      <c r="Q292" s="129">
        <f>IFERROR(__xludf.DUMMYFUNCTION("""COMPUTED_VALUE"""),756.0)</f>
        <v>756</v>
      </c>
      <c r="R292" s="99">
        <f>IFERROR(__xludf.DUMMYFUNCTION("""COMPUTED_VALUE"""),635000.0)</f>
        <v>635000</v>
      </c>
    </row>
    <row r="293">
      <c r="A293" s="96">
        <f>IFERROR(__xludf.DUMMYFUNCTION("""COMPUTED_VALUE"""),7.0)</f>
        <v>7</v>
      </c>
      <c r="B293" s="98">
        <f>IFERROR(__xludf.DUMMYFUNCTION("""COMPUTED_VALUE"""),44077.0)</f>
        <v>44077</v>
      </c>
      <c r="C293" s="96" t="str">
        <f>IFERROR(__xludf.DUMMYFUNCTION("""COMPUTED_VALUE"""),"NDOMA PETER")</f>
        <v>NDOMA PETER</v>
      </c>
      <c r="D293" s="96" t="str">
        <f>IFERROR(__xludf.DUMMYFUNCTION("""COMPUTED_VALUE"""),"NDOMA PETER7")</f>
        <v>NDOMA PETER7</v>
      </c>
      <c r="E293" s="96"/>
      <c r="F293" s="96"/>
      <c r="G293" s="96"/>
      <c r="H293" s="96"/>
      <c r="I293" s="96"/>
      <c r="J293" s="96"/>
      <c r="K293" s="96">
        <f>IFERROR(__xludf.DUMMYFUNCTION("""COMPUTED_VALUE"""),635000.0)</f>
        <v>635000</v>
      </c>
      <c r="L293" s="99">
        <f>IFERROR(__xludf.DUMMYFUNCTION("""COMPUTED_VALUE"""),635000.0)</f>
        <v>635000</v>
      </c>
      <c r="M293" s="96"/>
      <c r="N293" s="96">
        <f>IFERROR(__xludf.DUMMYFUNCTION("""COMPUTED_VALUE"""),0.0)</f>
        <v>0</v>
      </c>
      <c r="O293" s="96">
        <f>IFERROR(__xludf.DUMMYFUNCTION("""COMPUTED_VALUE"""),0.0)</f>
        <v>0</v>
      </c>
      <c r="P293" s="96">
        <f>IFERROR(__xludf.DUMMYFUNCTION("""COMPUTED_VALUE"""),0.0)</f>
        <v>0</v>
      </c>
      <c r="Q293" s="129">
        <f>IFERROR(__xludf.DUMMYFUNCTION("""COMPUTED_VALUE"""),0.0)</f>
        <v>0</v>
      </c>
      <c r="R293" s="99"/>
    </row>
    <row r="294">
      <c r="A294" s="96">
        <f>IFERROR(__xludf.DUMMYFUNCTION("""COMPUTED_VALUE"""),16.0)</f>
        <v>16</v>
      </c>
      <c r="B294" s="98">
        <f>IFERROR(__xludf.DUMMYFUNCTION("""COMPUTED_VALUE"""),44078.0)</f>
        <v>44078</v>
      </c>
      <c r="C294" s="96" t="str">
        <f>IFERROR(__xludf.DUMMYFUNCTION("""COMPUTED_VALUE"""),"LIVINUS")</f>
        <v>LIVINUS</v>
      </c>
      <c r="D294" s="96" t="str">
        <f>IFERROR(__xludf.DUMMYFUNCTION("""COMPUTED_VALUE"""),"LIVINUS16")</f>
        <v>LIVINUS16</v>
      </c>
      <c r="E294" s="96"/>
      <c r="F294" s="96"/>
      <c r="G294" s="96"/>
      <c r="H294" s="96"/>
      <c r="I294" s="96"/>
      <c r="J294" s="96"/>
      <c r="K294" s="96">
        <f>IFERROR(__xludf.DUMMYFUNCTION("""COMPUTED_VALUE"""),1000000.0)</f>
        <v>1000000</v>
      </c>
      <c r="L294" s="99">
        <f>IFERROR(__xludf.DUMMYFUNCTION("""COMPUTED_VALUE"""),1000000.0)</f>
        <v>1000000</v>
      </c>
      <c r="M294" s="96"/>
      <c r="N294" s="96">
        <f>IFERROR(__xludf.DUMMYFUNCTION("""COMPUTED_VALUE"""),0.0)</f>
        <v>0</v>
      </c>
      <c r="O294" s="96">
        <f>IFERROR(__xludf.DUMMYFUNCTION("""COMPUTED_VALUE"""),0.0)</f>
        <v>0</v>
      </c>
      <c r="P294" s="96">
        <f>IFERROR(__xludf.DUMMYFUNCTION("""COMPUTED_VALUE"""),0.0)</f>
        <v>0</v>
      </c>
      <c r="Q294" s="129">
        <f>IFERROR(__xludf.DUMMYFUNCTION("""COMPUTED_VALUE"""),0.0)</f>
        <v>0</v>
      </c>
      <c r="R294" s="99"/>
    </row>
    <row r="295">
      <c r="A295" s="96">
        <f>IFERROR(__xludf.DUMMYFUNCTION("""COMPUTED_VALUE"""),9.0)</f>
        <v>9</v>
      </c>
      <c r="B295" s="98">
        <f>IFERROR(__xludf.DUMMYFUNCTION("""COMPUTED_VALUE"""),44081.0)</f>
        <v>44081</v>
      </c>
      <c r="C295" s="96" t="str">
        <f>IFERROR(__xludf.DUMMYFUNCTION("""COMPUTED_VALUE"""),"BOSURU  BOSURU")</f>
        <v>BOSURU  BOSURU</v>
      </c>
      <c r="D295" s="96" t="str">
        <f>IFERROR(__xludf.DUMMYFUNCTION("""COMPUTED_VALUE"""),"BOSURU  BOSURU9")</f>
        <v>BOSURU  BOSURU9</v>
      </c>
      <c r="E295" s="96"/>
      <c r="F295" s="96"/>
      <c r="G295" s="96"/>
      <c r="H295" s="96"/>
      <c r="I295" s="96"/>
      <c r="J295" s="96"/>
      <c r="K295" s="96">
        <f>IFERROR(__xludf.DUMMYFUNCTION("""COMPUTED_VALUE"""),20000.0)</f>
        <v>20000</v>
      </c>
      <c r="L295" s="99">
        <f>IFERROR(__xludf.DUMMYFUNCTION("""COMPUTED_VALUE"""),20000.0)</f>
        <v>20000</v>
      </c>
      <c r="M295" s="96"/>
      <c r="N295" s="96">
        <f>IFERROR(__xludf.DUMMYFUNCTION("""COMPUTED_VALUE"""),0.0)</f>
        <v>0</v>
      </c>
      <c r="O295" s="96">
        <f>IFERROR(__xludf.DUMMYFUNCTION("""COMPUTED_VALUE"""),0.0)</f>
        <v>0</v>
      </c>
      <c r="P295" s="96">
        <f>IFERROR(__xludf.DUMMYFUNCTION("""COMPUTED_VALUE"""),0.0)</f>
        <v>0</v>
      </c>
      <c r="Q295" s="129">
        <f>IFERROR(__xludf.DUMMYFUNCTION("""COMPUTED_VALUE"""),0.0)</f>
        <v>0</v>
      </c>
      <c r="R295" s="99"/>
    </row>
    <row r="296">
      <c r="A296" s="96">
        <f>IFERROR(__xludf.DUMMYFUNCTION("""COMPUTED_VALUE"""),2.0)</f>
        <v>2</v>
      </c>
      <c r="B296" s="98">
        <f>IFERROR(__xludf.DUMMYFUNCTION("""COMPUTED_VALUE"""),44081.0)</f>
        <v>44081</v>
      </c>
      <c r="C296" s="96" t="str">
        <f>IFERROR(__xludf.DUMMYFUNCTION("""COMPUTED_VALUE"""),"FRANCIS KEIBO")</f>
        <v>FRANCIS KEIBO</v>
      </c>
      <c r="D296" s="96" t="str">
        <f>IFERROR(__xludf.DUMMYFUNCTION("""COMPUTED_VALUE"""),"FRANCIS KEIBO2")</f>
        <v>FRANCIS KEIBO2</v>
      </c>
      <c r="E296" s="96"/>
      <c r="F296" s="96"/>
      <c r="G296" s="96"/>
      <c r="H296" s="96"/>
      <c r="I296" s="96"/>
      <c r="J296" s="96"/>
      <c r="K296" s="96">
        <f>IFERROR(__xludf.DUMMYFUNCTION("""COMPUTED_VALUE"""),250000.0)</f>
        <v>250000</v>
      </c>
      <c r="L296" s="99">
        <f>IFERROR(__xludf.DUMMYFUNCTION("""COMPUTED_VALUE"""),250000.0)</f>
        <v>250000</v>
      </c>
      <c r="M296" s="96"/>
      <c r="N296" s="96">
        <f>IFERROR(__xludf.DUMMYFUNCTION("""COMPUTED_VALUE"""),0.0)</f>
        <v>0</v>
      </c>
      <c r="O296" s="96">
        <f>IFERROR(__xludf.DUMMYFUNCTION("""COMPUTED_VALUE"""),0.0)</f>
        <v>0</v>
      </c>
      <c r="P296" s="96">
        <f>IFERROR(__xludf.DUMMYFUNCTION("""COMPUTED_VALUE"""),0.0)</f>
        <v>0</v>
      </c>
      <c r="Q296" s="129">
        <f>IFERROR(__xludf.DUMMYFUNCTION("""COMPUTED_VALUE"""),0.0)</f>
        <v>0</v>
      </c>
      <c r="R296" s="99"/>
    </row>
    <row r="297">
      <c r="A297" s="96">
        <f>IFERROR(__xludf.DUMMYFUNCTION("""COMPUTED_VALUE"""),10.0)</f>
        <v>10</v>
      </c>
      <c r="B297" s="98">
        <f>IFERROR(__xludf.DUMMYFUNCTION("""COMPUTED_VALUE"""),44021.0)</f>
        <v>44021</v>
      </c>
      <c r="C297" s="96" t="str">
        <f>IFERROR(__xludf.DUMMYFUNCTION("""COMPUTED_VALUE"""),"BOSURU  BOSURU")</f>
        <v>BOSURU  BOSURU</v>
      </c>
      <c r="D297" s="96" t="str">
        <f>IFERROR(__xludf.DUMMYFUNCTION("""COMPUTED_VALUE"""),"BOSURU  BOSURU10")</f>
        <v>BOSURU  BOSURU10</v>
      </c>
      <c r="E297" s="96">
        <f>IFERROR(__xludf.DUMMYFUNCTION("""COMPUTED_VALUE"""),96.0)</f>
        <v>96</v>
      </c>
      <c r="F297" s="96">
        <f>IFERROR(__xludf.DUMMYFUNCTION("""COMPUTED_VALUE"""),16.0)</f>
        <v>16</v>
      </c>
      <c r="G297" s="96"/>
      <c r="H297" s="96">
        <f>IFERROR(__xludf.DUMMYFUNCTION("""COMPUTED_VALUE"""),2.0)</f>
        <v>2</v>
      </c>
      <c r="I297" s="96"/>
      <c r="J297" s="96">
        <f>IFERROR(__xludf.DUMMYFUNCTION("""COMPUTED_VALUE"""),836.6)</f>
        <v>836.6</v>
      </c>
      <c r="K297" s="96"/>
      <c r="L297" s="99">
        <f>IFERROR(__xludf.DUMMYFUNCTION("""COMPUTED_VALUE"""),-78640.0)</f>
        <v>-78640</v>
      </c>
      <c r="M297" s="96">
        <f>IFERROR(__xludf.DUMMYFUNCTION("""COMPUTED_VALUE"""),8.0)</f>
        <v>8</v>
      </c>
      <c r="N297" s="96">
        <f>IFERROR(__xludf.DUMMYFUNCTION("""COMPUTED_VALUE"""),0.0)</f>
        <v>0</v>
      </c>
      <c r="O297" s="96">
        <f>IFERROR(__xludf.DUMMYFUNCTION("""COMPUTED_VALUE"""),1.0)</f>
        <v>1</v>
      </c>
      <c r="P297" s="96">
        <f>IFERROR(__xludf.DUMMYFUNCTION("""COMPUTED_VALUE"""),31.0)</f>
        <v>31</v>
      </c>
      <c r="Q297" s="129">
        <f>IFERROR(__xludf.DUMMYFUNCTION("""COMPUTED_VALUE"""),94.0)</f>
        <v>94</v>
      </c>
      <c r="R297" s="99">
        <f>IFERROR(__xludf.DUMMYFUNCTION("""COMPUTED_VALUE"""),78640.0)</f>
        <v>78640</v>
      </c>
    </row>
    <row r="298">
      <c r="A298" s="96">
        <f>IFERROR(__xludf.DUMMYFUNCTION("""COMPUTED_VALUE"""),11.0)</f>
        <v>11</v>
      </c>
      <c r="B298" s="98">
        <f>IFERROR(__xludf.DUMMYFUNCTION("""COMPUTED_VALUE"""),44032.0)</f>
        <v>44032</v>
      </c>
      <c r="C298" s="96" t="str">
        <f>IFERROR(__xludf.DUMMYFUNCTION("""COMPUTED_VALUE"""),"BOSURU  BOSURU")</f>
        <v>BOSURU  BOSURU</v>
      </c>
      <c r="D298" s="96" t="str">
        <f>IFERROR(__xludf.DUMMYFUNCTION("""COMPUTED_VALUE"""),"BOSURU  BOSURU11")</f>
        <v>BOSURU  BOSURU11</v>
      </c>
      <c r="E298" s="96">
        <f>IFERROR(__xludf.DUMMYFUNCTION("""COMPUTED_VALUE"""),137.0)</f>
        <v>137</v>
      </c>
      <c r="F298" s="96">
        <f>IFERROR(__xludf.DUMMYFUNCTION("""COMPUTED_VALUE"""),24.0)</f>
        <v>24</v>
      </c>
      <c r="G298" s="96"/>
      <c r="H298" s="96">
        <f>IFERROR(__xludf.DUMMYFUNCTION("""COMPUTED_VALUE"""),3.0)</f>
        <v>3</v>
      </c>
      <c r="I298" s="96"/>
      <c r="J298" s="96">
        <f>IFERROR(__xludf.DUMMYFUNCTION("""COMPUTED_VALUE"""),790.0)</f>
        <v>790</v>
      </c>
      <c r="K298" s="96"/>
      <c r="L298" s="99">
        <f>IFERROR(__xludf.DUMMYFUNCTION("""COMPUTED_VALUE"""),-105860.0)</f>
        <v>-105860</v>
      </c>
      <c r="M298" s="96">
        <f>IFERROR(__xludf.DUMMYFUNCTION("""COMPUTED_VALUE"""),8.0)</f>
        <v>8</v>
      </c>
      <c r="N298" s="96">
        <f>IFERROR(__xludf.DUMMYFUNCTION("""COMPUTED_VALUE"""),0.0)</f>
        <v>0</v>
      </c>
      <c r="O298" s="96">
        <f>IFERROR(__xludf.DUMMYFUNCTION("""COMPUTED_VALUE"""),2.0)</f>
        <v>2</v>
      </c>
      <c r="P298" s="96">
        <f>IFERROR(__xludf.DUMMYFUNCTION("""COMPUTED_VALUE"""),8.0)</f>
        <v>8</v>
      </c>
      <c r="Q298" s="129">
        <f>IFERROR(__xludf.DUMMYFUNCTION("""COMPUTED_VALUE"""),134.0)</f>
        <v>134</v>
      </c>
      <c r="R298" s="99">
        <f>IFERROR(__xludf.DUMMYFUNCTION("""COMPUTED_VALUE"""),105860.0)</f>
        <v>105860</v>
      </c>
    </row>
    <row r="299">
      <c r="A299" s="96">
        <f>IFERROR(__xludf.DUMMYFUNCTION("""COMPUTED_VALUE"""),12.0)</f>
        <v>12</v>
      </c>
      <c r="B299" s="98">
        <f>IFERROR(__xludf.DUMMYFUNCTION("""COMPUTED_VALUE"""),44060.0)</f>
        <v>44060</v>
      </c>
      <c r="C299" s="96" t="str">
        <f>IFERROR(__xludf.DUMMYFUNCTION("""COMPUTED_VALUE"""),"BOSURU  BOSURU")</f>
        <v>BOSURU  BOSURU</v>
      </c>
      <c r="D299" s="96" t="str">
        <f>IFERROR(__xludf.DUMMYFUNCTION("""COMPUTED_VALUE"""),"BOSURU  BOSURU12")</f>
        <v>BOSURU  BOSURU12</v>
      </c>
      <c r="E299" s="96">
        <f>IFERROR(__xludf.DUMMYFUNCTION("""COMPUTED_VALUE"""),420.0)</f>
        <v>420</v>
      </c>
      <c r="F299" s="96">
        <f>IFERROR(__xludf.DUMMYFUNCTION("""COMPUTED_VALUE"""),56.0)</f>
        <v>56</v>
      </c>
      <c r="G299" s="96"/>
      <c r="H299" s="96">
        <f>IFERROR(__xludf.DUMMYFUNCTION("""COMPUTED_VALUE"""),7.0)</f>
        <v>7</v>
      </c>
      <c r="I299" s="96"/>
      <c r="J299" s="96">
        <f>IFERROR(__xludf.DUMMYFUNCTION("""COMPUTED_VALUE"""),820.0)</f>
        <v>820</v>
      </c>
      <c r="K299" s="96"/>
      <c r="L299" s="99">
        <f>IFERROR(__xludf.DUMMYFUNCTION("""COMPUTED_VALUE"""),-338660.0)</f>
        <v>-338660</v>
      </c>
      <c r="M299" s="96">
        <f>IFERROR(__xludf.DUMMYFUNCTION("""COMPUTED_VALUE"""),8.0)</f>
        <v>8</v>
      </c>
      <c r="N299" s="96">
        <f>IFERROR(__xludf.DUMMYFUNCTION("""COMPUTED_VALUE"""),0.0)</f>
        <v>0</v>
      </c>
      <c r="O299" s="96">
        <f>IFERROR(__xludf.DUMMYFUNCTION("""COMPUTED_VALUE"""),6.0)</f>
        <v>6</v>
      </c>
      <c r="P299" s="96">
        <f>IFERROR(__xludf.DUMMYFUNCTION("""COMPUTED_VALUE"""),35.0)</f>
        <v>35</v>
      </c>
      <c r="Q299" s="129">
        <f>IFERROR(__xludf.DUMMYFUNCTION("""COMPUTED_VALUE"""),413.0)</f>
        <v>413</v>
      </c>
      <c r="R299" s="99">
        <f>IFERROR(__xludf.DUMMYFUNCTION("""COMPUTED_VALUE"""),338660.0)</f>
        <v>338660</v>
      </c>
    </row>
    <row r="300">
      <c r="A300" s="96">
        <f>IFERROR(__xludf.DUMMYFUNCTION("""COMPUTED_VALUE"""),13.0)</f>
        <v>13</v>
      </c>
      <c r="B300" s="98">
        <f>IFERROR(__xludf.DUMMYFUNCTION("""COMPUTED_VALUE"""),44070.0)</f>
        <v>44070</v>
      </c>
      <c r="C300" s="96" t="str">
        <f>IFERROR(__xludf.DUMMYFUNCTION("""COMPUTED_VALUE"""),"BOSURU  BOSURU")</f>
        <v>BOSURU  BOSURU</v>
      </c>
      <c r="D300" s="96" t="str">
        <f>IFERROR(__xludf.DUMMYFUNCTION("""COMPUTED_VALUE"""),"BOSURU  BOSURU13")</f>
        <v>BOSURU  BOSURU13</v>
      </c>
      <c r="E300" s="96">
        <f>IFERROR(__xludf.DUMMYFUNCTION("""COMPUTED_VALUE"""),403.0)</f>
        <v>403</v>
      </c>
      <c r="F300" s="96">
        <f>IFERROR(__xludf.DUMMYFUNCTION("""COMPUTED_VALUE"""),56.0)</f>
        <v>56</v>
      </c>
      <c r="G300" s="96"/>
      <c r="H300" s="96">
        <f>IFERROR(__xludf.DUMMYFUNCTION("""COMPUTED_VALUE"""),7.0)</f>
        <v>7</v>
      </c>
      <c r="I300" s="96"/>
      <c r="J300" s="96">
        <f>IFERROR(__xludf.DUMMYFUNCTION("""COMPUTED_VALUE"""),840.0)</f>
        <v>840</v>
      </c>
      <c r="K300" s="96"/>
      <c r="L300" s="99">
        <f>IFERROR(__xludf.DUMMYFUNCTION("""COMPUTED_VALUE"""),-332640.0)</f>
        <v>-332640</v>
      </c>
      <c r="M300" s="96">
        <f>IFERROR(__xludf.DUMMYFUNCTION("""COMPUTED_VALUE"""),8.0)</f>
        <v>8</v>
      </c>
      <c r="N300" s="96">
        <f>IFERROR(__xludf.DUMMYFUNCTION("""COMPUTED_VALUE"""),0.0)</f>
        <v>0</v>
      </c>
      <c r="O300" s="96">
        <f>IFERROR(__xludf.DUMMYFUNCTION("""COMPUTED_VALUE"""),6.0)</f>
        <v>6</v>
      </c>
      <c r="P300" s="96">
        <f>IFERROR(__xludf.DUMMYFUNCTION("""COMPUTED_VALUE"""),18.0)</f>
        <v>18</v>
      </c>
      <c r="Q300" s="129">
        <f>IFERROR(__xludf.DUMMYFUNCTION("""COMPUTED_VALUE"""),396.0)</f>
        <v>396</v>
      </c>
      <c r="R300" s="99">
        <f>IFERROR(__xludf.DUMMYFUNCTION("""COMPUTED_VALUE"""),332640.0)</f>
        <v>332640</v>
      </c>
    </row>
    <row r="301">
      <c r="A301" s="96">
        <f>IFERROR(__xludf.DUMMYFUNCTION("""COMPUTED_VALUE"""),14.0)</f>
        <v>14</v>
      </c>
      <c r="B301" s="98">
        <f>IFERROR(__xludf.DUMMYFUNCTION("""COMPUTED_VALUE"""),44077.0)</f>
        <v>44077</v>
      </c>
      <c r="C301" s="96" t="str">
        <f>IFERROR(__xludf.DUMMYFUNCTION("""COMPUTED_VALUE"""),"BOSURU  BOSURU")</f>
        <v>BOSURU  BOSURU</v>
      </c>
      <c r="D301" s="96" t="str">
        <f>IFERROR(__xludf.DUMMYFUNCTION("""COMPUTED_VALUE"""),"BOSURU  BOSURU14")</f>
        <v>BOSURU  BOSURU14</v>
      </c>
      <c r="E301" s="96">
        <f>IFERROR(__xludf.DUMMYFUNCTION("""COMPUTED_VALUE"""),338.0)</f>
        <v>338</v>
      </c>
      <c r="F301" s="96">
        <f>IFERROR(__xludf.DUMMYFUNCTION("""COMPUTED_VALUE"""),48.0)</f>
        <v>48</v>
      </c>
      <c r="G301" s="96"/>
      <c r="H301" s="96">
        <f>IFERROR(__xludf.DUMMYFUNCTION("""COMPUTED_VALUE"""),6.0)</f>
        <v>6</v>
      </c>
      <c r="I301" s="96"/>
      <c r="J301" s="96">
        <f>IFERROR(__xludf.DUMMYFUNCTION("""COMPUTED_VALUE"""),840.0)</f>
        <v>840</v>
      </c>
      <c r="K301" s="96"/>
      <c r="L301" s="99">
        <f>IFERROR(__xludf.DUMMYFUNCTION("""COMPUTED_VALUE"""),-278880.0)</f>
        <v>-278880</v>
      </c>
      <c r="M301" s="96">
        <f>IFERROR(__xludf.DUMMYFUNCTION("""COMPUTED_VALUE"""),8.0)</f>
        <v>8</v>
      </c>
      <c r="N301" s="96">
        <f>IFERROR(__xludf.DUMMYFUNCTION("""COMPUTED_VALUE"""),0.0)</f>
        <v>0</v>
      </c>
      <c r="O301" s="96">
        <f>IFERROR(__xludf.DUMMYFUNCTION("""COMPUTED_VALUE"""),5.0)</f>
        <v>5</v>
      </c>
      <c r="P301" s="96">
        <f>IFERROR(__xludf.DUMMYFUNCTION("""COMPUTED_VALUE"""),17.0)</f>
        <v>17</v>
      </c>
      <c r="Q301" s="129">
        <f>IFERROR(__xludf.DUMMYFUNCTION("""COMPUTED_VALUE"""),332.0)</f>
        <v>332</v>
      </c>
      <c r="R301" s="99">
        <f>IFERROR(__xludf.DUMMYFUNCTION("""COMPUTED_VALUE"""),278880.0)</f>
        <v>278880</v>
      </c>
    </row>
    <row r="302">
      <c r="A302" s="96">
        <f>IFERROR(__xludf.DUMMYFUNCTION("""COMPUTED_VALUE"""),15.0)</f>
        <v>15</v>
      </c>
      <c r="B302" s="98">
        <f>IFERROR(__xludf.DUMMYFUNCTION("""COMPUTED_VALUE"""),44082.0)</f>
        <v>44082</v>
      </c>
      <c r="C302" s="96" t="str">
        <f>IFERROR(__xludf.DUMMYFUNCTION("""COMPUTED_VALUE"""),"BOSURU  BOSURU")</f>
        <v>BOSURU  BOSURU</v>
      </c>
      <c r="D302" s="96" t="str">
        <f>IFERROR(__xludf.DUMMYFUNCTION("""COMPUTED_VALUE"""),"BOSURU  BOSURU15")</f>
        <v>BOSURU  BOSURU15</v>
      </c>
      <c r="E302" s="96"/>
      <c r="F302" s="96"/>
      <c r="G302" s="96"/>
      <c r="H302" s="96"/>
      <c r="I302" s="96"/>
      <c r="J302" s="96"/>
      <c r="K302" s="96">
        <f>IFERROR(__xludf.DUMMYFUNCTION("""COMPUTED_VALUE"""),262000.0)</f>
        <v>262000</v>
      </c>
      <c r="L302" s="99">
        <f>IFERROR(__xludf.DUMMYFUNCTION("""COMPUTED_VALUE"""),262000.0)</f>
        <v>262000</v>
      </c>
      <c r="M302" s="96"/>
      <c r="N302" s="96">
        <f>IFERROR(__xludf.DUMMYFUNCTION("""COMPUTED_VALUE"""),0.0)</f>
        <v>0</v>
      </c>
      <c r="O302" s="96">
        <f>IFERROR(__xludf.DUMMYFUNCTION("""COMPUTED_VALUE"""),0.0)</f>
        <v>0</v>
      </c>
      <c r="P302" s="96">
        <f>IFERROR(__xludf.DUMMYFUNCTION("""COMPUTED_VALUE"""),0.0)</f>
        <v>0</v>
      </c>
      <c r="Q302" s="129">
        <f>IFERROR(__xludf.DUMMYFUNCTION("""COMPUTED_VALUE"""),0.0)</f>
        <v>0</v>
      </c>
      <c r="R302" s="99"/>
    </row>
    <row r="303">
      <c r="A303" s="96">
        <f>IFERROR(__xludf.DUMMYFUNCTION("""COMPUTED_VALUE"""),2.0)</f>
        <v>2</v>
      </c>
      <c r="B303" s="98">
        <f>IFERROR(__xludf.DUMMYFUNCTION("""COMPUTED_VALUE"""),44082.0)</f>
        <v>44082</v>
      </c>
      <c r="C303" s="96" t="str">
        <f>IFERROR(__xludf.DUMMYFUNCTION("""COMPUTED_VALUE"""),"MAXWELL AGRO PRIN")</f>
        <v>MAXWELL AGRO PRIN</v>
      </c>
      <c r="D303" s="96" t="str">
        <f>IFERROR(__xludf.DUMMYFUNCTION("""COMPUTED_VALUE"""),"MAXWELL AGRO PRIN2")</f>
        <v>MAXWELL AGRO PRIN2</v>
      </c>
      <c r="E303" s="96"/>
      <c r="F303" s="96"/>
      <c r="G303" s="96"/>
      <c r="H303" s="96"/>
      <c r="I303" s="96"/>
      <c r="J303" s="96"/>
      <c r="K303" s="96">
        <f>IFERROR(__xludf.DUMMYFUNCTION("""COMPUTED_VALUE"""),50000.0)</f>
        <v>50000</v>
      </c>
      <c r="L303" s="99">
        <f>IFERROR(__xludf.DUMMYFUNCTION("""COMPUTED_VALUE"""),50000.0)</f>
        <v>50000</v>
      </c>
      <c r="M303" s="96"/>
      <c r="N303" s="96">
        <f>IFERROR(__xludf.DUMMYFUNCTION("""COMPUTED_VALUE"""),0.0)</f>
        <v>0</v>
      </c>
      <c r="O303" s="96">
        <f>IFERROR(__xludf.DUMMYFUNCTION("""COMPUTED_VALUE"""),0.0)</f>
        <v>0</v>
      </c>
      <c r="P303" s="96">
        <f>IFERROR(__xludf.DUMMYFUNCTION("""COMPUTED_VALUE"""),0.0)</f>
        <v>0</v>
      </c>
      <c r="Q303" s="129">
        <f>IFERROR(__xludf.DUMMYFUNCTION("""COMPUTED_VALUE"""),0.0)</f>
        <v>0</v>
      </c>
      <c r="R303" s="99"/>
    </row>
    <row r="304">
      <c r="A304" s="96">
        <f>IFERROR(__xludf.DUMMYFUNCTION("""COMPUTED_VALUE"""),2.0)</f>
        <v>2</v>
      </c>
      <c r="B304" s="98">
        <f>IFERROR(__xludf.DUMMYFUNCTION("""COMPUTED_VALUE"""),44082.0)</f>
        <v>44082</v>
      </c>
      <c r="C304" s="96" t="str">
        <f>IFERROR(__xludf.DUMMYFUNCTION("""COMPUTED_VALUE"""),"NDOMA NDOMA")</f>
        <v>NDOMA NDOMA</v>
      </c>
      <c r="D304" s="96" t="str">
        <f>IFERROR(__xludf.DUMMYFUNCTION("""COMPUTED_VALUE"""),"NDOMA NDOMA2")</f>
        <v>NDOMA NDOMA2</v>
      </c>
      <c r="E304" s="96"/>
      <c r="F304" s="96"/>
      <c r="G304" s="96"/>
      <c r="H304" s="96"/>
      <c r="I304" s="96"/>
      <c r="J304" s="96"/>
      <c r="K304" s="96">
        <f>IFERROR(__xludf.DUMMYFUNCTION("""COMPUTED_VALUE"""),10000.0)</f>
        <v>10000</v>
      </c>
      <c r="L304" s="99">
        <f>IFERROR(__xludf.DUMMYFUNCTION("""COMPUTED_VALUE"""),10000.0)</f>
        <v>10000</v>
      </c>
      <c r="M304" s="96"/>
      <c r="N304" s="96">
        <f>IFERROR(__xludf.DUMMYFUNCTION("""COMPUTED_VALUE"""),0.0)</f>
        <v>0</v>
      </c>
      <c r="O304" s="96">
        <f>IFERROR(__xludf.DUMMYFUNCTION("""COMPUTED_VALUE"""),0.0)</f>
        <v>0</v>
      </c>
      <c r="P304" s="96">
        <f>IFERROR(__xludf.DUMMYFUNCTION("""COMPUTED_VALUE"""),0.0)</f>
        <v>0</v>
      </c>
      <c r="Q304" s="129">
        <f>IFERROR(__xludf.DUMMYFUNCTION("""COMPUTED_VALUE"""),0.0)</f>
        <v>0</v>
      </c>
      <c r="R304" s="99"/>
    </row>
    <row r="305">
      <c r="A305" s="96">
        <f>IFERROR(__xludf.DUMMYFUNCTION("""COMPUTED_VALUE"""),1.0)</f>
        <v>1</v>
      </c>
      <c r="B305" s="98">
        <f>IFERROR(__xludf.DUMMYFUNCTION("""COMPUTED_VALUE"""),44082.0)</f>
        <v>44082</v>
      </c>
      <c r="C305" s="96" t="str">
        <f>IFERROR(__xludf.DUMMYFUNCTION("""COMPUTED_VALUE"""),"ZULU ")</f>
        <v>ZULU </v>
      </c>
      <c r="D305" s="96" t="str">
        <f>IFERROR(__xludf.DUMMYFUNCTION("""COMPUTED_VALUE"""),"ZULU 1")</f>
        <v>ZULU 1</v>
      </c>
      <c r="E305" s="96"/>
      <c r="F305" s="96"/>
      <c r="G305" s="96"/>
      <c r="H305" s="96"/>
      <c r="I305" s="96"/>
      <c r="J305" s="96"/>
      <c r="K305" s="96">
        <f>IFERROR(__xludf.DUMMYFUNCTION("""COMPUTED_VALUE"""),4000.0)</f>
        <v>4000</v>
      </c>
      <c r="L305" s="99">
        <f>IFERROR(__xludf.DUMMYFUNCTION("""COMPUTED_VALUE"""),4000.0)</f>
        <v>4000</v>
      </c>
      <c r="M305" s="96"/>
      <c r="N305" s="96">
        <f>IFERROR(__xludf.DUMMYFUNCTION("""COMPUTED_VALUE"""),0.0)</f>
        <v>0</v>
      </c>
      <c r="O305" s="96">
        <f>IFERROR(__xludf.DUMMYFUNCTION("""COMPUTED_VALUE"""),0.0)</f>
        <v>0</v>
      </c>
      <c r="P305" s="96">
        <f>IFERROR(__xludf.DUMMYFUNCTION("""COMPUTED_VALUE"""),0.0)</f>
        <v>0</v>
      </c>
      <c r="Q305" s="129">
        <f>IFERROR(__xludf.DUMMYFUNCTION("""COMPUTED_VALUE"""),0.0)</f>
        <v>0</v>
      </c>
      <c r="R305" s="99"/>
    </row>
    <row r="306">
      <c r="A306" s="96">
        <f>IFERROR(__xludf.DUMMYFUNCTION("""COMPUTED_VALUE"""),8.0)</f>
        <v>8</v>
      </c>
      <c r="B306" s="98">
        <f>IFERROR(__xludf.DUMMYFUNCTION("""COMPUTED_VALUE"""),44055.0)</f>
        <v>44055</v>
      </c>
      <c r="C306" s="96" t="str">
        <f>IFERROR(__xludf.DUMMYFUNCTION("""COMPUTED_VALUE"""),"ZULU &amp; NDOMA")</f>
        <v>ZULU &amp; NDOMA</v>
      </c>
      <c r="D306" s="96" t="str">
        <f>IFERROR(__xludf.DUMMYFUNCTION("""COMPUTED_VALUE"""),"ZULU &amp; NDOMA8")</f>
        <v>ZULU &amp; NDOMA8</v>
      </c>
      <c r="E306" s="96"/>
      <c r="F306" s="96"/>
      <c r="G306" s="96"/>
      <c r="H306" s="96"/>
      <c r="I306" s="96"/>
      <c r="J306" s="96"/>
      <c r="K306" s="96">
        <f>IFERROR(__xludf.DUMMYFUNCTION("""COMPUTED_VALUE"""),-100000.0)</f>
        <v>-100000</v>
      </c>
      <c r="L306" s="99">
        <f>IFERROR(__xludf.DUMMYFUNCTION("""COMPUTED_VALUE"""),-100000.0)</f>
        <v>-100000</v>
      </c>
      <c r="M306" s="96"/>
      <c r="N306" s="96">
        <f>IFERROR(__xludf.DUMMYFUNCTION("""COMPUTED_VALUE"""),0.0)</f>
        <v>0</v>
      </c>
      <c r="O306" s="96">
        <f>IFERROR(__xludf.DUMMYFUNCTION("""COMPUTED_VALUE"""),0.0)</f>
        <v>0</v>
      </c>
      <c r="P306" s="96">
        <f>IFERROR(__xludf.DUMMYFUNCTION("""COMPUTED_VALUE"""),0.0)</f>
        <v>0</v>
      </c>
      <c r="Q306" s="129">
        <f>IFERROR(__xludf.DUMMYFUNCTION("""COMPUTED_VALUE"""),0.0)</f>
        <v>0</v>
      </c>
      <c r="R306" s="99"/>
    </row>
    <row r="307">
      <c r="A307" s="96">
        <f>IFERROR(__xludf.DUMMYFUNCTION("""COMPUTED_VALUE"""),3.0)</f>
        <v>3</v>
      </c>
      <c r="B307" s="98">
        <f>IFERROR(__xludf.DUMMYFUNCTION("""COMPUTED_VALUE"""),44055.0)</f>
        <v>44055</v>
      </c>
      <c r="C307" s="96" t="str">
        <f>IFERROR(__xludf.DUMMYFUNCTION("""COMPUTED_VALUE"""),"NDOMA PRIN")</f>
        <v>NDOMA PRIN</v>
      </c>
      <c r="D307" s="96" t="str">
        <f>IFERROR(__xludf.DUMMYFUNCTION("""COMPUTED_VALUE"""),"NDOMA PRIN3")</f>
        <v>NDOMA PRIN3</v>
      </c>
      <c r="E307" s="96"/>
      <c r="F307" s="96"/>
      <c r="G307" s="96"/>
      <c r="H307" s="96"/>
      <c r="I307" s="96"/>
      <c r="J307" s="96"/>
      <c r="K307" s="96">
        <f>IFERROR(__xludf.DUMMYFUNCTION("""COMPUTED_VALUE"""),100000.0)</f>
        <v>100000</v>
      </c>
      <c r="L307" s="99">
        <f>IFERROR(__xludf.DUMMYFUNCTION("""COMPUTED_VALUE"""),100000.0)</f>
        <v>100000</v>
      </c>
      <c r="M307" s="96"/>
      <c r="N307" s="96">
        <f>IFERROR(__xludf.DUMMYFUNCTION("""COMPUTED_VALUE"""),0.0)</f>
        <v>0</v>
      </c>
      <c r="O307" s="96">
        <f>IFERROR(__xludf.DUMMYFUNCTION("""COMPUTED_VALUE"""),0.0)</f>
        <v>0</v>
      </c>
      <c r="P307" s="96">
        <f>IFERROR(__xludf.DUMMYFUNCTION("""COMPUTED_VALUE"""),0.0)</f>
        <v>0</v>
      </c>
      <c r="Q307" s="129">
        <f>IFERROR(__xludf.DUMMYFUNCTION("""COMPUTED_VALUE"""),0.0)</f>
        <v>0</v>
      </c>
      <c r="R307" s="99"/>
    </row>
    <row r="308">
      <c r="A308" s="96">
        <f>IFERROR(__xludf.DUMMYFUNCTION("""COMPUTED_VALUE"""),9.0)</f>
        <v>9</v>
      </c>
      <c r="B308" s="98">
        <f>IFERROR(__xludf.DUMMYFUNCTION("""COMPUTED_VALUE"""),44058.0)</f>
        <v>44058</v>
      </c>
      <c r="C308" s="96" t="str">
        <f>IFERROR(__xludf.DUMMYFUNCTION("""COMPUTED_VALUE"""),"ZULU &amp; NDOMA")</f>
        <v>ZULU &amp; NDOMA</v>
      </c>
      <c r="D308" s="96" t="str">
        <f>IFERROR(__xludf.DUMMYFUNCTION("""COMPUTED_VALUE"""),"ZULU &amp; NDOMA9")</f>
        <v>ZULU &amp; NDOMA9</v>
      </c>
      <c r="E308" s="96"/>
      <c r="F308" s="96"/>
      <c r="G308" s="96"/>
      <c r="H308" s="96"/>
      <c r="I308" s="96"/>
      <c r="J308" s="96"/>
      <c r="K308" s="96">
        <f>IFERROR(__xludf.DUMMYFUNCTION("""COMPUTED_VALUE"""),-200000.0)</f>
        <v>-200000</v>
      </c>
      <c r="L308" s="99">
        <f>IFERROR(__xludf.DUMMYFUNCTION("""COMPUTED_VALUE"""),-200000.0)</f>
        <v>-200000</v>
      </c>
      <c r="M308" s="96"/>
      <c r="N308" s="96">
        <f>IFERROR(__xludf.DUMMYFUNCTION("""COMPUTED_VALUE"""),0.0)</f>
        <v>0</v>
      </c>
      <c r="O308" s="96">
        <f>IFERROR(__xludf.DUMMYFUNCTION("""COMPUTED_VALUE"""),0.0)</f>
        <v>0</v>
      </c>
      <c r="P308" s="96">
        <f>IFERROR(__xludf.DUMMYFUNCTION("""COMPUTED_VALUE"""),0.0)</f>
        <v>0</v>
      </c>
      <c r="Q308" s="129">
        <f>IFERROR(__xludf.DUMMYFUNCTION("""COMPUTED_VALUE"""),0.0)</f>
        <v>0</v>
      </c>
      <c r="R308" s="99"/>
    </row>
    <row r="309">
      <c r="A309" s="96">
        <f>IFERROR(__xludf.DUMMYFUNCTION("""COMPUTED_VALUE"""),2.0)</f>
        <v>2</v>
      </c>
      <c r="B309" s="98">
        <f>IFERROR(__xludf.DUMMYFUNCTION("""COMPUTED_VALUE"""),44058.0)</f>
        <v>44058</v>
      </c>
      <c r="C309" s="96" t="str">
        <f>IFERROR(__xludf.DUMMYFUNCTION("""COMPUTED_VALUE"""),"ZULU ")</f>
        <v>ZULU </v>
      </c>
      <c r="D309" s="96" t="str">
        <f>IFERROR(__xludf.DUMMYFUNCTION("""COMPUTED_VALUE"""),"ZULU 2")</f>
        <v>ZULU 2</v>
      </c>
      <c r="E309" s="96"/>
      <c r="F309" s="96"/>
      <c r="G309" s="96"/>
      <c r="H309" s="96"/>
      <c r="I309" s="96"/>
      <c r="J309" s="96"/>
      <c r="K309" s="96">
        <f>IFERROR(__xludf.DUMMYFUNCTION("""COMPUTED_VALUE"""),200000.0)</f>
        <v>200000</v>
      </c>
      <c r="L309" s="99">
        <f>IFERROR(__xludf.DUMMYFUNCTION("""COMPUTED_VALUE"""),200000.0)</f>
        <v>200000</v>
      </c>
      <c r="M309" s="96"/>
      <c r="N309" s="96">
        <f>IFERROR(__xludf.DUMMYFUNCTION("""COMPUTED_VALUE"""),0.0)</f>
        <v>0</v>
      </c>
      <c r="O309" s="96">
        <f>IFERROR(__xludf.DUMMYFUNCTION("""COMPUTED_VALUE"""),0.0)</f>
        <v>0</v>
      </c>
      <c r="P309" s="96">
        <f>IFERROR(__xludf.DUMMYFUNCTION("""COMPUTED_VALUE"""),0.0)</f>
        <v>0</v>
      </c>
      <c r="Q309" s="129">
        <f>IFERROR(__xludf.DUMMYFUNCTION("""COMPUTED_VALUE"""),0.0)</f>
        <v>0</v>
      </c>
      <c r="R309" s="99"/>
    </row>
    <row r="310">
      <c r="A310" s="96">
        <f>IFERROR(__xludf.DUMMYFUNCTION("""COMPUTED_VALUE"""),3.0)</f>
        <v>3</v>
      </c>
      <c r="B310" s="98">
        <f>IFERROR(__xludf.DUMMYFUNCTION("""COMPUTED_VALUE"""),44081.0)</f>
        <v>44081</v>
      </c>
      <c r="C310" s="96" t="str">
        <f>IFERROR(__xludf.DUMMYFUNCTION("""COMPUTED_VALUE"""),"NDOMA NDOMA")</f>
        <v>NDOMA NDOMA</v>
      </c>
      <c r="D310" s="96" t="str">
        <f>IFERROR(__xludf.DUMMYFUNCTION("""COMPUTED_VALUE"""),"NDOMA NDOMA3")</f>
        <v>NDOMA NDOMA3</v>
      </c>
      <c r="E310" s="96">
        <f>IFERROR(__xludf.DUMMYFUNCTION("""COMPUTED_VALUE"""),1250.0)</f>
        <v>1250</v>
      </c>
      <c r="F310" s="96">
        <f>IFERROR(__xludf.DUMMYFUNCTION("""COMPUTED_VALUE"""),160.0)</f>
        <v>160</v>
      </c>
      <c r="G310" s="96"/>
      <c r="H310" s="96">
        <f>IFERROR(__xludf.DUMMYFUNCTION("""COMPUTED_VALUE"""),20.0)</f>
        <v>20</v>
      </c>
      <c r="I310" s="96">
        <f>IFERROR(__xludf.DUMMYFUNCTION("""COMPUTED_VALUE"""),20.0)</f>
        <v>20</v>
      </c>
      <c r="J310" s="96">
        <f>IFERROR(__xludf.DUMMYFUNCTION("""COMPUTED_VALUE"""),920.0)</f>
        <v>920</v>
      </c>
      <c r="K310" s="96"/>
      <c r="L310" s="99">
        <f>IFERROR(__xludf.DUMMYFUNCTION("""COMPUTED_VALUE"""),-1150000.0)</f>
        <v>-1150000</v>
      </c>
      <c r="M310" s="96">
        <f>IFERROR(__xludf.DUMMYFUNCTION("""COMPUTED_VALUE"""),8.0)</f>
        <v>8</v>
      </c>
      <c r="N310" s="96">
        <f>IFERROR(__xludf.DUMMYFUNCTION("""COMPUTED_VALUE"""),0.0)</f>
        <v>0</v>
      </c>
      <c r="O310" s="96">
        <f>IFERROR(__xludf.DUMMYFUNCTION("""COMPUTED_VALUE"""),19.0)</f>
        <v>19</v>
      </c>
      <c r="P310" s="96">
        <f>IFERROR(__xludf.DUMMYFUNCTION("""COMPUTED_VALUE"""),53.0)</f>
        <v>53</v>
      </c>
      <c r="Q310" s="129">
        <f>IFERROR(__xludf.DUMMYFUNCTION("""COMPUTED_VALUE"""),1250.0)</f>
        <v>1250</v>
      </c>
      <c r="R310" s="99">
        <f>IFERROR(__xludf.DUMMYFUNCTION("""COMPUTED_VALUE"""),1150000.0)</f>
        <v>1150000</v>
      </c>
    </row>
    <row r="311">
      <c r="A311" s="96">
        <f>IFERROR(__xludf.DUMMYFUNCTION("""COMPUTED_VALUE"""),20.0)</f>
        <v>20</v>
      </c>
      <c r="B311" s="98">
        <f>IFERROR(__xludf.DUMMYFUNCTION("""COMPUTED_VALUE"""),44072.0)</f>
        <v>44072</v>
      </c>
      <c r="C311" s="96" t="str">
        <f>IFERROR(__xludf.DUMMYFUNCTION("""COMPUTED_VALUE"""),"RECTOR W.")</f>
        <v>RECTOR W.</v>
      </c>
      <c r="D311" s="96" t="str">
        <f>IFERROR(__xludf.DUMMYFUNCTION("""COMPUTED_VALUE"""),"RECTOR W.20")</f>
        <v>RECTOR W.20</v>
      </c>
      <c r="E311" s="96">
        <f>IFERROR(__xludf.DUMMYFUNCTION("""COMPUTED_VALUE"""),3885.0)</f>
        <v>3885</v>
      </c>
      <c r="F311" s="96">
        <f>IFERROR(__xludf.DUMMYFUNCTION("""COMPUTED_VALUE"""),749.5)</f>
        <v>749.5</v>
      </c>
      <c r="G311" s="96"/>
      <c r="H311" s="96">
        <f>IFERROR(__xludf.DUMMYFUNCTION("""COMPUTED_VALUE"""),60.0)</f>
        <v>60</v>
      </c>
      <c r="I311" s="96"/>
      <c r="J311" s="96">
        <f>IFERROR(__xludf.DUMMYFUNCTION("""COMPUTED_VALUE"""),840.0)</f>
        <v>840</v>
      </c>
      <c r="K311" s="96"/>
      <c r="L311" s="99">
        <f>IFERROR(__xludf.DUMMYFUNCTION("""COMPUTED_VALUE"""),-3068520.0)</f>
        <v>-3068520</v>
      </c>
      <c r="M311" s="96">
        <f>IFERROR(__xludf.DUMMYFUNCTION("""COMPUTED_VALUE"""),12.49)</f>
        <v>12.49</v>
      </c>
      <c r="N311" s="96">
        <f>IFERROR(__xludf.DUMMYFUNCTION("""COMPUTED_VALUE"""),172.0)</f>
        <v>172</v>
      </c>
      <c r="O311" s="96">
        <f>IFERROR(__xludf.DUMMYFUNCTION("""COMPUTED_VALUE"""),57.0)</f>
        <v>57</v>
      </c>
      <c r="P311" s="96">
        <f>IFERROR(__xludf.DUMMYFUNCTION("""COMPUTED_VALUE"""),61.0)</f>
        <v>61</v>
      </c>
      <c r="Q311" s="129">
        <f>IFERROR(__xludf.DUMMYFUNCTION("""COMPUTED_VALUE"""),3653.0)</f>
        <v>3653</v>
      </c>
      <c r="R311" s="99">
        <f>IFERROR(__xludf.DUMMYFUNCTION("""COMPUTED_VALUE"""),3068520.0)</f>
        <v>3068520</v>
      </c>
    </row>
    <row r="312">
      <c r="A312" s="96">
        <f>IFERROR(__xludf.DUMMYFUNCTION("""COMPUTED_VALUE"""),17.0)</f>
        <v>17</v>
      </c>
      <c r="B312" s="98">
        <f>IFERROR(__xludf.DUMMYFUNCTION("""COMPUTED_VALUE"""),44074.0)</f>
        <v>44074</v>
      </c>
      <c r="C312" s="96" t="str">
        <f>IFERROR(__xludf.DUMMYFUNCTION("""COMPUTED_VALUE"""),"CONNECT")</f>
        <v>CONNECT</v>
      </c>
      <c r="D312" s="96" t="str">
        <f>IFERROR(__xludf.DUMMYFUNCTION("""COMPUTED_VALUE"""),"CONNECT17")</f>
        <v>CONNECT17</v>
      </c>
      <c r="E312" s="96">
        <f>IFERROR(__xludf.DUMMYFUNCTION("""COMPUTED_VALUE"""),2526.0)</f>
        <v>2526</v>
      </c>
      <c r="F312" s="96">
        <f>IFERROR(__xludf.DUMMYFUNCTION("""COMPUTED_VALUE"""),296.0)</f>
        <v>296</v>
      </c>
      <c r="G312" s="96"/>
      <c r="H312" s="96">
        <f>IFERROR(__xludf.DUMMYFUNCTION("""COMPUTED_VALUE"""),37.0)</f>
        <v>37</v>
      </c>
      <c r="I312" s="96"/>
      <c r="J312" s="96">
        <f>IFERROR(__xludf.DUMMYFUNCTION("""COMPUTED_VALUE"""),850.0)</f>
        <v>850</v>
      </c>
      <c r="K312" s="96"/>
      <c r="L312" s="99">
        <f>IFERROR(__xludf.DUMMYFUNCTION("""COMPUTED_VALUE"""),-2115650.0)</f>
        <v>-2115650</v>
      </c>
      <c r="M312" s="96">
        <f>IFERROR(__xludf.DUMMYFUNCTION("""COMPUTED_VALUE"""),8.0)</f>
        <v>8</v>
      </c>
      <c r="N312" s="96">
        <f>IFERROR(__xludf.DUMMYFUNCTION("""COMPUTED_VALUE"""),0.0)</f>
        <v>0</v>
      </c>
      <c r="O312" s="96">
        <f>IFERROR(__xludf.DUMMYFUNCTION("""COMPUTED_VALUE"""),39.0)</f>
        <v>39</v>
      </c>
      <c r="P312" s="96">
        <f>IFERROR(__xludf.DUMMYFUNCTION("""COMPUTED_VALUE"""),31.0)</f>
        <v>31</v>
      </c>
      <c r="Q312" s="129">
        <f>IFERROR(__xludf.DUMMYFUNCTION("""COMPUTED_VALUE"""),2489.0)</f>
        <v>2489</v>
      </c>
      <c r="R312" s="99">
        <f>IFERROR(__xludf.DUMMYFUNCTION("""COMPUTED_VALUE"""),2115650.0)</f>
        <v>2115650</v>
      </c>
    </row>
    <row r="313">
      <c r="A313" s="96">
        <f>IFERROR(__xludf.DUMMYFUNCTION("""COMPUTED_VALUE"""),20.0)</f>
        <v>20</v>
      </c>
      <c r="B313" s="98">
        <f>IFERROR(__xludf.DUMMYFUNCTION("""COMPUTED_VALUE"""),44071.0)</f>
        <v>44071</v>
      </c>
      <c r="C313" s="96" t="str">
        <f>IFERROR(__xludf.DUMMYFUNCTION("""COMPUTED_VALUE"""),"LYDIA HNSON ")</f>
        <v>LYDIA HNSON </v>
      </c>
      <c r="D313" s="96" t="str">
        <f>IFERROR(__xludf.DUMMYFUNCTION("""COMPUTED_VALUE"""),"LYDIA HNSON 20")</f>
        <v>LYDIA HNSON 20</v>
      </c>
      <c r="E313" s="96">
        <f>IFERROR(__xludf.DUMMYFUNCTION("""COMPUTED_VALUE"""),312.0)</f>
        <v>312</v>
      </c>
      <c r="F313" s="96">
        <f>IFERROR(__xludf.DUMMYFUNCTION("""COMPUTED_VALUE"""),32.0)</f>
        <v>32</v>
      </c>
      <c r="G313" s="96"/>
      <c r="H313" s="96">
        <f>IFERROR(__xludf.DUMMYFUNCTION("""COMPUTED_VALUE"""),4.0)</f>
        <v>4</v>
      </c>
      <c r="I313" s="96">
        <f>IFERROR(__xludf.DUMMYFUNCTION("""COMPUTED_VALUE"""),4.0)</f>
        <v>4</v>
      </c>
      <c r="J313" s="96">
        <f>IFERROR(__xludf.DUMMYFUNCTION("""COMPUTED_VALUE"""),870.0)</f>
        <v>870</v>
      </c>
      <c r="K313" s="96"/>
      <c r="L313" s="99">
        <f>IFERROR(__xludf.DUMMYFUNCTION("""COMPUTED_VALUE"""),-271440.0)</f>
        <v>-271440</v>
      </c>
      <c r="M313" s="96">
        <f>IFERROR(__xludf.DUMMYFUNCTION("""COMPUTED_VALUE"""),8.0)</f>
        <v>8</v>
      </c>
      <c r="N313" s="96">
        <f>IFERROR(__xludf.DUMMYFUNCTION("""COMPUTED_VALUE"""),0.0)</f>
        <v>0</v>
      </c>
      <c r="O313" s="96">
        <f>IFERROR(__xludf.DUMMYFUNCTION("""COMPUTED_VALUE"""),4.0)</f>
        <v>4</v>
      </c>
      <c r="P313" s="96">
        <f>IFERROR(__xludf.DUMMYFUNCTION("""COMPUTED_VALUE"""),60.0)</f>
        <v>60</v>
      </c>
      <c r="Q313" s="129">
        <f>IFERROR(__xludf.DUMMYFUNCTION("""COMPUTED_VALUE"""),312.0)</f>
        <v>312</v>
      </c>
      <c r="R313" s="99">
        <f>IFERROR(__xludf.DUMMYFUNCTION("""COMPUTED_VALUE"""),271440.0)</f>
        <v>271440</v>
      </c>
    </row>
    <row r="314">
      <c r="A314" s="96">
        <f>IFERROR(__xludf.DUMMYFUNCTION("""COMPUTED_VALUE"""),11.0)</f>
        <v>11</v>
      </c>
      <c r="B314" s="98">
        <f>IFERROR(__xludf.DUMMYFUNCTION("""COMPUTED_VALUE"""),44082.0)</f>
        <v>44082</v>
      </c>
      <c r="C314" s="96" t="str">
        <f>IFERROR(__xludf.DUMMYFUNCTION("""COMPUTED_VALUE"""),"EDWARD OKO")</f>
        <v>EDWARD OKO</v>
      </c>
      <c r="D314" s="96" t="str">
        <f>IFERROR(__xludf.DUMMYFUNCTION("""COMPUTED_VALUE"""),"EDWARD OKO11")</f>
        <v>EDWARD OKO11</v>
      </c>
      <c r="E314" s="96">
        <f>IFERROR(__xludf.DUMMYFUNCTION("""COMPUTED_VALUE"""),5590.0)</f>
        <v>5590</v>
      </c>
      <c r="F314" s="96">
        <f>IFERROR(__xludf.DUMMYFUNCTION("""COMPUTED_VALUE"""),742.0)</f>
        <v>742</v>
      </c>
      <c r="G314" s="96"/>
      <c r="H314" s="96">
        <f>IFERROR(__xludf.DUMMYFUNCTION("""COMPUTED_VALUE"""),85.0)</f>
        <v>85</v>
      </c>
      <c r="I314" s="96"/>
      <c r="J314" s="96">
        <f>IFERROR(__xludf.DUMMYFUNCTION("""COMPUTED_VALUE"""),880.0)</f>
        <v>880</v>
      </c>
      <c r="K314" s="96"/>
      <c r="L314" s="99">
        <f>IFERROR(__xludf.DUMMYFUNCTION("""COMPUTED_VALUE"""),-4809200.0)</f>
        <v>-4809200</v>
      </c>
      <c r="M314" s="96">
        <f>IFERROR(__xludf.DUMMYFUNCTION("""COMPUTED_VALUE"""),8.73)</f>
        <v>8.73</v>
      </c>
      <c r="N314" s="96">
        <f>IFERROR(__xludf.DUMMYFUNCTION("""COMPUTED_VALUE"""),40.0)</f>
        <v>40</v>
      </c>
      <c r="O314" s="96">
        <f>IFERROR(__xludf.DUMMYFUNCTION("""COMPUTED_VALUE"""),86.0)</f>
        <v>86</v>
      </c>
      <c r="P314" s="96">
        <f>IFERROR(__xludf.DUMMYFUNCTION("""COMPUTED_VALUE"""),47.0)</f>
        <v>47</v>
      </c>
      <c r="Q314" s="129">
        <f>IFERROR(__xludf.DUMMYFUNCTION("""COMPUTED_VALUE"""),5465.0)</f>
        <v>5465</v>
      </c>
      <c r="R314" s="99">
        <f>IFERROR(__xludf.DUMMYFUNCTION("""COMPUTED_VALUE"""),4809200.0)</f>
        <v>4809200</v>
      </c>
    </row>
    <row r="315">
      <c r="A315" s="96">
        <f>IFERROR(__xludf.DUMMYFUNCTION("""COMPUTED_VALUE"""),9.0)</f>
        <v>9</v>
      </c>
      <c r="B315" s="98">
        <f>IFERROR(__xludf.DUMMYFUNCTION("""COMPUTED_VALUE"""),44083.0)</f>
        <v>44083</v>
      </c>
      <c r="C315" s="96" t="str">
        <f>IFERROR(__xludf.DUMMYFUNCTION("""COMPUTED_VALUE"""),"ANDRDEW GREAT")</f>
        <v>ANDRDEW GREAT</v>
      </c>
      <c r="D315" s="96" t="str">
        <f>IFERROR(__xludf.DUMMYFUNCTION("""COMPUTED_VALUE"""),"ANDRDEW GREAT9")</f>
        <v>ANDRDEW GREAT9</v>
      </c>
      <c r="E315" s="96"/>
      <c r="F315" s="96"/>
      <c r="G315" s="96"/>
      <c r="H315" s="96"/>
      <c r="I315" s="96"/>
      <c r="J315" s="96"/>
      <c r="K315" s="96">
        <f>IFERROR(__xludf.DUMMYFUNCTION("""COMPUTED_VALUE"""),700000.0)</f>
        <v>700000</v>
      </c>
      <c r="L315" s="99">
        <f>IFERROR(__xludf.DUMMYFUNCTION("""COMPUTED_VALUE"""),700000.0)</f>
        <v>700000</v>
      </c>
      <c r="M315" s="96"/>
      <c r="N315" s="96">
        <f>IFERROR(__xludf.DUMMYFUNCTION("""COMPUTED_VALUE"""),0.0)</f>
        <v>0</v>
      </c>
      <c r="O315" s="96">
        <f>IFERROR(__xludf.DUMMYFUNCTION("""COMPUTED_VALUE"""),0.0)</f>
        <v>0</v>
      </c>
      <c r="P315" s="96">
        <f>IFERROR(__xludf.DUMMYFUNCTION("""COMPUTED_VALUE"""),0.0)</f>
        <v>0</v>
      </c>
      <c r="Q315" s="129">
        <f>IFERROR(__xludf.DUMMYFUNCTION("""COMPUTED_VALUE"""),0.0)</f>
        <v>0</v>
      </c>
      <c r="R315" s="99"/>
    </row>
    <row r="316">
      <c r="A316" s="96">
        <f>IFERROR(__xludf.DUMMYFUNCTION("""COMPUTED_VALUE"""),3.0)</f>
        <v>3</v>
      </c>
      <c r="B316" s="98">
        <f>IFERROR(__xludf.DUMMYFUNCTION("""COMPUTED_VALUE"""),44083.0)</f>
        <v>44083</v>
      </c>
      <c r="C316" s="96" t="str">
        <f>IFERROR(__xludf.DUMMYFUNCTION("""COMPUTED_VALUE"""),"REIMON ALABA")</f>
        <v>REIMON ALABA</v>
      </c>
      <c r="D316" s="96" t="str">
        <f>IFERROR(__xludf.DUMMYFUNCTION("""COMPUTED_VALUE"""),"REIMON ALABA3")</f>
        <v>REIMON ALABA3</v>
      </c>
      <c r="E316" s="96"/>
      <c r="F316" s="96"/>
      <c r="G316" s="96"/>
      <c r="H316" s="96"/>
      <c r="I316" s="96"/>
      <c r="J316" s="96"/>
      <c r="K316" s="96">
        <f>IFERROR(__xludf.DUMMYFUNCTION("""COMPUTED_VALUE"""),20000.0)</f>
        <v>20000</v>
      </c>
      <c r="L316" s="99">
        <f>IFERROR(__xludf.DUMMYFUNCTION("""COMPUTED_VALUE"""),20000.0)</f>
        <v>20000</v>
      </c>
      <c r="M316" s="96"/>
      <c r="N316" s="96">
        <f>IFERROR(__xludf.DUMMYFUNCTION("""COMPUTED_VALUE"""),0.0)</f>
        <v>0</v>
      </c>
      <c r="O316" s="96">
        <f>IFERROR(__xludf.DUMMYFUNCTION("""COMPUTED_VALUE"""),0.0)</f>
        <v>0</v>
      </c>
      <c r="P316" s="96">
        <f>IFERROR(__xludf.DUMMYFUNCTION("""COMPUTED_VALUE"""),0.0)</f>
        <v>0</v>
      </c>
      <c r="Q316" s="129">
        <f>IFERROR(__xludf.DUMMYFUNCTION("""COMPUTED_VALUE"""),0.0)</f>
        <v>0</v>
      </c>
      <c r="R316" s="99"/>
    </row>
    <row r="317">
      <c r="A317" s="96">
        <f>IFERROR(__xludf.DUMMYFUNCTION("""COMPUTED_VALUE"""),4.0)</f>
        <v>4</v>
      </c>
      <c r="B317" s="98">
        <f>IFERROR(__xludf.DUMMYFUNCTION("""COMPUTED_VALUE"""),44083.0)</f>
        <v>44083</v>
      </c>
      <c r="C317" s="96" t="str">
        <f>IFERROR(__xludf.DUMMYFUNCTION("""COMPUTED_VALUE"""),"NDOMA NDOMA")</f>
        <v>NDOMA NDOMA</v>
      </c>
      <c r="D317" s="96" t="str">
        <f>IFERROR(__xludf.DUMMYFUNCTION("""COMPUTED_VALUE"""),"NDOMA NDOMA4")</f>
        <v>NDOMA NDOMA4</v>
      </c>
      <c r="E317" s="96"/>
      <c r="F317" s="96"/>
      <c r="G317" s="96"/>
      <c r="H317" s="96"/>
      <c r="I317" s="96"/>
      <c r="J317" s="96"/>
      <c r="K317" s="96">
        <f>IFERROR(__xludf.DUMMYFUNCTION("""COMPUTED_VALUE"""),1140000.0)</f>
        <v>1140000</v>
      </c>
      <c r="L317" s="99">
        <f>IFERROR(__xludf.DUMMYFUNCTION("""COMPUTED_VALUE"""),1140000.0)</f>
        <v>1140000</v>
      </c>
      <c r="M317" s="96"/>
      <c r="N317" s="96">
        <f>IFERROR(__xludf.DUMMYFUNCTION("""COMPUTED_VALUE"""),0.0)</f>
        <v>0</v>
      </c>
      <c r="O317" s="96">
        <f>IFERROR(__xludf.DUMMYFUNCTION("""COMPUTED_VALUE"""),0.0)</f>
        <v>0</v>
      </c>
      <c r="P317" s="96">
        <f>IFERROR(__xludf.DUMMYFUNCTION("""COMPUTED_VALUE"""),0.0)</f>
        <v>0</v>
      </c>
      <c r="Q317" s="129">
        <f>IFERROR(__xludf.DUMMYFUNCTION("""COMPUTED_VALUE"""),0.0)</f>
        <v>0</v>
      </c>
      <c r="R317" s="99"/>
    </row>
    <row r="318">
      <c r="A318" s="96">
        <f>IFERROR(__xludf.DUMMYFUNCTION("""COMPUTED_VALUE"""),3.0)</f>
        <v>3</v>
      </c>
      <c r="B318" s="98">
        <f>IFERROR(__xludf.DUMMYFUNCTION("""COMPUTED_VALUE"""),44083.0)</f>
        <v>44083</v>
      </c>
      <c r="C318" s="96" t="str">
        <f>IFERROR(__xludf.DUMMYFUNCTION("""COMPUTED_VALUE"""),"CONFIDENCE")</f>
        <v>CONFIDENCE</v>
      </c>
      <c r="D318" s="96" t="str">
        <f>IFERROR(__xludf.DUMMYFUNCTION("""COMPUTED_VALUE"""),"CONFIDENCE3")</f>
        <v>CONFIDENCE3</v>
      </c>
      <c r="E318" s="96"/>
      <c r="F318" s="96"/>
      <c r="G318" s="96"/>
      <c r="H318" s="96"/>
      <c r="I318" s="96"/>
      <c r="J318" s="96"/>
      <c r="K318" s="96">
        <f>IFERROR(__xludf.DUMMYFUNCTION("""COMPUTED_VALUE"""),500.0)</f>
        <v>500</v>
      </c>
      <c r="L318" s="99">
        <f>IFERROR(__xludf.DUMMYFUNCTION("""COMPUTED_VALUE"""),500.0)</f>
        <v>500</v>
      </c>
      <c r="M318" s="96"/>
      <c r="N318" s="96">
        <f>IFERROR(__xludf.DUMMYFUNCTION("""COMPUTED_VALUE"""),0.0)</f>
        <v>0</v>
      </c>
      <c r="O318" s="96">
        <f>IFERROR(__xludf.DUMMYFUNCTION("""COMPUTED_VALUE"""),0.0)</f>
        <v>0</v>
      </c>
      <c r="P318" s="96">
        <f>IFERROR(__xludf.DUMMYFUNCTION("""COMPUTED_VALUE"""),0.0)</f>
        <v>0</v>
      </c>
      <c r="Q318" s="129">
        <f>IFERROR(__xludf.DUMMYFUNCTION("""COMPUTED_VALUE"""),0.0)</f>
        <v>0</v>
      </c>
      <c r="R318" s="99"/>
    </row>
    <row r="319">
      <c r="A319" s="96">
        <f>IFERROR(__xludf.DUMMYFUNCTION("""COMPUTED_VALUE"""),8.0)</f>
        <v>8</v>
      </c>
      <c r="B319" s="98">
        <f>IFERROR(__xludf.DUMMYFUNCTION("""COMPUTED_VALUE"""),44084.0)</f>
        <v>44084</v>
      </c>
      <c r="C319" s="96" t="str">
        <f>IFERROR(__xludf.DUMMYFUNCTION("""COMPUTED_VALUE"""),"NDOMA PETER")</f>
        <v>NDOMA PETER</v>
      </c>
      <c r="D319" s="96" t="str">
        <f>IFERROR(__xludf.DUMMYFUNCTION("""COMPUTED_VALUE"""),"NDOMA PETER8")</f>
        <v>NDOMA PETER8</v>
      </c>
      <c r="E319" s="96"/>
      <c r="F319" s="96"/>
      <c r="G319" s="96"/>
      <c r="H319" s="96"/>
      <c r="I319" s="96"/>
      <c r="J319" s="96"/>
      <c r="K319" s="96">
        <f>IFERROR(__xludf.DUMMYFUNCTION("""COMPUTED_VALUE"""),200000.0)</f>
        <v>200000</v>
      </c>
      <c r="L319" s="99">
        <f>IFERROR(__xludf.DUMMYFUNCTION("""COMPUTED_VALUE"""),200000.0)</f>
        <v>200000</v>
      </c>
      <c r="M319" s="96"/>
      <c r="N319" s="96">
        <f>IFERROR(__xludf.DUMMYFUNCTION("""COMPUTED_VALUE"""),0.0)</f>
        <v>0</v>
      </c>
      <c r="O319" s="96">
        <f>IFERROR(__xludf.DUMMYFUNCTION("""COMPUTED_VALUE"""),0.0)</f>
        <v>0</v>
      </c>
      <c r="P319" s="96">
        <f>IFERROR(__xludf.DUMMYFUNCTION("""COMPUTED_VALUE"""),0.0)</f>
        <v>0</v>
      </c>
      <c r="Q319" s="129">
        <f>IFERROR(__xludf.DUMMYFUNCTION("""COMPUTED_VALUE"""),0.0)</f>
        <v>0</v>
      </c>
      <c r="R319" s="99"/>
    </row>
    <row r="320">
      <c r="A320" s="96">
        <f>IFERROR(__xludf.DUMMYFUNCTION("""COMPUTED_VALUE"""),4.0)</f>
        <v>4</v>
      </c>
      <c r="B320" s="98">
        <f>IFERROR(__xludf.DUMMYFUNCTION("""COMPUTED_VALUE"""),44084.0)</f>
        <v>44084</v>
      </c>
      <c r="C320" s="96" t="str">
        <f>IFERROR(__xludf.DUMMYFUNCTION("""COMPUTED_VALUE"""),"CONFIDENCE")</f>
        <v>CONFIDENCE</v>
      </c>
      <c r="D320" s="96" t="str">
        <f>IFERROR(__xludf.DUMMYFUNCTION("""COMPUTED_VALUE"""),"CONFIDENCE4")</f>
        <v>CONFIDENCE4</v>
      </c>
      <c r="E320" s="96"/>
      <c r="F320" s="96"/>
      <c r="G320" s="96"/>
      <c r="H320" s="96"/>
      <c r="I320" s="96"/>
      <c r="J320" s="96"/>
      <c r="K320" s="96">
        <f>IFERROR(__xludf.DUMMYFUNCTION("""COMPUTED_VALUE"""),49500.0)</f>
        <v>49500</v>
      </c>
      <c r="L320" s="99">
        <f>IFERROR(__xludf.DUMMYFUNCTION("""COMPUTED_VALUE"""),49500.0)</f>
        <v>49500</v>
      </c>
      <c r="M320" s="96"/>
      <c r="N320" s="96">
        <f>IFERROR(__xludf.DUMMYFUNCTION("""COMPUTED_VALUE"""),0.0)</f>
        <v>0</v>
      </c>
      <c r="O320" s="96">
        <f>IFERROR(__xludf.DUMMYFUNCTION("""COMPUTED_VALUE"""),0.0)</f>
        <v>0</v>
      </c>
      <c r="P320" s="96">
        <f>IFERROR(__xludf.DUMMYFUNCTION("""COMPUTED_VALUE"""),0.0)</f>
        <v>0</v>
      </c>
      <c r="Q320" s="129">
        <f>IFERROR(__xludf.DUMMYFUNCTION("""COMPUTED_VALUE"""),0.0)</f>
        <v>0</v>
      </c>
      <c r="R320" s="99"/>
    </row>
    <row r="321">
      <c r="A321" s="96">
        <f>IFERROR(__xludf.DUMMYFUNCTION("""COMPUTED_VALUE"""),1.0)</f>
        <v>1</v>
      </c>
      <c r="B321" s="98">
        <f>IFERROR(__xludf.DUMMYFUNCTION("""COMPUTED_VALUE"""),44084.0)</f>
        <v>44084</v>
      </c>
      <c r="C321" s="96" t="str">
        <f>IFERROR(__xludf.DUMMYFUNCTION("""COMPUTED_VALUE"""),"ABANGS. HNSON")</f>
        <v>ABANGS. HNSON</v>
      </c>
      <c r="D321" s="96" t="str">
        <f>IFERROR(__xludf.DUMMYFUNCTION("""COMPUTED_VALUE"""),"ABANGS. HNSON1")</f>
        <v>ABANGS. HNSON1</v>
      </c>
      <c r="E321" s="96"/>
      <c r="F321" s="96"/>
      <c r="G321" s="96"/>
      <c r="H321" s="96"/>
      <c r="I321" s="96"/>
      <c r="J321" s="96"/>
      <c r="K321" s="96">
        <f>IFERROR(__xludf.DUMMYFUNCTION("""COMPUTED_VALUE"""),74000.0)</f>
        <v>74000</v>
      </c>
      <c r="L321" s="99">
        <f>IFERROR(__xludf.DUMMYFUNCTION("""COMPUTED_VALUE"""),74000.0)</f>
        <v>74000</v>
      </c>
      <c r="M321" s="96"/>
      <c r="N321" s="96">
        <f>IFERROR(__xludf.DUMMYFUNCTION("""COMPUTED_VALUE"""),0.0)</f>
        <v>0</v>
      </c>
      <c r="O321" s="96">
        <f>IFERROR(__xludf.DUMMYFUNCTION("""COMPUTED_VALUE"""),0.0)</f>
        <v>0</v>
      </c>
      <c r="P321" s="96">
        <f>IFERROR(__xludf.DUMMYFUNCTION("""COMPUTED_VALUE"""),0.0)</f>
        <v>0</v>
      </c>
      <c r="Q321" s="129">
        <f>IFERROR(__xludf.DUMMYFUNCTION("""COMPUTED_VALUE"""),0.0)</f>
        <v>0</v>
      </c>
      <c r="R321" s="99"/>
    </row>
    <row r="322">
      <c r="A322" s="96">
        <f>IFERROR(__xludf.DUMMYFUNCTION("""COMPUTED_VALUE"""),2.0)</f>
        <v>2</v>
      </c>
      <c r="B322" s="98">
        <f>IFERROR(__xludf.DUMMYFUNCTION("""COMPUTED_VALUE"""),44085.0)</f>
        <v>44085</v>
      </c>
      <c r="C322" s="96" t="str">
        <f>IFERROR(__xludf.DUMMYFUNCTION("""COMPUTED_VALUE"""),"ABANG. BEN OLUM")</f>
        <v>ABANG. BEN OLUM</v>
      </c>
      <c r="D322" s="96" t="str">
        <f>IFERROR(__xludf.DUMMYFUNCTION("""COMPUTED_VALUE"""),"ABANG. BEN OLUM2")</f>
        <v>ABANG. BEN OLUM2</v>
      </c>
      <c r="E322" s="96"/>
      <c r="F322" s="96"/>
      <c r="G322" s="96"/>
      <c r="H322" s="96"/>
      <c r="I322" s="96"/>
      <c r="J322" s="96"/>
      <c r="K322" s="96"/>
      <c r="L322" s="99">
        <f>IFERROR(__xludf.DUMMYFUNCTION("""COMPUTED_VALUE"""),-920000.0)</f>
        <v>-920000</v>
      </c>
      <c r="M322" s="96"/>
      <c r="N322" s="96">
        <f>IFERROR(__xludf.DUMMYFUNCTION("""COMPUTED_VALUE"""),0.0)</f>
        <v>0</v>
      </c>
      <c r="O322" s="96">
        <f>IFERROR(__xludf.DUMMYFUNCTION("""COMPUTED_VALUE"""),0.0)</f>
        <v>0</v>
      </c>
      <c r="P322" s="96">
        <f>IFERROR(__xludf.DUMMYFUNCTION("""COMPUTED_VALUE"""),0.0)</f>
        <v>0</v>
      </c>
      <c r="Q322" s="129">
        <f>IFERROR(__xludf.DUMMYFUNCTION("""COMPUTED_VALUE"""),0.0)</f>
        <v>0</v>
      </c>
      <c r="R322" s="99">
        <f>IFERROR(__xludf.DUMMYFUNCTION("""COMPUTED_VALUE"""),920000.0)</f>
        <v>920000</v>
      </c>
    </row>
    <row r="323">
      <c r="A323" s="96">
        <f>IFERROR(__xludf.DUMMYFUNCTION("""COMPUTED_VALUE"""),2.0)</f>
        <v>2</v>
      </c>
      <c r="B323" s="98">
        <f>IFERROR(__xludf.DUMMYFUNCTION("""COMPUTED_VALUE"""),44085.0)</f>
        <v>44085</v>
      </c>
      <c r="C323" s="96" t="str">
        <f>IFERROR(__xludf.DUMMYFUNCTION("""COMPUTED_VALUE"""),"ABANG. EDET")</f>
        <v>ABANG. EDET</v>
      </c>
      <c r="D323" s="96" t="str">
        <f>IFERROR(__xludf.DUMMYFUNCTION("""COMPUTED_VALUE"""),"ABANG. EDET2")</f>
        <v>ABANG. EDET2</v>
      </c>
      <c r="E323" s="96"/>
      <c r="F323" s="96"/>
      <c r="G323" s="96"/>
      <c r="H323" s="96"/>
      <c r="I323" s="96"/>
      <c r="J323" s="96"/>
      <c r="K323" s="96"/>
      <c r="L323" s="99">
        <f>IFERROR(__xludf.DUMMYFUNCTION("""COMPUTED_VALUE"""),-1000.0)</f>
        <v>-1000</v>
      </c>
      <c r="M323" s="96"/>
      <c r="N323" s="96">
        <f>IFERROR(__xludf.DUMMYFUNCTION("""COMPUTED_VALUE"""),0.0)</f>
        <v>0</v>
      </c>
      <c r="O323" s="96">
        <f>IFERROR(__xludf.DUMMYFUNCTION("""COMPUTED_VALUE"""),0.0)</f>
        <v>0</v>
      </c>
      <c r="P323" s="96">
        <f>IFERROR(__xludf.DUMMYFUNCTION("""COMPUTED_VALUE"""),0.0)</f>
        <v>0</v>
      </c>
      <c r="Q323" s="129">
        <f>IFERROR(__xludf.DUMMYFUNCTION("""COMPUTED_VALUE"""),0.0)</f>
        <v>0</v>
      </c>
      <c r="R323" s="99">
        <f>IFERROR(__xludf.DUMMYFUNCTION("""COMPUTED_VALUE"""),1000.0)</f>
        <v>1000</v>
      </c>
    </row>
    <row r="324">
      <c r="A324" s="96">
        <f>IFERROR(__xludf.DUMMYFUNCTION("""COMPUTED_VALUE"""),2.0)</f>
        <v>2</v>
      </c>
      <c r="B324" s="98">
        <f>IFERROR(__xludf.DUMMYFUNCTION("""COMPUTED_VALUE"""),44085.0)</f>
        <v>44085</v>
      </c>
      <c r="C324" s="96" t="str">
        <f>IFERROR(__xludf.DUMMYFUNCTION("""COMPUTED_VALUE"""),"ABANG. DUNLOP")</f>
        <v>ABANG. DUNLOP</v>
      </c>
      <c r="D324" s="96" t="str">
        <f>IFERROR(__xludf.DUMMYFUNCTION("""COMPUTED_VALUE"""),"ABANG. DUNLOP2")</f>
        <v>ABANG. DUNLOP2</v>
      </c>
      <c r="E324" s="96"/>
      <c r="F324" s="96"/>
      <c r="G324" s="96"/>
      <c r="H324" s="96"/>
      <c r="I324" s="96"/>
      <c r="J324" s="96"/>
      <c r="K324" s="96"/>
      <c r="L324" s="99">
        <f>IFERROR(__xludf.DUMMYFUNCTION("""COMPUTED_VALUE"""),-800000.0)</f>
        <v>-800000</v>
      </c>
      <c r="M324" s="96"/>
      <c r="N324" s="96">
        <f>IFERROR(__xludf.DUMMYFUNCTION("""COMPUTED_VALUE"""),0.0)</f>
        <v>0</v>
      </c>
      <c r="O324" s="96">
        <f>IFERROR(__xludf.DUMMYFUNCTION("""COMPUTED_VALUE"""),0.0)</f>
        <v>0</v>
      </c>
      <c r="P324" s="96">
        <f>IFERROR(__xludf.DUMMYFUNCTION("""COMPUTED_VALUE"""),0.0)</f>
        <v>0</v>
      </c>
      <c r="Q324" s="129">
        <f>IFERROR(__xludf.DUMMYFUNCTION("""COMPUTED_VALUE"""),0.0)</f>
        <v>0</v>
      </c>
      <c r="R324" s="99">
        <f>IFERROR(__xludf.DUMMYFUNCTION("""COMPUTED_VALUE"""),800000.0)</f>
        <v>800000</v>
      </c>
    </row>
    <row r="325">
      <c r="A325" s="96">
        <f>IFERROR(__xludf.DUMMYFUNCTION("""COMPUTED_VALUE"""),4.0)</f>
        <v>4</v>
      </c>
      <c r="B325" s="98">
        <f>IFERROR(__xludf.DUMMYFUNCTION("""COMPUTED_VALUE"""),44085.0)</f>
        <v>44085</v>
      </c>
      <c r="C325" s="96" t="str">
        <f>IFERROR(__xludf.DUMMYFUNCTION("""COMPUTED_VALUE"""),"OBIM TIWA HNSON")</f>
        <v>OBIM TIWA HNSON</v>
      </c>
      <c r="D325" s="96" t="str">
        <f>IFERROR(__xludf.DUMMYFUNCTION("""COMPUTED_VALUE"""),"OBIM TIWA HNSON4")</f>
        <v>OBIM TIWA HNSON4</v>
      </c>
      <c r="E325" s="96"/>
      <c r="F325" s="96"/>
      <c r="G325" s="96"/>
      <c r="H325" s="96"/>
      <c r="I325" s="96"/>
      <c r="J325" s="96"/>
      <c r="K325" s="96"/>
      <c r="L325" s="99">
        <f>IFERROR(__xludf.DUMMYFUNCTION("""COMPUTED_VALUE"""),-610000.0)</f>
        <v>-610000</v>
      </c>
      <c r="M325" s="96"/>
      <c r="N325" s="96">
        <f>IFERROR(__xludf.DUMMYFUNCTION("""COMPUTED_VALUE"""),0.0)</f>
        <v>0</v>
      </c>
      <c r="O325" s="96">
        <f>IFERROR(__xludf.DUMMYFUNCTION("""COMPUTED_VALUE"""),0.0)</f>
        <v>0</v>
      </c>
      <c r="P325" s="96">
        <f>IFERROR(__xludf.DUMMYFUNCTION("""COMPUTED_VALUE"""),0.0)</f>
        <v>0</v>
      </c>
      <c r="Q325" s="129">
        <f>IFERROR(__xludf.DUMMYFUNCTION("""COMPUTED_VALUE"""),0.0)</f>
        <v>0</v>
      </c>
      <c r="R325" s="99">
        <f>IFERROR(__xludf.DUMMYFUNCTION("""COMPUTED_VALUE"""),610000.0)</f>
        <v>610000</v>
      </c>
    </row>
    <row r="326">
      <c r="A326" s="96">
        <f>IFERROR(__xludf.DUMMYFUNCTION("""COMPUTED_VALUE"""),3.0)</f>
        <v>3</v>
      </c>
      <c r="B326" s="98">
        <f>IFERROR(__xludf.DUMMYFUNCTION("""COMPUTED_VALUE"""),44085.0)</f>
        <v>44085</v>
      </c>
      <c r="C326" s="96" t="str">
        <f>IFERROR(__xludf.DUMMYFUNCTION("""COMPUTED_VALUE"""),"RI SAMP")</f>
        <v>RI SAMP</v>
      </c>
      <c r="D326" s="96" t="str">
        <f>IFERROR(__xludf.DUMMYFUNCTION("""COMPUTED_VALUE"""),"RI SAMP3")</f>
        <v>RI SAMP3</v>
      </c>
      <c r="E326" s="96"/>
      <c r="F326" s="96"/>
      <c r="G326" s="96"/>
      <c r="H326" s="96"/>
      <c r="I326" s="96"/>
      <c r="J326" s="96"/>
      <c r="K326" s="96"/>
      <c r="L326" s="99">
        <f>IFERROR(__xludf.DUMMYFUNCTION("""COMPUTED_VALUE"""),-429600.0)</f>
        <v>-429600</v>
      </c>
      <c r="M326" s="96"/>
      <c r="N326" s="96">
        <f>IFERROR(__xludf.DUMMYFUNCTION("""COMPUTED_VALUE"""),0.0)</f>
        <v>0</v>
      </c>
      <c r="O326" s="96">
        <f>IFERROR(__xludf.DUMMYFUNCTION("""COMPUTED_VALUE"""),0.0)</f>
        <v>0</v>
      </c>
      <c r="P326" s="96">
        <f>IFERROR(__xludf.DUMMYFUNCTION("""COMPUTED_VALUE"""),0.0)</f>
        <v>0</v>
      </c>
      <c r="Q326" s="129">
        <f>IFERROR(__xludf.DUMMYFUNCTION("""COMPUTED_VALUE"""),0.0)</f>
        <v>0</v>
      </c>
      <c r="R326" s="99">
        <f>IFERROR(__xludf.DUMMYFUNCTION("""COMPUTED_VALUE"""),429600.0)</f>
        <v>429600</v>
      </c>
    </row>
    <row r="327">
      <c r="A327" s="96">
        <f>IFERROR(__xludf.DUMMYFUNCTION("""COMPUTED_VALUE"""),7.0)</f>
        <v>7</v>
      </c>
      <c r="B327" s="98">
        <f>IFERROR(__xludf.DUMMYFUNCTION("""COMPUTED_VALUE"""),44085.0)</f>
        <v>44085</v>
      </c>
      <c r="C327" s="96" t="str">
        <f>IFERROR(__xludf.DUMMYFUNCTION("""COMPUTED_VALUE"""),"REMMY BODES")</f>
        <v>REMMY BODES</v>
      </c>
      <c r="D327" s="96" t="str">
        <f>IFERROR(__xludf.DUMMYFUNCTION("""COMPUTED_VALUE"""),"REMMY BODES7")</f>
        <v>REMMY BODES7</v>
      </c>
      <c r="E327" s="96"/>
      <c r="F327" s="96"/>
      <c r="G327" s="96"/>
      <c r="H327" s="96"/>
      <c r="I327" s="96"/>
      <c r="J327" s="96"/>
      <c r="K327" s="96"/>
      <c r="L327" s="99">
        <f>IFERROR(__xludf.DUMMYFUNCTION("""COMPUTED_VALUE"""),-801060.0)</f>
        <v>-801060</v>
      </c>
      <c r="M327" s="96"/>
      <c r="N327" s="96">
        <f>IFERROR(__xludf.DUMMYFUNCTION("""COMPUTED_VALUE"""),0.0)</f>
        <v>0</v>
      </c>
      <c r="O327" s="96">
        <f>IFERROR(__xludf.DUMMYFUNCTION("""COMPUTED_VALUE"""),0.0)</f>
        <v>0</v>
      </c>
      <c r="P327" s="96">
        <f>IFERROR(__xludf.DUMMYFUNCTION("""COMPUTED_VALUE"""),0.0)</f>
        <v>0</v>
      </c>
      <c r="Q327" s="129">
        <f>IFERROR(__xludf.DUMMYFUNCTION("""COMPUTED_VALUE"""),0.0)</f>
        <v>0</v>
      </c>
      <c r="R327" s="99">
        <f>IFERROR(__xludf.DUMMYFUNCTION("""COMPUTED_VALUE"""),801060.0)</f>
        <v>801060</v>
      </c>
    </row>
    <row r="328">
      <c r="A328" s="96">
        <f>IFERROR(__xludf.DUMMYFUNCTION("""COMPUTED_VALUE"""),10.0)</f>
        <v>10</v>
      </c>
      <c r="B328" s="98">
        <f>IFERROR(__xludf.DUMMYFUNCTION("""COMPUTED_VALUE"""),44085.0)</f>
        <v>44085</v>
      </c>
      <c r="C328" s="96" t="str">
        <f>IFERROR(__xludf.DUMMYFUNCTION("""COMPUTED_VALUE"""),"ALFRED ALABI")</f>
        <v>ALFRED ALABI</v>
      </c>
      <c r="D328" s="96" t="str">
        <f>IFERROR(__xludf.DUMMYFUNCTION("""COMPUTED_VALUE"""),"ALFRED ALABI10")</f>
        <v>ALFRED ALABI10</v>
      </c>
      <c r="E328" s="96"/>
      <c r="F328" s="96"/>
      <c r="G328" s="96"/>
      <c r="H328" s="96"/>
      <c r="I328" s="96"/>
      <c r="J328" s="96"/>
      <c r="K328" s="96"/>
      <c r="L328" s="99">
        <f>IFERROR(__xludf.DUMMYFUNCTION("""COMPUTED_VALUE"""),-463000.0)</f>
        <v>-463000</v>
      </c>
      <c r="M328" s="96"/>
      <c r="N328" s="96">
        <f>IFERROR(__xludf.DUMMYFUNCTION("""COMPUTED_VALUE"""),0.0)</f>
        <v>0</v>
      </c>
      <c r="O328" s="96">
        <f>IFERROR(__xludf.DUMMYFUNCTION("""COMPUTED_VALUE"""),0.0)</f>
        <v>0</v>
      </c>
      <c r="P328" s="96">
        <f>IFERROR(__xludf.DUMMYFUNCTION("""COMPUTED_VALUE"""),0.0)</f>
        <v>0</v>
      </c>
      <c r="Q328" s="129">
        <f>IFERROR(__xludf.DUMMYFUNCTION("""COMPUTED_VALUE"""),0.0)</f>
        <v>0</v>
      </c>
      <c r="R328" s="99">
        <f>IFERROR(__xludf.DUMMYFUNCTION("""COMPUTED_VALUE"""),463000.0)</f>
        <v>463000</v>
      </c>
    </row>
    <row r="329">
      <c r="A329" s="96">
        <f>IFERROR(__xludf.DUMMYFUNCTION("""COMPUTED_VALUE"""),3.0)</f>
        <v>3</v>
      </c>
      <c r="B329" s="98">
        <f>IFERROR(__xludf.DUMMYFUNCTION("""COMPUTED_VALUE"""),44085.0)</f>
        <v>44085</v>
      </c>
      <c r="C329" s="96" t="str">
        <f>IFERROR(__xludf.DUMMYFUNCTION("""COMPUTED_VALUE"""),"OMODION")</f>
        <v>OMODION</v>
      </c>
      <c r="D329" s="96" t="str">
        <f>IFERROR(__xludf.DUMMYFUNCTION("""COMPUTED_VALUE"""),"OMODION3")</f>
        <v>OMODION3</v>
      </c>
      <c r="E329" s="96"/>
      <c r="F329" s="96"/>
      <c r="G329" s="96"/>
      <c r="H329" s="96"/>
      <c r="I329" s="96"/>
      <c r="J329" s="96"/>
      <c r="K329" s="96"/>
      <c r="L329" s="99">
        <f>IFERROR(__xludf.DUMMYFUNCTION("""COMPUTED_VALUE"""),-530000.0)</f>
        <v>-530000</v>
      </c>
      <c r="M329" s="96"/>
      <c r="N329" s="96">
        <f>IFERROR(__xludf.DUMMYFUNCTION("""COMPUTED_VALUE"""),0.0)</f>
        <v>0</v>
      </c>
      <c r="O329" s="96">
        <f>IFERROR(__xludf.DUMMYFUNCTION("""COMPUTED_VALUE"""),0.0)</f>
        <v>0</v>
      </c>
      <c r="P329" s="96">
        <f>IFERROR(__xludf.DUMMYFUNCTION("""COMPUTED_VALUE"""),0.0)</f>
        <v>0</v>
      </c>
      <c r="Q329" s="129">
        <f>IFERROR(__xludf.DUMMYFUNCTION("""COMPUTED_VALUE"""),0.0)</f>
        <v>0</v>
      </c>
      <c r="R329" s="99">
        <f>IFERROR(__xludf.DUMMYFUNCTION("""COMPUTED_VALUE"""),530000.0)</f>
        <v>530000</v>
      </c>
    </row>
    <row r="330">
      <c r="A330" s="96">
        <f>IFERROR(__xludf.DUMMYFUNCTION("""COMPUTED_VALUE"""),7.0)</f>
        <v>7</v>
      </c>
      <c r="B330" s="98">
        <f>IFERROR(__xludf.DUMMYFUNCTION("""COMPUTED_VALUE"""),44085.0)</f>
        <v>44085</v>
      </c>
      <c r="C330" s="96" t="str">
        <f>IFERROR(__xludf.DUMMYFUNCTION("""COMPUTED_VALUE"""),"EMMANUEL OKO ")</f>
        <v>EMMANUEL OKO </v>
      </c>
      <c r="D330" s="96" t="str">
        <f>IFERROR(__xludf.DUMMYFUNCTION("""COMPUTED_VALUE"""),"EMMANUEL OKO 7")</f>
        <v>EMMANUEL OKO 7</v>
      </c>
      <c r="E330" s="96"/>
      <c r="F330" s="96"/>
      <c r="G330" s="96"/>
      <c r="H330" s="96"/>
      <c r="I330" s="96"/>
      <c r="J330" s="96"/>
      <c r="K330" s="96"/>
      <c r="L330" s="99">
        <f>IFERROR(__xludf.DUMMYFUNCTION("""COMPUTED_VALUE"""),-636750.0)</f>
        <v>-636750</v>
      </c>
      <c r="M330" s="96"/>
      <c r="N330" s="96">
        <f>IFERROR(__xludf.DUMMYFUNCTION("""COMPUTED_VALUE"""),0.0)</f>
        <v>0</v>
      </c>
      <c r="O330" s="96">
        <f>IFERROR(__xludf.DUMMYFUNCTION("""COMPUTED_VALUE"""),0.0)</f>
        <v>0</v>
      </c>
      <c r="P330" s="96">
        <f>IFERROR(__xludf.DUMMYFUNCTION("""COMPUTED_VALUE"""),0.0)</f>
        <v>0</v>
      </c>
      <c r="Q330" s="129">
        <f>IFERROR(__xludf.DUMMYFUNCTION("""COMPUTED_VALUE"""),0.0)</f>
        <v>0</v>
      </c>
      <c r="R330" s="99">
        <f>IFERROR(__xludf.DUMMYFUNCTION("""COMPUTED_VALUE"""),636750.0)</f>
        <v>636750</v>
      </c>
    </row>
    <row r="331">
      <c r="A331" s="96">
        <f>IFERROR(__xludf.DUMMYFUNCTION("""COMPUTED_VALUE"""),6.0)</f>
        <v>6</v>
      </c>
      <c r="B331" s="98">
        <f>IFERROR(__xludf.DUMMYFUNCTION("""COMPUTED_VALUE"""),44085.0)</f>
        <v>44085</v>
      </c>
      <c r="C331" s="96" t="str">
        <f>IFERROR(__xludf.DUMMYFUNCTION("""COMPUTED_VALUE"""),"EUGENE")</f>
        <v>EUGENE</v>
      </c>
      <c r="D331" s="96" t="str">
        <f>IFERROR(__xludf.DUMMYFUNCTION("""COMPUTED_VALUE"""),"EUGENE6")</f>
        <v>EUGENE6</v>
      </c>
      <c r="E331" s="96"/>
      <c r="F331" s="96"/>
      <c r="G331" s="96"/>
      <c r="H331" s="96"/>
      <c r="I331" s="96"/>
      <c r="J331" s="96"/>
      <c r="K331" s="96"/>
      <c r="L331" s="99">
        <f>IFERROR(__xludf.DUMMYFUNCTION("""COMPUTED_VALUE"""),-81200.0)</f>
        <v>-81200</v>
      </c>
      <c r="M331" s="96"/>
      <c r="N331" s="96">
        <f>IFERROR(__xludf.DUMMYFUNCTION("""COMPUTED_VALUE"""),0.0)</f>
        <v>0</v>
      </c>
      <c r="O331" s="96">
        <f>IFERROR(__xludf.DUMMYFUNCTION("""COMPUTED_VALUE"""),0.0)</f>
        <v>0</v>
      </c>
      <c r="P331" s="96">
        <f>IFERROR(__xludf.DUMMYFUNCTION("""COMPUTED_VALUE"""),0.0)</f>
        <v>0</v>
      </c>
      <c r="Q331" s="129">
        <f>IFERROR(__xludf.DUMMYFUNCTION("""COMPUTED_VALUE"""),0.0)</f>
        <v>0</v>
      </c>
      <c r="R331" s="99">
        <f>IFERROR(__xludf.DUMMYFUNCTION("""COMPUTED_VALUE"""),81200.0)</f>
        <v>81200</v>
      </c>
    </row>
    <row r="332">
      <c r="A332" s="96">
        <f>IFERROR(__xludf.DUMMYFUNCTION("""COMPUTED_VALUE"""),5.0)</f>
        <v>5</v>
      </c>
      <c r="B332" s="98">
        <f>IFERROR(__xludf.DUMMYFUNCTION("""COMPUTED_VALUE"""),44085.0)</f>
        <v>44085</v>
      </c>
      <c r="C332" s="96" t="str">
        <f>IFERROR(__xludf.DUMMYFUNCTION("""COMPUTED_VALUE"""),"MAXWELL AGRO OBI")</f>
        <v>MAXWELL AGRO OBI</v>
      </c>
      <c r="D332" s="96" t="str">
        <f>IFERROR(__xludf.DUMMYFUNCTION("""COMPUTED_VALUE"""),"MAXWELL AGRO OBI5")</f>
        <v>MAXWELL AGRO OBI5</v>
      </c>
      <c r="E332" s="96"/>
      <c r="F332" s="96"/>
      <c r="G332" s="96"/>
      <c r="H332" s="96"/>
      <c r="I332" s="96"/>
      <c r="J332" s="96"/>
      <c r="K332" s="96"/>
      <c r="L332" s="99">
        <f>IFERROR(__xludf.DUMMYFUNCTION("""COMPUTED_VALUE"""),-253520.0)</f>
        <v>-253520</v>
      </c>
      <c r="M332" s="96"/>
      <c r="N332" s="96">
        <f>IFERROR(__xludf.DUMMYFUNCTION("""COMPUTED_VALUE"""),0.0)</f>
        <v>0</v>
      </c>
      <c r="O332" s="96">
        <f>IFERROR(__xludf.DUMMYFUNCTION("""COMPUTED_VALUE"""),0.0)</f>
        <v>0</v>
      </c>
      <c r="P332" s="96">
        <f>IFERROR(__xludf.DUMMYFUNCTION("""COMPUTED_VALUE"""),0.0)</f>
        <v>0</v>
      </c>
      <c r="Q332" s="129">
        <f>IFERROR(__xludf.DUMMYFUNCTION("""COMPUTED_VALUE"""),0.0)</f>
        <v>0</v>
      </c>
      <c r="R332" s="99">
        <f>IFERROR(__xludf.DUMMYFUNCTION("""COMPUTED_VALUE"""),253520.0)</f>
        <v>253520</v>
      </c>
    </row>
    <row r="333">
      <c r="A333" s="96">
        <f>IFERROR(__xludf.DUMMYFUNCTION("""COMPUTED_VALUE"""),16.0)</f>
        <v>16</v>
      </c>
      <c r="B333" s="98">
        <f>IFERROR(__xludf.DUMMYFUNCTION("""COMPUTED_VALUE"""),44085.0)</f>
        <v>44085</v>
      </c>
      <c r="C333" s="96" t="str">
        <f>IFERROR(__xludf.DUMMYFUNCTION("""COMPUTED_VALUE"""),"BOSURU  BOSURU")</f>
        <v>BOSURU  BOSURU</v>
      </c>
      <c r="D333" s="96" t="str">
        <f>IFERROR(__xludf.DUMMYFUNCTION("""COMPUTED_VALUE"""),"BOSURU  BOSURU16")</f>
        <v>BOSURU  BOSURU16</v>
      </c>
      <c r="E333" s="96"/>
      <c r="F333" s="96"/>
      <c r="G333" s="96"/>
      <c r="H333" s="96"/>
      <c r="I333" s="96"/>
      <c r="J333" s="96"/>
      <c r="K333" s="96">
        <f>IFERROR(__xludf.DUMMYFUNCTION("""COMPUTED_VALUE"""),500000.0)</f>
        <v>500000</v>
      </c>
      <c r="L333" s="99">
        <f>IFERROR(__xludf.DUMMYFUNCTION("""COMPUTED_VALUE"""),500000.0)</f>
        <v>500000</v>
      </c>
      <c r="M333" s="96"/>
      <c r="N333" s="96">
        <f>IFERROR(__xludf.DUMMYFUNCTION("""COMPUTED_VALUE"""),0.0)</f>
        <v>0</v>
      </c>
      <c r="O333" s="96">
        <f>IFERROR(__xludf.DUMMYFUNCTION("""COMPUTED_VALUE"""),0.0)</f>
        <v>0</v>
      </c>
      <c r="P333" s="96">
        <f>IFERROR(__xludf.DUMMYFUNCTION("""COMPUTED_VALUE"""),0.0)</f>
        <v>0</v>
      </c>
      <c r="Q333" s="129">
        <f>IFERROR(__xludf.DUMMYFUNCTION("""COMPUTED_VALUE"""),0.0)</f>
        <v>0</v>
      </c>
      <c r="R333" s="99"/>
    </row>
    <row r="334">
      <c r="A334" s="96">
        <f>IFERROR(__xludf.DUMMYFUNCTION("""COMPUTED_VALUE"""),12.0)</f>
        <v>12</v>
      </c>
      <c r="B334" s="98">
        <f>IFERROR(__xludf.DUMMYFUNCTION("""COMPUTED_VALUE"""),44085.0)</f>
        <v>44085</v>
      </c>
      <c r="C334" s="96" t="str">
        <f>IFERROR(__xludf.DUMMYFUNCTION("""COMPUTED_VALUE""")," MAXWELL AGRO")</f>
        <v> MAXWELL AGRO</v>
      </c>
      <c r="D334" s="96" t="str">
        <f>IFERROR(__xludf.DUMMYFUNCTION("""COMPUTED_VALUE""")," MAXWELL AGRO12")</f>
        <v> MAXWELL AGRO12</v>
      </c>
      <c r="E334" s="96"/>
      <c r="F334" s="96"/>
      <c r="G334" s="96"/>
      <c r="H334" s="96"/>
      <c r="I334" s="96"/>
      <c r="J334" s="96"/>
      <c r="K334" s="96">
        <f>IFERROR(__xludf.DUMMYFUNCTION("""COMPUTED_VALUE"""),192580.0)</f>
        <v>192580</v>
      </c>
      <c r="L334" s="99">
        <f>IFERROR(__xludf.DUMMYFUNCTION("""COMPUTED_VALUE"""),192580.0)</f>
        <v>192580</v>
      </c>
      <c r="M334" s="96"/>
      <c r="N334" s="96">
        <f>IFERROR(__xludf.DUMMYFUNCTION("""COMPUTED_VALUE"""),0.0)</f>
        <v>0</v>
      </c>
      <c r="O334" s="96">
        <f>IFERROR(__xludf.DUMMYFUNCTION("""COMPUTED_VALUE"""),0.0)</f>
        <v>0</v>
      </c>
      <c r="P334" s="96">
        <f>IFERROR(__xludf.DUMMYFUNCTION("""COMPUTED_VALUE"""),0.0)</f>
        <v>0</v>
      </c>
      <c r="Q334" s="129">
        <f>IFERROR(__xludf.DUMMYFUNCTION("""COMPUTED_VALUE"""),0.0)</f>
        <v>0</v>
      </c>
      <c r="R334" s="99"/>
    </row>
    <row r="335">
      <c r="A335" s="96">
        <f>IFERROR(__xludf.DUMMYFUNCTION("""COMPUTED_VALUE"""),5.0)</f>
        <v>5</v>
      </c>
      <c r="B335" s="98">
        <f>IFERROR(__xludf.DUMMYFUNCTION("""COMPUTED_VALUE"""),44085.0)</f>
        <v>44085</v>
      </c>
      <c r="C335" s="96" t="str">
        <f>IFERROR(__xludf.DUMMYFUNCTION("""COMPUTED_VALUE"""),"NDOMA NDOMA")</f>
        <v>NDOMA NDOMA</v>
      </c>
      <c r="D335" s="96" t="str">
        <f>IFERROR(__xludf.DUMMYFUNCTION("""COMPUTED_VALUE"""),"NDOMA NDOMA5")</f>
        <v>NDOMA NDOMA5</v>
      </c>
      <c r="E335" s="96"/>
      <c r="F335" s="96"/>
      <c r="G335" s="96"/>
      <c r="H335" s="96"/>
      <c r="I335" s="96"/>
      <c r="J335" s="96"/>
      <c r="K335" s="96">
        <f>IFERROR(__xludf.DUMMYFUNCTION("""COMPUTED_VALUE"""),790000.0)</f>
        <v>790000</v>
      </c>
      <c r="L335" s="99">
        <f>IFERROR(__xludf.DUMMYFUNCTION("""COMPUTED_VALUE"""),790000.0)</f>
        <v>790000</v>
      </c>
      <c r="M335" s="96"/>
      <c r="N335" s="96">
        <f>IFERROR(__xludf.DUMMYFUNCTION("""COMPUTED_VALUE"""),0.0)</f>
        <v>0</v>
      </c>
      <c r="O335" s="96">
        <f>IFERROR(__xludf.DUMMYFUNCTION("""COMPUTED_VALUE"""),0.0)</f>
        <v>0</v>
      </c>
      <c r="P335" s="96">
        <f>IFERROR(__xludf.DUMMYFUNCTION("""COMPUTED_VALUE"""),0.0)</f>
        <v>0</v>
      </c>
      <c r="Q335" s="129">
        <f>IFERROR(__xludf.DUMMYFUNCTION("""COMPUTED_VALUE"""),0.0)</f>
        <v>0</v>
      </c>
      <c r="R335" s="99"/>
    </row>
    <row r="336">
      <c r="A336" s="96">
        <f>IFERROR(__xludf.DUMMYFUNCTION("""COMPUTED_VALUE"""),6.0)</f>
        <v>6</v>
      </c>
      <c r="B336" s="98">
        <f>IFERROR(__xludf.DUMMYFUNCTION("""COMPUTED_VALUE"""),44085.0)</f>
        <v>44085</v>
      </c>
      <c r="C336" s="96" t="str">
        <f>IFERROR(__xludf.DUMMYFUNCTION("""COMPUTED_VALUE"""),"AUGUSTINE IGBA")</f>
        <v>AUGUSTINE IGBA</v>
      </c>
      <c r="D336" s="96" t="str">
        <f>IFERROR(__xludf.DUMMYFUNCTION("""COMPUTED_VALUE"""),"AUGUSTINE IGBA6")</f>
        <v>AUGUSTINE IGBA6</v>
      </c>
      <c r="E336" s="96"/>
      <c r="F336" s="96"/>
      <c r="G336" s="96"/>
      <c r="H336" s="96"/>
      <c r="I336" s="96"/>
      <c r="J336" s="96"/>
      <c r="K336" s="96">
        <f>IFERROR(__xludf.DUMMYFUNCTION("""COMPUTED_VALUE"""),3000000.0)</f>
        <v>3000000</v>
      </c>
      <c r="L336" s="99">
        <f>IFERROR(__xludf.DUMMYFUNCTION("""COMPUTED_VALUE"""),3000000.0)</f>
        <v>3000000</v>
      </c>
      <c r="M336" s="96"/>
      <c r="N336" s="96">
        <f>IFERROR(__xludf.DUMMYFUNCTION("""COMPUTED_VALUE"""),0.0)</f>
        <v>0</v>
      </c>
      <c r="O336" s="96">
        <f>IFERROR(__xludf.DUMMYFUNCTION("""COMPUTED_VALUE"""),0.0)</f>
        <v>0</v>
      </c>
      <c r="P336" s="96">
        <f>IFERROR(__xludf.DUMMYFUNCTION("""COMPUTED_VALUE"""),0.0)</f>
        <v>0</v>
      </c>
      <c r="Q336" s="129">
        <f>IFERROR(__xludf.DUMMYFUNCTION("""COMPUTED_VALUE"""),0.0)</f>
        <v>0</v>
      </c>
      <c r="R336" s="99"/>
    </row>
    <row r="337">
      <c r="A337" s="96">
        <f>IFERROR(__xludf.DUMMYFUNCTION("""COMPUTED_VALUE"""),3.0)</f>
        <v>3</v>
      </c>
      <c r="B337" s="98">
        <f>IFERROR(__xludf.DUMMYFUNCTION("""COMPUTED_VALUE"""),44085.0)</f>
        <v>44085</v>
      </c>
      <c r="C337" s="96" t="str">
        <f>IFERROR(__xludf.DUMMYFUNCTION("""COMPUTED_VALUE"""),"PAPA AJASCO BETTE")</f>
        <v>PAPA AJASCO BETTE</v>
      </c>
      <c r="D337" s="96" t="str">
        <f>IFERROR(__xludf.DUMMYFUNCTION("""COMPUTED_VALUE"""),"PAPA AJASCO BETTE3")</f>
        <v>PAPA AJASCO BETTE3</v>
      </c>
      <c r="E337" s="96"/>
      <c r="F337" s="96"/>
      <c r="G337" s="96"/>
      <c r="H337" s="96"/>
      <c r="I337" s="96"/>
      <c r="J337" s="96"/>
      <c r="K337" s="96">
        <f>IFERROR(__xludf.DUMMYFUNCTION("""COMPUTED_VALUE"""),160000.0)</f>
        <v>160000</v>
      </c>
      <c r="L337" s="99">
        <f>IFERROR(__xludf.DUMMYFUNCTION("""COMPUTED_VALUE"""),160000.0)</f>
        <v>160000</v>
      </c>
      <c r="M337" s="96"/>
      <c r="N337" s="96">
        <f>IFERROR(__xludf.DUMMYFUNCTION("""COMPUTED_VALUE"""),0.0)</f>
        <v>0</v>
      </c>
      <c r="O337" s="96">
        <f>IFERROR(__xludf.DUMMYFUNCTION("""COMPUTED_VALUE"""),0.0)</f>
        <v>0</v>
      </c>
      <c r="P337" s="96">
        <f>IFERROR(__xludf.DUMMYFUNCTION("""COMPUTED_VALUE"""),0.0)</f>
        <v>0</v>
      </c>
      <c r="Q337" s="129">
        <f>IFERROR(__xludf.DUMMYFUNCTION("""COMPUTED_VALUE"""),0.0)</f>
        <v>0</v>
      </c>
      <c r="R337" s="99"/>
    </row>
    <row r="338">
      <c r="A338" s="96">
        <f>IFERROR(__xludf.DUMMYFUNCTION("""COMPUTED_VALUE"""),5.0)</f>
        <v>5</v>
      </c>
      <c r="B338" s="98">
        <f>IFERROR(__xludf.DUMMYFUNCTION("""COMPUTED_VALUE"""),44085.0)</f>
        <v>44085</v>
      </c>
      <c r="C338" s="96" t="str">
        <f>IFERROR(__xludf.DUMMYFUNCTION("""COMPUTED_VALUE"""),"CONFIDENCE")</f>
        <v>CONFIDENCE</v>
      </c>
      <c r="D338" s="96" t="str">
        <f>IFERROR(__xludf.DUMMYFUNCTION("""COMPUTED_VALUE"""),"CONFIDENCE5")</f>
        <v>CONFIDENCE5</v>
      </c>
      <c r="E338" s="96"/>
      <c r="F338" s="96"/>
      <c r="G338" s="96"/>
      <c r="H338" s="96"/>
      <c r="I338" s="96"/>
      <c r="J338" s="96"/>
      <c r="K338" s="96">
        <f>IFERROR(__xludf.DUMMYFUNCTION("""COMPUTED_VALUE"""),1930000.0)</f>
        <v>1930000</v>
      </c>
      <c r="L338" s="99">
        <f>IFERROR(__xludf.DUMMYFUNCTION("""COMPUTED_VALUE"""),1930000.0)</f>
        <v>1930000</v>
      </c>
      <c r="M338" s="96"/>
      <c r="N338" s="96">
        <f>IFERROR(__xludf.DUMMYFUNCTION("""COMPUTED_VALUE"""),0.0)</f>
        <v>0</v>
      </c>
      <c r="O338" s="96">
        <f>IFERROR(__xludf.DUMMYFUNCTION("""COMPUTED_VALUE"""),0.0)</f>
        <v>0</v>
      </c>
      <c r="P338" s="96">
        <f>IFERROR(__xludf.DUMMYFUNCTION("""COMPUTED_VALUE"""),0.0)</f>
        <v>0</v>
      </c>
      <c r="Q338" s="129">
        <f>IFERROR(__xludf.DUMMYFUNCTION("""COMPUTED_VALUE"""),0.0)</f>
        <v>0</v>
      </c>
      <c r="R338" s="99"/>
    </row>
    <row r="339">
      <c r="A339" s="96">
        <f>IFERROR(__xludf.DUMMYFUNCTION("""COMPUTED_VALUE"""),12.0)</f>
        <v>12</v>
      </c>
      <c r="B339" s="98">
        <f>IFERROR(__xludf.DUMMYFUNCTION("""COMPUTED_VALUE"""),44085.0)</f>
        <v>44085</v>
      </c>
      <c r="C339" s="96" t="str">
        <f>IFERROR(__xludf.DUMMYFUNCTION("""COMPUTED_VALUE"""),"EDWARD OKO")</f>
        <v>EDWARD OKO</v>
      </c>
      <c r="D339" s="96" t="str">
        <f>IFERROR(__xludf.DUMMYFUNCTION("""COMPUTED_VALUE"""),"EDWARD OKO12")</f>
        <v>EDWARD OKO12</v>
      </c>
      <c r="E339" s="96"/>
      <c r="F339" s="96"/>
      <c r="G339" s="96"/>
      <c r="H339" s="96"/>
      <c r="I339" s="96"/>
      <c r="J339" s="96"/>
      <c r="K339" s="96">
        <f>IFERROR(__xludf.DUMMYFUNCTION("""COMPUTED_VALUE"""),9500000.0)</f>
        <v>9500000</v>
      </c>
      <c r="L339" s="99">
        <f>IFERROR(__xludf.DUMMYFUNCTION("""COMPUTED_VALUE"""),9500000.0)</f>
        <v>9500000</v>
      </c>
      <c r="M339" s="96"/>
      <c r="N339" s="96">
        <f>IFERROR(__xludf.DUMMYFUNCTION("""COMPUTED_VALUE"""),0.0)</f>
        <v>0</v>
      </c>
      <c r="O339" s="96">
        <f>IFERROR(__xludf.DUMMYFUNCTION("""COMPUTED_VALUE"""),0.0)</f>
        <v>0</v>
      </c>
      <c r="P339" s="96">
        <f>IFERROR(__xludf.DUMMYFUNCTION("""COMPUTED_VALUE"""),0.0)</f>
        <v>0</v>
      </c>
      <c r="Q339" s="129">
        <f>IFERROR(__xludf.DUMMYFUNCTION("""COMPUTED_VALUE"""),0.0)</f>
        <v>0</v>
      </c>
      <c r="R339" s="99"/>
    </row>
    <row r="340">
      <c r="A340" s="96">
        <f>IFERROR(__xludf.DUMMYFUNCTION("""COMPUTED_VALUE"""),3.0)</f>
        <v>3</v>
      </c>
      <c r="B340" s="98">
        <f>IFERROR(__xludf.DUMMYFUNCTION("""COMPUTED_VALUE"""),44085.0)</f>
        <v>44085</v>
      </c>
      <c r="C340" s="96" t="str">
        <f>IFERROR(__xludf.DUMMYFUNCTION("""COMPUTED_VALUE"""),"FRANCIS KEIBO")</f>
        <v>FRANCIS KEIBO</v>
      </c>
      <c r="D340" s="96" t="str">
        <f>IFERROR(__xludf.DUMMYFUNCTION("""COMPUTED_VALUE"""),"FRANCIS KEIBO3")</f>
        <v>FRANCIS KEIBO3</v>
      </c>
      <c r="E340" s="96"/>
      <c r="F340" s="96"/>
      <c r="G340" s="96"/>
      <c r="H340" s="96"/>
      <c r="I340" s="96"/>
      <c r="J340" s="96"/>
      <c r="K340" s="96">
        <f>IFERROR(__xludf.DUMMYFUNCTION("""COMPUTED_VALUE"""),100000.0)</f>
        <v>100000</v>
      </c>
      <c r="L340" s="99">
        <f>IFERROR(__xludf.DUMMYFUNCTION("""COMPUTED_VALUE"""),100000.0)</f>
        <v>100000</v>
      </c>
      <c r="M340" s="96"/>
      <c r="N340" s="96">
        <f>IFERROR(__xludf.DUMMYFUNCTION("""COMPUTED_VALUE"""),0.0)</f>
        <v>0</v>
      </c>
      <c r="O340" s="96">
        <f>IFERROR(__xludf.DUMMYFUNCTION("""COMPUTED_VALUE"""),0.0)</f>
        <v>0</v>
      </c>
      <c r="P340" s="96">
        <f>IFERROR(__xludf.DUMMYFUNCTION("""COMPUTED_VALUE"""),0.0)</f>
        <v>0</v>
      </c>
      <c r="Q340" s="129">
        <f>IFERROR(__xludf.DUMMYFUNCTION("""COMPUTED_VALUE"""),0.0)</f>
        <v>0</v>
      </c>
      <c r="R340" s="99"/>
    </row>
    <row r="341">
      <c r="A341" s="96">
        <f>IFERROR(__xludf.DUMMYFUNCTION("""COMPUTED_VALUE"""),2.0)</f>
        <v>2</v>
      </c>
      <c r="B341" s="98">
        <f>IFERROR(__xludf.DUMMYFUNCTION("""COMPUTED_VALUE"""),44085.0)</f>
        <v>44085</v>
      </c>
      <c r="C341" s="96" t="str">
        <f>IFERROR(__xludf.DUMMYFUNCTION("""COMPUTED_VALUE"""),"AGEGE BOY")</f>
        <v>AGEGE BOY</v>
      </c>
      <c r="D341" s="96" t="str">
        <f>IFERROR(__xludf.DUMMYFUNCTION("""COMPUTED_VALUE"""),"AGEGE BOY2")</f>
        <v>AGEGE BOY2</v>
      </c>
      <c r="E341" s="96"/>
      <c r="F341" s="96"/>
      <c r="G341" s="96"/>
      <c r="H341" s="96"/>
      <c r="I341" s="96"/>
      <c r="J341" s="96"/>
      <c r="K341" s="96">
        <f>IFERROR(__xludf.DUMMYFUNCTION("""COMPUTED_VALUE"""),311280.0)</f>
        <v>311280</v>
      </c>
      <c r="L341" s="99">
        <f>IFERROR(__xludf.DUMMYFUNCTION("""COMPUTED_VALUE"""),311280.0)</f>
        <v>311280</v>
      </c>
      <c r="M341" s="96"/>
      <c r="N341" s="96">
        <f>IFERROR(__xludf.DUMMYFUNCTION("""COMPUTED_VALUE"""),0.0)</f>
        <v>0</v>
      </c>
      <c r="O341" s="96">
        <f>IFERROR(__xludf.DUMMYFUNCTION("""COMPUTED_VALUE"""),0.0)</f>
        <v>0</v>
      </c>
      <c r="P341" s="96">
        <f>IFERROR(__xludf.DUMMYFUNCTION("""COMPUTED_VALUE"""),0.0)</f>
        <v>0</v>
      </c>
      <c r="Q341" s="129">
        <f>IFERROR(__xludf.DUMMYFUNCTION("""COMPUTED_VALUE"""),0.0)</f>
        <v>0</v>
      </c>
      <c r="R341" s="99"/>
    </row>
    <row r="342">
      <c r="A342" s="96">
        <f>IFERROR(__xludf.DUMMYFUNCTION("""COMPUTED_VALUE"""),2.0)</f>
        <v>2</v>
      </c>
      <c r="B342" s="98">
        <f>IFERROR(__xludf.DUMMYFUNCTION("""COMPUTED_VALUE"""),44085.0)</f>
        <v>44085</v>
      </c>
      <c r="C342" s="96" t="str">
        <f>IFERROR(__xludf.DUMMYFUNCTION("""COMPUTED_VALUE"""),"MATIAT REINA")</f>
        <v>MATIAT REINA</v>
      </c>
      <c r="D342" s="96" t="str">
        <f>IFERROR(__xludf.DUMMYFUNCTION("""COMPUTED_VALUE"""),"MATIAT REINA2")</f>
        <v>MATIAT REINA2</v>
      </c>
      <c r="E342" s="96"/>
      <c r="F342" s="96"/>
      <c r="G342" s="96"/>
      <c r="H342" s="96"/>
      <c r="I342" s="96"/>
      <c r="J342" s="96"/>
      <c r="K342" s="96">
        <f>IFERROR(__xludf.DUMMYFUNCTION("""COMPUTED_VALUE"""),50000.0)</f>
        <v>50000</v>
      </c>
      <c r="L342" s="99">
        <f>IFERROR(__xludf.DUMMYFUNCTION("""COMPUTED_VALUE"""),50000.0)</f>
        <v>50000</v>
      </c>
      <c r="M342" s="96"/>
      <c r="N342" s="96">
        <f>IFERROR(__xludf.DUMMYFUNCTION("""COMPUTED_VALUE"""),0.0)</f>
        <v>0</v>
      </c>
      <c r="O342" s="96">
        <f>IFERROR(__xludf.DUMMYFUNCTION("""COMPUTED_VALUE"""),0.0)</f>
        <v>0</v>
      </c>
      <c r="P342" s="96">
        <f>IFERROR(__xludf.DUMMYFUNCTION("""COMPUTED_VALUE"""),0.0)</f>
        <v>0</v>
      </c>
      <c r="Q342" s="129">
        <f>IFERROR(__xludf.DUMMYFUNCTION("""COMPUTED_VALUE"""),0.0)</f>
        <v>0</v>
      </c>
      <c r="R342" s="99"/>
    </row>
    <row r="343">
      <c r="A343" s="96">
        <f>IFERROR(__xludf.DUMMYFUNCTION("""COMPUTED_VALUE"""),2.0)</f>
        <v>2</v>
      </c>
      <c r="B343" s="98">
        <f>IFERROR(__xludf.DUMMYFUNCTION("""COMPUTED_VALUE"""),44085.0)</f>
        <v>44085</v>
      </c>
      <c r="C343" s="96" t="str">
        <f>IFERROR(__xludf.DUMMYFUNCTION("""COMPUTED_VALUE"""),"OSIM MARIAM")</f>
        <v>OSIM MARIAM</v>
      </c>
      <c r="D343" s="96" t="str">
        <f>IFERROR(__xludf.DUMMYFUNCTION("""COMPUTED_VALUE"""),"OSIM MARIAM2")</f>
        <v>OSIM MARIAM2</v>
      </c>
      <c r="E343" s="96"/>
      <c r="F343" s="96"/>
      <c r="G343" s="96"/>
      <c r="H343" s="96"/>
      <c r="I343" s="96"/>
      <c r="J343" s="96"/>
      <c r="K343" s="96">
        <f>IFERROR(__xludf.DUMMYFUNCTION("""COMPUTED_VALUE"""),250000.0)</f>
        <v>250000</v>
      </c>
      <c r="L343" s="99">
        <f>IFERROR(__xludf.DUMMYFUNCTION("""COMPUTED_VALUE"""),250000.0)</f>
        <v>250000</v>
      </c>
      <c r="M343" s="96"/>
      <c r="N343" s="96">
        <f>IFERROR(__xludf.DUMMYFUNCTION("""COMPUTED_VALUE"""),0.0)</f>
        <v>0</v>
      </c>
      <c r="O343" s="96">
        <f>IFERROR(__xludf.DUMMYFUNCTION("""COMPUTED_VALUE"""),0.0)</f>
        <v>0</v>
      </c>
      <c r="P343" s="96">
        <f>IFERROR(__xludf.DUMMYFUNCTION("""COMPUTED_VALUE"""),0.0)</f>
        <v>0</v>
      </c>
      <c r="Q343" s="129">
        <f>IFERROR(__xludf.DUMMYFUNCTION("""COMPUTED_VALUE"""),0.0)</f>
        <v>0</v>
      </c>
      <c r="R343" s="99"/>
    </row>
    <row r="344">
      <c r="A344" s="96">
        <f>IFERROR(__xludf.DUMMYFUNCTION("""COMPUTED_VALUE"""),4.0)</f>
        <v>4</v>
      </c>
      <c r="B344" s="98">
        <f>IFERROR(__xludf.DUMMYFUNCTION("""COMPUTED_VALUE"""),44085.0)</f>
        <v>44085</v>
      </c>
      <c r="C344" s="96" t="str">
        <f>IFERROR(__xludf.DUMMYFUNCTION("""COMPUTED_VALUE"""),"PRINNESS")</f>
        <v>PRINNESS</v>
      </c>
      <c r="D344" s="96" t="str">
        <f>IFERROR(__xludf.DUMMYFUNCTION("""COMPUTED_VALUE"""),"PRINNESS4")</f>
        <v>PRINNESS4</v>
      </c>
      <c r="E344" s="96"/>
      <c r="F344" s="96"/>
      <c r="G344" s="96"/>
      <c r="H344" s="96"/>
      <c r="I344" s="96"/>
      <c r="J344" s="96"/>
      <c r="K344" s="96">
        <f>IFERROR(__xludf.DUMMYFUNCTION("""COMPUTED_VALUE"""),400000.0)</f>
        <v>400000</v>
      </c>
      <c r="L344" s="99">
        <f>IFERROR(__xludf.DUMMYFUNCTION("""COMPUTED_VALUE"""),400000.0)</f>
        <v>400000</v>
      </c>
      <c r="M344" s="96"/>
      <c r="N344" s="96">
        <f>IFERROR(__xludf.DUMMYFUNCTION("""COMPUTED_VALUE"""),0.0)</f>
        <v>0</v>
      </c>
      <c r="O344" s="96">
        <f>IFERROR(__xludf.DUMMYFUNCTION("""COMPUTED_VALUE"""),0.0)</f>
        <v>0</v>
      </c>
      <c r="P344" s="96">
        <f>IFERROR(__xludf.DUMMYFUNCTION("""COMPUTED_VALUE"""),0.0)</f>
        <v>0</v>
      </c>
      <c r="Q344" s="129">
        <f>IFERROR(__xludf.DUMMYFUNCTION("""COMPUTED_VALUE"""),0.0)</f>
        <v>0</v>
      </c>
      <c r="R344" s="99"/>
    </row>
    <row r="345">
      <c r="A345" s="96">
        <f>IFERROR(__xludf.DUMMYFUNCTION("""COMPUTED_VALUE"""),1.0)</f>
        <v>1</v>
      </c>
      <c r="B345" s="98">
        <f>IFERROR(__xludf.DUMMYFUNCTION("""COMPUTED_VALUE"""),44085.0)</f>
        <v>44085</v>
      </c>
      <c r="C345" s="96" t="str">
        <f>IFERROR(__xludf.DUMMYFUNCTION("""COMPUTED_VALUE"""),"MALACHY")</f>
        <v>MALACHY</v>
      </c>
      <c r="D345" s="96" t="str">
        <f>IFERROR(__xludf.DUMMYFUNCTION("""COMPUTED_VALUE"""),"MALACHY1")</f>
        <v>MALACHY1</v>
      </c>
      <c r="E345" s="96"/>
      <c r="F345" s="96"/>
      <c r="G345" s="96"/>
      <c r="H345" s="96"/>
      <c r="I345" s="96"/>
      <c r="J345" s="96"/>
      <c r="K345" s="96">
        <f>IFERROR(__xludf.DUMMYFUNCTION("""COMPUTED_VALUE"""),100000.0)</f>
        <v>100000</v>
      </c>
      <c r="L345" s="99">
        <f>IFERROR(__xludf.DUMMYFUNCTION("""COMPUTED_VALUE"""),100000.0)</f>
        <v>100000</v>
      </c>
      <c r="M345" s="96"/>
      <c r="N345" s="96">
        <f>IFERROR(__xludf.DUMMYFUNCTION("""COMPUTED_VALUE"""),0.0)</f>
        <v>0</v>
      </c>
      <c r="O345" s="96">
        <f>IFERROR(__xludf.DUMMYFUNCTION("""COMPUTED_VALUE"""),0.0)</f>
        <v>0</v>
      </c>
      <c r="P345" s="96">
        <f>IFERROR(__xludf.DUMMYFUNCTION("""COMPUTED_VALUE"""),0.0)</f>
        <v>0</v>
      </c>
      <c r="Q345" s="129">
        <f>IFERROR(__xludf.DUMMYFUNCTION("""COMPUTED_VALUE"""),0.0)</f>
        <v>0</v>
      </c>
      <c r="R345" s="99"/>
    </row>
    <row r="346">
      <c r="A346" s="96">
        <f>IFERROR(__xludf.DUMMYFUNCTION("""COMPUTED_VALUE"""),11.0)</f>
        <v>11</v>
      </c>
      <c r="B346" s="98">
        <f>IFERROR(__xludf.DUMMYFUNCTION("""COMPUTED_VALUE"""),44085.0)</f>
        <v>44085</v>
      </c>
      <c r="C346" s="96" t="str">
        <f>IFERROR(__xludf.DUMMYFUNCTION("""COMPUTED_VALUE"""),"ETUK EFFI")</f>
        <v>ETUK EFFI</v>
      </c>
      <c r="D346" s="96" t="str">
        <f>IFERROR(__xludf.DUMMYFUNCTION("""COMPUTED_VALUE"""),"ETUK EFFI11")</f>
        <v>ETUK EFFI11</v>
      </c>
      <c r="E346" s="96"/>
      <c r="F346" s="96"/>
      <c r="G346" s="96"/>
      <c r="H346" s="96"/>
      <c r="I346" s="96"/>
      <c r="J346" s="96"/>
      <c r="K346" s="96">
        <f>IFERROR(__xludf.DUMMYFUNCTION("""COMPUTED_VALUE"""),1281400.0)</f>
        <v>1281400</v>
      </c>
      <c r="L346" s="99">
        <f>IFERROR(__xludf.DUMMYFUNCTION("""COMPUTED_VALUE"""),1281400.0)</f>
        <v>1281400</v>
      </c>
      <c r="M346" s="96"/>
      <c r="N346" s="96">
        <f>IFERROR(__xludf.DUMMYFUNCTION("""COMPUTED_VALUE"""),0.0)</f>
        <v>0</v>
      </c>
      <c r="O346" s="96">
        <f>IFERROR(__xludf.DUMMYFUNCTION("""COMPUTED_VALUE"""),0.0)</f>
        <v>0</v>
      </c>
      <c r="P346" s="96">
        <f>IFERROR(__xludf.DUMMYFUNCTION("""COMPUTED_VALUE"""),0.0)</f>
        <v>0</v>
      </c>
      <c r="Q346" s="129">
        <f>IFERROR(__xludf.DUMMYFUNCTION("""COMPUTED_VALUE"""),0.0)</f>
        <v>0</v>
      </c>
      <c r="R346" s="99"/>
    </row>
    <row r="347">
      <c r="A347" s="96">
        <f>IFERROR(__xludf.DUMMYFUNCTION("""COMPUTED_VALUE"""),2.0)</f>
        <v>2</v>
      </c>
      <c r="B347" s="98">
        <f>IFERROR(__xludf.DUMMYFUNCTION("""COMPUTED_VALUE"""),44085.0)</f>
        <v>44085</v>
      </c>
      <c r="C347" s="96" t="str">
        <f>IFERROR(__xludf.DUMMYFUNCTION("""COMPUTED_VALUE"""),"CHINWE CHIDI")</f>
        <v>CHINWE CHIDI</v>
      </c>
      <c r="D347" s="96" t="str">
        <f>IFERROR(__xludf.DUMMYFUNCTION("""COMPUTED_VALUE"""),"CHINWE CHIDI2")</f>
        <v>CHINWE CHIDI2</v>
      </c>
      <c r="E347" s="96"/>
      <c r="F347" s="96"/>
      <c r="G347" s="96"/>
      <c r="H347" s="96"/>
      <c r="I347" s="96"/>
      <c r="J347" s="96"/>
      <c r="K347" s="96">
        <f>IFERROR(__xludf.DUMMYFUNCTION("""COMPUTED_VALUE"""),6000.0)</f>
        <v>6000</v>
      </c>
      <c r="L347" s="99">
        <f>IFERROR(__xludf.DUMMYFUNCTION("""COMPUTED_VALUE"""),6000.0)</f>
        <v>6000</v>
      </c>
      <c r="M347" s="96"/>
      <c r="N347" s="96">
        <f>IFERROR(__xludf.DUMMYFUNCTION("""COMPUTED_VALUE"""),0.0)</f>
        <v>0</v>
      </c>
      <c r="O347" s="96">
        <f>IFERROR(__xludf.DUMMYFUNCTION("""COMPUTED_VALUE"""),0.0)</f>
        <v>0</v>
      </c>
      <c r="P347" s="96">
        <f>IFERROR(__xludf.DUMMYFUNCTION("""COMPUTED_VALUE"""),0.0)</f>
        <v>0</v>
      </c>
      <c r="Q347" s="129">
        <f>IFERROR(__xludf.DUMMYFUNCTION("""COMPUTED_VALUE"""),0.0)</f>
        <v>0</v>
      </c>
      <c r="R347" s="99"/>
    </row>
    <row r="348">
      <c r="A348" s="96">
        <f>IFERROR(__xludf.DUMMYFUNCTION("""COMPUTED_VALUE"""),12.0)</f>
        <v>12</v>
      </c>
      <c r="B348" s="98">
        <f>IFERROR(__xludf.DUMMYFUNCTION("""COMPUTED_VALUE"""),44085.0)</f>
        <v>44085</v>
      </c>
      <c r="C348" s="96" t="str">
        <f>IFERROR(__xludf.DUMMYFUNCTION("""COMPUTED_VALUE"""),"ETUK EFFI")</f>
        <v>ETUK EFFI</v>
      </c>
      <c r="D348" s="96" t="str">
        <f>IFERROR(__xludf.DUMMYFUNCTION("""COMPUTED_VALUE"""),"ETUK EFFI12")</f>
        <v>ETUK EFFI12</v>
      </c>
      <c r="E348" s="96">
        <f>IFERROR(__xludf.DUMMYFUNCTION("""COMPUTED_VALUE"""),1531.0)</f>
        <v>1531</v>
      </c>
      <c r="F348" s="96">
        <f>IFERROR(__xludf.DUMMYFUNCTION("""COMPUTED_VALUE"""),211.0)</f>
        <v>211</v>
      </c>
      <c r="G348" s="96"/>
      <c r="H348" s="96">
        <f>IFERROR(__xludf.DUMMYFUNCTION("""COMPUTED_VALUE"""),23.0)</f>
        <v>23</v>
      </c>
      <c r="I348" s="96"/>
      <c r="J348" s="96">
        <f>IFERROR(__xludf.DUMMYFUNCTION("""COMPUTED_VALUE"""),860.0)</f>
        <v>860</v>
      </c>
      <c r="K348" s="96"/>
      <c r="L348" s="99">
        <f>IFERROR(__xludf.DUMMYFUNCTION("""COMPUTED_VALUE"""),-1281400.0)</f>
        <v>-1281400</v>
      </c>
      <c r="M348" s="96">
        <f>IFERROR(__xludf.DUMMYFUNCTION("""COMPUTED_VALUE"""),9.17)</f>
        <v>9.17</v>
      </c>
      <c r="N348" s="96">
        <f>IFERROR(__xludf.DUMMYFUNCTION("""COMPUTED_VALUE"""),18.0)</f>
        <v>18</v>
      </c>
      <c r="O348" s="96">
        <f>IFERROR(__xludf.DUMMYFUNCTION("""COMPUTED_VALUE"""),23.0)</f>
        <v>23</v>
      </c>
      <c r="P348" s="96">
        <f>IFERROR(__xludf.DUMMYFUNCTION("""COMPUTED_VALUE"""),41.0)</f>
        <v>41</v>
      </c>
      <c r="Q348" s="129">
        <f>IFERROR(__xludf.DUMMYFUNCTION("""COMPUTED_VALUE"""),1490.0)</f>
        <v>1490</v>
      </c>
      <c r="R348" s="99">
        <f>IFERROR(__xludf.DUMMYFUNCTION("""COMPUTED_VALUE"""),1281400.0)</f>
        <v>1281400</v>
      </c>
    </row>
    <row r="349">
      <c r="A349" s="96">
        <f>IFERROR(__xludf.DUMMYFUNCTION("""COMPUTED_VALUE"""),2.0)</f>
        <v>2</v>
      </c>
      <c r="B349" s="98">
        <f>IFERROR(__xludf.DUMMYFUNCTION("""COMPUTED_VALUE"""),44086.0)</f>
        <v>44086</v>
      </c>
      <c r="C349" s="96" t="str">
        <f>IFERROR(__xludf.DUMMYFUNCTION("""COMPUTED_VALUE"""),"ABANG FREDINARD")</f>
        <v>ABANG FREDINARD</v>
      </c>
      <c r="D349" s="96" t="str">
        <f>IFERROR(__xludf.DUMMYFUNCTION("""COMPUTED_VALUE"""),"ABANG FREDINARD2")</f>
        <v>ABANG FREDINARD2</v>
      </c>
      <c r="E349" s="96">
        <f>IFERROR(__xludf.DUMMYFUNCTION("""COMPUTED_VALUE"""),122.0)</f>
        <v>122</v>
      </c>
      <c r="F349" s="96">
        <f>IFERROR(__xludf.DUMMYFUNCTION("""COMPUTED_VALUE"""),16.0)</f>
        <v>16</v>
      </c>
      <c r="G349" s="96"/>
      <c r="H349" s="96">
        <f>IFERROR(__xludf.DUMMYFUNCTION("""COMPUTED_VALUE"""),2.0)</f>
        <v>2</v>
      </c>
      <c r="I349" s="96"/>
      <c r="J349" s="96">
        <f>IFERROR(__xludf.DUMMYFUNCTION("""COMPUTED_VALUE"""),666.67)</f>
        <v>666.67</v>
      </c>
      <c r="K349" s="96"/>
      <c r="L349" s="99">
        <f>IFERROR(__xludf.DUMMYFUNCTION("""COMPUTED_VALUE"""),-80000.0)</f>
        <v>-80000</v>
      </c>
      <c r="M349" s="96">
        <f>IFERROR(__xludf.DUMMYFUNCTION("""COMPUTED_VALUE"""),8.0)</f>
        <v>8</v>
      </c>
      <c r="N349" s="96">
        <f>IFERROR(__xludf.DUMMYFUNCTION("""COMPUTED_VALUE"""),0.0)</f>
        <v>0</v>
      </c>
      <c r="O349" s="96">
        <f>IFERROR(__xludf.DUMMYFUNCTION("""COMPUTED_VALUE"""),1.0)</f>
        <v>1</v>
      </c>
      <c r="P349" s="96">
        <f>IFERROR(__xludf.DUMMYFUNCTION("""COMPUTED_VALUE"""),57.0)</f>
        <v>57</v>
      </c>
      <c r="Q349" s="129">
        <f>IFERROR(__xludf.DUMMYFUNCTION("""COMPUTED_VALUE"""),120.0)</f>
        <v>120</v>
      </c>
      <c r="R349" s="99">
        <f>IFERROR(__xludf.DUMMYFUNCTION("""COMPUTED_VALUE"""),80000.0)</f>
        <v>80000</v>
      </c>
    </row>
    <row r="350">
      <c r="A350" s="96"/>
      <c r="B350" s="98">
        <f>IFERROR(__xludf.DUMMYFUNCTION("""COMPUTED_VALUE"""),44073.0)</f>
        <v>44073</v>
      </c>
      <c r="C350" s="96"/>
      <c r="D350" s="96"/>
      <c r="E350" s="96"/>
      <c r="F350" s="96"/>
      <c r="G350" s="96"/>
      <c r="H350" s="96"/>
      <c r="I350" s="96"/>
      <c r="J350" s="96"/>
      <c r="K350" s="96"/>
      <c r="L350" s="99">
        <f>IFERROR(__xludf.DUMMYFUNCTION("""COMPUTED_VALUE"""),0.0)</f>
        <v>0</v>
      </c>
      <c r="M350" s="96"/>
      <c r="N350" s="96"/>
      <c r="O350" s="96"/>
      <c r="P350" s="96"/>
      <c r="Q350" s="129"/>
      <c r="R350" s="99"/>
    </row>
    <row r="351">
      <c r="A351" s="96">
        <f>IFERROR(__xludf.DUMMYFUNCTION("""COMPUTED_VALUE"""),13.0)</f>
        <v>13</v>
      </c>
      <c r="B351" s="98">
        <f>IFERROR(__xludf.DUMMYFUNCTION("""COMPUTED_VALUE"""),44086.0)</f>
        <v>44086</v>
      </c>
      <c r="C351" s="96" t="str">
        <f>IFERROR(__xludf.DUMMYFUNCTION("""COMPUTED_VALUE""")," MAXWELL AGRO")</f>
        <v> MAXWELL AGRO</v>
      </c>
      <c r="D351" s="96" t="str">
        <f>IFERROR(__xludf.DUMMYFUNCTION("""COMPUTED_VALUE""")," MAXWELL AGRO13")</f>
        <v> MAXWELL AGRO13</v>
      </c>
      <c r="E351" s="96"/>
      <c r="F351" s="96"/>
      <c r="G351" s="96"/>
      <c r="H351" s="96"/>
      <c r="I351" s="96"/>
      <c r="J351" s="96"/>
      <c r="K351" s="96">
        <f>IFERROR(__xludf.DUMMYFUNCTION("""COMPUTED_VALUE"""),100000.0)</f>
        <v>100000</v>
      </c>
      <c r="L351" s="99">
        <f>IFERROR(__xludf.DUMMYFUNCTION("""COMPUTED_VALUE"""),100000.0)</f>
        <v>100000</v>
      </c>
      <c r="M351" s="96"/>
      <c r="N351" s="96">
        <f>IFERROR(__xludf.DUMMYFUNCTION("""COMPUTED_VALUE"""),0.0)</f>
        <v>0</v>
      </c>
      <c r="O351" s="96">
        <f>IFERROR(__xludf.DUMMYFUNCTION("""COMPUTED_VALUE"""),0.0)</f>
        <v>0</v>
      </c>
      <c r="P351" s="96">
        <f>IFERROR(__xludf.DUMMYFUNCTION("""COMPUTED_VALUE"""),0.0)</f>
        <v>0</v>
      </c>
      <c r="Q351" s="129">
        <f>IFERROR(__xludf.DUMMYFUNCTION("""COMPUTED_VALUE"""),0.0)</f>
        <v>0</v>
      </c>
      <c r="R351" s="99"/>
    </row>
    <row r="352">
      <c r="A352" s="96">
        <f>IFERROR(__xludf.DUMMYFUNCTION("""COMPUTED_VALUE"""),3.0)</f>
        <v>3</v>
      </c>
      <c r="B352" s="98">
        <f>IFERROR(__xludf.DUMMYFUNCTION("""COMPUTED_VALUE"""),44086.0)</f>
        <v>44086</v>
      </c>
      <c r="C352" s="96" t="str">
        <f>IFERROR(__xludf.DUMMYFUNCTION("""COMPUTED_VALUE"""),"ABANG FREDINARD")</f>
        <v>ABANG FREDINARD</v>
      </c>
      <c r="D352" s="96" t="str">
        <f>IFERROR(__xludf.DUMMYFUNCTION("""COMPUTED_VALUE"""),"ABANG FREDINARD3")</f>
        <v>ABANG FREDINARD3</v>
      </c>
      <c r="E352" s="96"/>
      <c r="F352" s="96"/>
      <c r="G352" s="96"/>
      <c r="H352" s="96"/>
      <c r="I352" s="96"/>
      <c r="J352" s="96"/>
      <c r="K352" s="96">
        <f>IFERROR(__xludf.DUMMYFUNCTION("""COMPUTED_VALUE"""),80000.0)</f>
        <v>80000</v>
      </c>
      <c r="L352" s="99">
        <f>IFERROR(__xludf.DUMMYFUNCTION("""COMPUTED_VALUE"""),80000.0)</f>
        <v>80000</v>
      </c>
      <c r="M352" s="96"/>
      <c r="N352" s="96">
        <f>IFERROR(__xludf.DUMMYFUNCTION("""COMPUTED_VALUE"""),0.0)</f>
        <v>0</v>
      </c>
      <c r="O352" s="96">
        <f>IFERROR(__xludf.DUMMYFUNCTION("""COMPUTED_VALUE"""),0.0)</f>
        <v>0</v>
      </c>
      <c r="P352" s="96">
        <f>IFERROR(__xludf.DUMMYFUNCTION("""COMPUTED_VALUE"""),0.0)</f>
        <v>0</v>
      </c>
      <c r="Q352" s="129">
        <f>IFERROR(__xludf.DUMMYFUNCTION("""COMPUTED_VALUE"""),0.0)</f>
        <v>0</v>
      </c>
      <c r="R352" s="99"/>
    </row>
    <row r="353">
      <c r="A353" s="96">
        <f>IFERROR(__xludf.DUMMYFUNCTION("""COMPUTED_VALUE"""),1.0)</f>
        <v>1</v>
      </c>
      <c r="B353" s="98">
        <f>IFERROR(__xludf.DUMMYFUNCTION("""COMPUTED_VALUE"""),44088.0)</f>
        <v>44088</v>
      </c>
      <c r="C353" s="96" t="str">
        <f>IFERROR(__xludf.DUMMYFUNCTION("""COMPUTED_VALUE"""),"ABANG. AM")</f>
        <v>ABANG. AM</v>
      </c>
      <c r="D353" s="96" t="str">
        <f>IFERROR(__xludf.DUMMYFUNCTION("""COMPUTED_VALUE"""),"ABANG. AM1")</f>
        <v>ABANG. AM1</v>
      </c>
      <c r="E353" s="96"/>
      <c r="F353" s="96"/>
      <c r="G353" s="96"/>
      <c r="H353" s="96"/>
      <c r="I353" s="96"/>
      <c r="J353" s="96"/>
      <c r="K353" s="96">
        <f>IFERROR(__xludf.DUMMYFUNCTION("""COMPUTED_VALUE"""),100000.0)</f>
        <v>100000</v>
      </c>
      <c r="L353" s="99">
        <f>IFERROR(__xludf.DUMMYFUNCTION("""COMPUTED_VALUE"""),100000.0)</f>
        <v>100000</v>
      </c>
      <c r="M353" s="96"/>
      <c r="N353" s="96">
        <f>IFERROR(__xludf.DUMMYFUNCTION("""COMPUTED_VALUE"""),0.0)</f>
        <v>0</v>
      </c>
      <c r="O353" s="96">
        <f>IFERROR(__xludf.DUMMYFUNCTION("""COMPUTED_VALUE"""),0.0)</f>
        <v>0</v>
      </c>
      <c r="P353" s="96">
        <f>IFERROR(__xludf.DUMMYFUNCTION("""COMPUTED_VALUE"""),0.0)</f>
        <v>0</v>
      </c>
      <c r="Q353" s="129">
        <f>IFERROR(__xludf.DUMMYFUNCTION("""COMPUTED_VALUE"""),0.0)</f>
        <v>0</v>
      </c>
      <c r="R353" s="99"/>
    </row>
    <row r="354">
      <c r="A354" s="96">
        <f>IFERROR(__xludf.DUMMYFUNCTION("""COMPUTED_VALUE"""),8.0)</f>
        <v>8</v>
      </c>
      <c r="B354" s="98">
        <f>IFERROR(__xludf.DUMMYFUNCTION("""COMPUTED_VALUE"""),44088.0)</f>
        <v>44088</v>
      </c>
      <c r="C354" s="96" t="str">
        <f>IFERROR(__xludf.DUMMYFUNCTION("""COMPUTED_VALUE"""),"A. D. FREDERICK")</f>
        <v>A. D. FREDERICK</v>
      </c>
      <c r="D354" s="96" t="str">
        <f>IFERROR(__xludf.DUMMYFUNCTION("""COMPUTED_VALUE"""),"A. D. FREDERICK8")</f>
        <v>A. D. FREDERICK8</v>
      </c>
      <c r="E354" s="96"/>
      <c r="F354" s="96"/>
      <c r="G354" s="96"/>
      <c r="H354" s="96"/>
      <c r="I354" s="96"/>
      <c r="J354" s="96"/>
      <c r="K354" s="96">
        <f>IFERROR(__xludf.DUMMYFUNCTION("""COMPUTED_VALUE"""),200000.0)</f>
        <v>200000</v>
      </c>
      <c r="L354" s="99">
        <f>IFERROR(__xludf.DUMMYFUNCTION("""COMPUTED_VALUE"""),200000.0)</f>
        <v>200000</v>
      </c>
      <c r="M354" s="96"/>
      <c r="N354" s="96">
        <f>IFERROR(__xludf.DUMMYFUNCTION("""COMPUTED_VALUE"""),0.0)</f>
        <v>0</v>
      </c>
      <c r="O354" s="96">
        <f>IFERROR(__xludf.DUMMYFUNCTION("""COMPUTED_VALUE"""),0.0)</f>
        <v>0</v>
      </c>
      <c r="P354" s="96">
        <f>IFERROR(__xludf.DUMMYFUNCTION("""COMPUTED_VALUE"""),0.0)</f>
        <v>0</v>
      </c>
      <c r="Q354" s="129">
        <f>IFERROR(__xludf.DUMMYFUNCTION("""COMPUTED_VALUE"""),0.0)</f>
        <v>0</v>
      </c>
      <c r="R354" s="99"/>
    </row>
    <row r="355">
      <c r="A355" s="96">
        <f>IFERROR(__xludf.DUMMYFUNCTION("""COMPUTED_VALUE"""),1.0)</f>
        <v>1</v>
      </c>
      <c r="B355" s="98">
        <f>IFERROR(__xludf.DUMMYFUNCTION("""COMPUTED_VALUE"""),44088.0)</f>
        <v>44088</v>
      </c>
      <c r="C355" s="96" t="str">
        <f>IFERROR(__xludf.DUMMYFUNCTION("""COMPUTED_VALUE"""),"FREDERICK")</f>
        <v>FREDERICK</v>
      </c>
      <c r="D355" s="96" t="str">
        <f>IFERROR(__xludf.DUMMYFUNCTION("""COMPUTED_VALUE"""),"FREDERICK1")</f>
        <v>FREDERICK1</v>
      </c>
      <c r="E355" s="96"/>
      <c r="F355" s="96"/>
      <c r="G355" s="96"/>
      <c r="H355" s="96"/>
      <c r="I355" s="96"/>
      <c r="J355" s="96"/>
      <c r="K355" s="96">
        <f>IFERROR(__xludf.DUMMYFUNCTION("""COMPUTED_VALUE"""),50000.0)</f>
        <v>50000</v>
      </c>
      <c r="L355" s="99">
        <f>IFERROR(__xludf.DUMMYFUNCTION("""COMPUTED_VALUE"""),50000.0)</f>
        <v>50000</v>
      </c>
      <c r="M355" s="96"/>
      <c r="N355" s="96">
        <f>IFERROR(__xludf.DUMMYFUNCTION("""COMPUTED_VALUE"""),0.0)</f>
        <v>0</v>
      </c>
      <c r="O355" s="96">
        <f>IFERROR(__xludf.DUMMYFUNCTION("""COMPUTED_VALUE"""),0.0)</f>
        <v>0</v>
      </c>
      <c r="P355" s="96">
        <f>IFERROR(__xludf.DUMMYFUNCTION("""COMPUTED_VALUE"""),0.0)</f>
        <v>0</v>
      </c>
      <c r="Q355" s="129">
        <f>IFERROR(__xludf.DUMMYFUNCTION("""COMPUTED_VALUE"""),0.0)</f>
        <v>0</v>
      </c>
      <c r="R355" s="99"/>
    </row>
    <row r="356">
      <c r="A356" s="96">
        <f>IFERROR(__xludf.DUMMYFUNCTION("""COMPUTED_VALUE"""),3.0)</f>
        <v>3</v>
      </c>
      <c r="B356" s="98">
        <f>IFERROR(__xludf.DUMMYFUNCTION("""COMPUTED_VALUE"""),44088.0)</f>
        <v>44088</v>
      </c>
      <c r="C356" s="96" t="str">
        <f>IFERROR(__xludf.DUMMYFUNCTION("""COMPUTED_VALUE"""),"AGEGE BOY")</f>
        <v>AGEGE BOY</v>
      </c>
      <c r="D356" s="96" t="str">
        <f>IFERROR(__xludf.DUMMYFUNCTION("""COMPUTED_VALUE"""),"AGEGE BOY3")</f>
        <v>AGEGE BOY3</v>
      </c>
      <c r="E356" s="96"/>
      <c r="F356" s="96"/>
      <c r="G356" s="96"/>
      <c r="H356" s="96"/>
      <c r="I356" s="96"/>
      <c r="J356" s="96"/>
      <c r="K356" s="96">
        <f>IFERROR(__xludf.DUMMYFUNCTION("""COMPUTED_VALUE"""),3000.0)</f>
        <v>3000</v>
      </c>
      <c r="L356" s="99">
        <f>IFERROR(__xludf.DUMMYFUNCTION("""COMPUTED_VALUE"""),3000.0)</f>
        <v>3000</v>
      </c>
      <c r="M356" s="96"/>
      <c r="N356" s="96">
        <f>IFERROR(__xludf.DUMMYFUNCTION("""COMPUTED_VALUE"""),0.0)</f>
        <v>0</v>
      </c>
      <c r="O356" s="96">
        <f>IFERROR(__xludf.DUMMYFUNCTION("""COMPUTED_VALUE"""),0.0)</f>
        <v>0</v>
      </c>
      <c r="P356" s="96">
        <f>IFERROR(__xludf.DUMMYFUNCTION("""COMPUTED_VALUE"""),0.0)</f>
        <v>0</v>
      </c>
      <c r="Q356" s="129">
        <f>IFERROR(__xludf.DUMMYFUNCTION("""COMPUTED_VALUE"""),0.0)</f>
        <v>0</v>
      </c>
      <c r="R356" s="99"/>
    </row>
    <row r="357">
      <c r="A357" s="96">
        <f>IFERROR(__xludf.DUMMYFUNCTION("""COMPUTED_VALUE"""),9.0)</f>
        <v>9</v>
      </c>
      <c r="B357" s="98">
        <f>IFERROR(__xludf.DUMMYFUNCTION("""COMPUTED_VALUE"""),44088.0)</f>
        <v>44088</v>
      </c>
      <c r="C357" s="96" t="str">
        <f>IFERROR(__xludf.DUMMYFUNCTION("""COMPUTED_VALUE"""),"CORNWELL")</f>
        <v>CORNWELL</v>
      </c>
      <c r="D357" s="96" t="str">
        <f>IFERROR(__xludf.DUMMYFUNCTION("""COMPUTED_VALUE"""),"CORNWELL9")</f>
        <v>CORNWELL9</v>
      </c>
      <c r="E357" s="96"/>
      <c r="F357" s="96"/>
      <c r="G357" s="96"/>
      <c r="H357" s="96"/>
      <c r="I357" s="96"/>
      <c r="J357" s="96"/>
      <c r="K357" s="96">
        <f>IFERROR(__xludf.DUMMYFUNCTION("""COMPUTED_VALUE"""),250000.0)</f>
        <v>250000</v>
      </c>
      <c r="L357" s="99">
        <f>IFERROR(__xludf.DUMMYFUNCTION("""COMPUTED_VALUE"""),250000.0)</f>
        <v>250000</v>
      </c>
      <c r="M357" s="96"/>
      <c r="N357" s="96">
        <f>IFERROR(__xludf.DUMMYFUNCTION("""COMPUTED_VALUE"""),0.0)</f>
        <v>0</v>
      </c>
      <c r="O357" s="96">
        <f>IFERROR(__xludf.DUMMYFUNCTION("""COMPUTED_VALUE"""),0.0)</f>
        <v>0</v>
      </c>
      <c r="P357" s="96">
        <f>IFERROR(__xludf.DUMMYFUNCTION("""COMPUTED_VALUE"""),0.0)</f>
        <v>0</v>
      </c>
      <c r="Q357" s="129">
        <f>IFERROR(__xludf.DUMMYFUNCTION("""COMPUTED_VALUE"""),0.0)</f>
        <v>0</v>
      </c>
      <c r="R357" s="99"/>
    </row>
    <row r="358">
      <c r="A358" s="96">
        <f>IFERROR(__xludf.DUMMYFUNCTION("""COMPUTED_VALUE"""),17.0)</f>
        <v>17</v>
      </c>
      <c r="B358" s="98">
        <f>IFERROR(__xludf.DUMMYFUNCTION("""COMPUTED_VALUE"""),44088.0)</f>
        <v>44088</v>
      </c>
      <c r="C358" s="96" t="str">
        <f>IFERROR(__xludf.DUMMYFUNCTION("""COMPUTED_VALUE"""),"BOSURU  BOSURU")</f>
        <v>BOSURU  BOSURU</v>
      </c>
      <c r="D358" s="96" t="str">
        <f>IFERROR(__xludf.DUMMYFUNCTION("""COMPUTED_VALUE"""),"BOSURU  BOSURU17")</f>
        <v>BOSURU  BOSURU17</v>
      </c>
      <c r="E358" s="96"/>
      <c r="F358" s="96"/>
      <c r="G358" s="96"/>
      <c r="H358" s="96"/>
      <c r="I358" s="96"/>
      <c r="J358" s="96"/>
      <c r="K358" s="96">
        <f>IFERROR(__xludf.DUMMYFUNCTION("""COMPUTED_VALUE"""),70000.0)</f>
        <v>70000</v>
      </c>
      <c r="L358" s="99">
        <f>IFERROR(__xludf.DUMMYFUNCTION("""COMPUTED_VALUE"""),70000.0)</f>
        <v>70000</v>
      </c>
      <c r="M358" s="96"/>
      <c r="N358" s="96">
        <f>IFERROR(__xludf.DUMMYFUNCTION("""COMPUTED_VALUE"""),0.0)</f>
        <v>0</v>
      </c>
      <c r="O358" s="96">
        <f>IFERROR(__xludf.DUMMYFUNCTION("""COMPUTED_VALUE"""),0.0)</f>
        <v>0</v>
      </c>
      <c r="P358" s="96">
        <f>IFERROR(__xludf.DUMMYFUNCTION("""COMPUTED_VALUE"""),0.0)</f>
        <v>0</v>
      </c>
      <c r="Q358" s="129">
        <f>IFERROR(__xludf.DUMMYFUNCTION("""COMPUTED_VALUE"""),0.0)</f>
        <v>0</v>
      </c>
      <c r="R358" s="99"/>
    </row>
    <row r="359">
      <c r="A359" s="96">
        <f>IFERROR(__xludf.DUMMYFUNCTION("""COMPUTED_VALUE"""),8.0)</f>
        <v>8</v>
      </c>
      <c r="B359" s="98">
        <f>IFERROR(__xludf.DUMMYFUNCTION("""COMPUTED_VALUE"""),44088.0)</f>
        <v>44088</v>
      </c>
      <c r="C359" s="96" t="str">
        <f>IFERROR(__xludf.DUMMYFUNCTION("""COMPUTED_VALUE"""),"REMMY BODES")</f>
        <v>REMMY BODES</v>
      </c>
      <c r="D359" s="96" t="str">
        <f>IFERROR(__xludf.DUMMYFUNCTION("""COMPUTED_VALUE"""),"REMMY BODES8")</f>
        <v>REMMY BODES8</v>
      </c>
      <c r="E359" s="96"/>
      <c r="F359" s="96"/>
      <c r="G359" s="96"/>
      <c r="H359" s="96"/>
      <c r="I359" s="96"/>
      <c r="J359" s="96"/>
      <c r="K359" s="96">
        <f>IFERROR(__xludf.DUMMYFUNCTION("""COMPUTED_VALUE"""),48000.0)</f>
        <v>48000</v>
      </c>
      <c r="L359" s="99">
        <f>IFERROR(__xludf.DUMMYFUNCTION("""COMPUTED_VALUE"""),48000.0)</f>
        <v>48000</v>
      </c>
      <c r="M359" s="96"/>
      <c r="N359" s="96">
        <f>IFERROR(__xludf.DUMMYFUNCTION("""COMPUTED_VALUE"""),0.0)</f>
        <v>0</v>
      </c>
      <c r="O359" s="96">
        <f>IFERROR(__xludf.DUMMYFUNCTION("""COMPUTED_VALUE"""),0.0)</f>
        <v>0</v>
      </c>
      <c r="P359" s="96">
        <f>IFERROR(__xludf.DUMMYFUNCTION("""COMPUTED_VALUE"""),0.0)</f>
        <v>0</v>
      </c>
      <c r="Q359" s="129">
        <f>IFERROR(__xludf.DUMMYFUNCTION("""COMPUTED_VALUE"""),0.0)</f>
        <v>0</v>
      </c>
      <c r="R359" s="99"/>
    </row>
    <row r="360">
      <c r="A360" s="96">
        <f>IFERROR(__xludf.DUMMYFUNCTION("""COMPUTED_VALUE"""),18.0)</f>
        <v>18</v>
      </c>
      <c r="B360" s="98">
        <f>IFERROR(__xludf.DUMMYFUNCTION("""COMPUTED_VALUE"""),44088.0)</f>
        <v>44088</v>
      </c>
      <c r="C360" s="96" t="str">
        <f>IFERROR(__xludf.DUMMYFUNCTION("""COMPUTED_VALUE"""),"BOSURU  BOSURU")</f>
        <v>BOSURU  BOSURU</v>
      </c>
      <c r="D360" s="96" t="str">
        <f>IFERROR(__xludf.DUMMYFUNCTION("""COMPUTED_VALUE"""),"BOSURU  BOSURU18")</f>
        <v>BOSURU  BOSURU18</v>
      </c>
      <c r="E360" s="96"/>
      <c r="F360" s="96"/>
      <c r="G360" s="96"/>
      <c r="H360" s="96"/>
      <c r="I360" s="96"/>
      <c r="J360" s="96"/>
      <c r="K360" s="96">
        <f>IFERROR(__xludf.DUMMYFUNCTION("""COMPUTED_VALUE"""),48000.0)</f>
        <v>48000</v>
      </c>
      <c r="L360" s="99">
        <f>IFERROR(__xludf.DUMMYFUNCTION("""COMPUTED_VALUE"""),48000.0)</f>
        <v>48000</v>
      </c>
      <c r="M360" s="96"/>
      <c r="N360" s="96">
        <f>IFERROR(__xludf.DUMMYFUNCTION("""COMPUTED_VALUE"""),0.0)</f>
        <v>0</v>
      </c>
      <c r="O360" s="96">
        <f>IFERROR(__xludf.DUMMYFUNCTION("""COMPUTED_VALUE"""),0.0)</f>
        <v>0</v>
      </c>
      <c r="P360" s="96">
        <f>IFERROR(__xludf.DUMMYFUNCTION("""COMPUTED_VALUE"""),0.0)</f>
        <v>0</v>
      </c>
      <c r="Q360" s="129">
        <f>IFERROR(__xludf.DUMMYFUNCTION("""COMPUTED_VALUE"""),0.0)</f>
        <v>0</v>
      </c>
      <c r="R360" s="99"/>
    </row>
    <row r="361">
      <c r="A361" s="96">
        <f>IFERROR(__xludf.DUMMYFUNCTION("""COMPUTED_VALUE"""),8.0)</f>
        <v>8</v>
      </c>
      <c r="B361" s="98">
        <f>IFERROR(__xludf.DUMMYFUNCTION("""COMPUTED_VALUE"""),44088.0)</f>
        <v>44088</v>
      </c>
      <c r="C361" s="96" t="str">
        <f>IFERROR(__xludf.DUMMYFUNCTION("""COMPUTED_VALUE"""),"OTU KOKO KEIBO")</f>
        <v>OTU KOKO KEIBO</v>
      </c>
      <c r="D361" s="96" t="str">
        <f>IFERROR(__xludf.DUMMYFUNCTION("""COMPUTED_VALUE"""),"OTU KOKO KEIBO8")</f>
        <v>OTU KOKO KEIBO8</v>
      </c>
      <c r="E361" s="96"/>
      <c r="F361" s="96"/>
      <c r="G361" s="96"/>
      <c r="H361" s="96"/>
      <c r="I361" s="96"/>
      <c r="J361" s="96"/>
      <c r="K361" s="96">
        <f>IFERROR(__xludf.DUMMYFUNCTION("""COMPUTED_VALUE"""),56000.0)</f>
        <v>56000</v>
      </c>
      <c r="L361" s="99">
        <f>IFERROR(__xludf.DUMMYFUNCTION("""COMPUTED_VALUE"""),56000.0)</f>
        <v>56000</v>
      </c>
      <c r="M361" s="96"/>
      <c r="N361" s="96">
        <f>IFERROR(__xludf.DUMMYFUNCTION("""COMPUTED_VALUE"""),0.0)</f>
        <v>0</v>
      </c>
      <c r="O361" s="96">
        <f>IFERROR(__xludf.DUMMYFUNCTION("""COMPUTED_VALUE"""),0.0)</f>
        <v>0</v>
      </c>
      <c r="P361" s="96">
        <f>IFERROR(__xludf.DUMMYFUNCTION("""COMPUTED_VALUE"""),0.0)</f>
        <v>0</v>
      </c>
      <c r="Q361" s="129">
        <f>IFERROR(__xludf.DUMMYFUNCTION("""COMPUTED_VALUE"""),0.0)</f>
        <v>0</v>
      </c>
      <c r="R361" s="99"/>
    </row>
    <row r="362">
      <c r="A362" s="96">
        <f>IFERROR(__xludf.DUMMYFUNCTION("""COMPUTED_VALUE"""),10.0)</f>
        <v>10</v>
      </c>
      <c r="B362" s="98">
        <f>IFERROR(__xludf.DUMMYFUNCTION("""COMPUTED_VALUE"""),44088.0)</f>
        <v>44088</v>
      </c>
      <c r="C362" s="96" t="str">
        <f>IFERROR(__xludf.DUMMYFUNCTION("""COMPUTED_VALUE"""),"CORNWELL")</f>
        <v>CORNWELL</v>
      </c>
      <c r="D362" s="96" t="str">
        <f>IFERROR(__xludf.DUMMYFUNCTION("""COMPUTED_VALUE"""),"CORNWELL10")</f>
        <v>CORNWELL10</v>
      </c>
      <c r="E362" s="96"/>
      <c r="F362" s="96"/>
      <c r="G362" s="96"/>
      <c r="H362" s="96"/>
      <c r="I362" s="96"/>
      <c r="J362" s="96"/>
      <c r="K362" s="96">
        <f>IFERROR(__xludf.DUMMYFUNCTION("""COMPUTED_VALUE"""),36000.0)</f>
        <v>36000</v>
      </c>
      <c r="L362" s="99">
        <f>IFERROR(__xludf.DUMMYFUNCTION("""COMPUTED_VALUE"""),36000.0)</f>
        <v>36000</v>
      </c>
      <c r="M362" s="96"/>
      <c r="N362" s="96">
        <f>IFERROR(__xludf.DUMMYFUNCTION("""COMPUTED_VALUE"""),0.0)</f>
        <v>0</v>
      </c>
      <c r="O362" s="96">
        <f>IFERROR(__xludf.DUMMYFUNCTION("""COMPUTED_VALUE"""),0.0)</f>
        <v>0</v>
      </c>
      <c r="P362" s="96">
        <f>IFERROR(__xludf.DUMMYFUNCTION("""COMPUTED_VALUE"""),0.0)</f>
        <v>0</v>
      </c>
      <c r="Q362" s="129">
        <f>IFERROR(__xludf.DUMMYFUNCTION("""COMPUTED_VALUE"""),0.0)</f>
        <v>0</v>
      </c>
      <c r="R362" s="99"/>
    </row>
    <row r="363">
      <c r="A363" s="96">
        <f>IFERROR(__xludf.DUMMYFUNCTION("""COMPUTED_VALUE"""),11.0)</f>
        <v>11</v>
      </c>
      <c r="B363" s="98">
        <f>IFERROR(__xludf.DUMMYFUNCTION("""COMPUTED_VALUE"""),44089.0)</f>
        <v>44089</v>
      </c>
      <c r="C363" s="96" t="str">
        <f>IFERROR(__xludf.DUMMYFUNCTION("""COMPUTED_VALUE"""),"ALFRED ALABI")</f>
        <v>ALFRED ALABI</v>
      </c>
      <c r="D363" s="96" t="str">
        <f>IFERROR(__xludf.DUMMYFUNCTION("""COMPUTED_VALUE"""),"ALFRED ALABI11")</f>
        <v>ALFRED ALABI11</v>
      </c>
      <c r="E363" s="96">
        <f>IFERROR(__xludf.DUMMYFUNCTION("""COMPUTED_VALUE"""),1429.0)</f>
        <v>1429</v>
      </c>
      <c r="F363" s="96">
        <f>IFERROR(__xludf.DUMMYFUNCTION("""COMPUTED_VALUE"""),199.0)</f>
        <v>199</v>
      </c>
      <c r="G363" s="96"/>
      <c r="H363" s="96">
        <f>IFERROR(__xludf.DUMMYFUNCTION("""COMPUTED_VALUE"""),21.0)</f>
        <v>21</v>
      </c>
      <c r="I363" s="96">
        <f>IFERROR(__xludf.DUMMYFUNCTION("""COMPUTED_VALUE"""),0.0)</f>
        <v>0</v>
      </c>
      <c r="J363" s="96">
        <f>IFERROR(__xludf.DUMMYFUNCTION("""COMPUTED_VALUE"""),837.06)</f>
        <v>837.06</v>
      </c>
      <c r="K363" s="96"/>
      <c r="L363" s="99">
        <f>IFERROR(__xludf.DUMMYFUNCTION("""COMPUTED_VALUE"""),-1161000.0)</f>
        <v>-1161000</v>
      </c>
      <c r="M363" s="96">
        <f>IFERROR(__xludf.DUMMYFUNCTION("""COMPUTED_VALUE"""),9.48)</f>
        <v>9.48</v>
      </c>
      <c r="N363" s="96">
        <f>IFERROR(__xludf.DUMMYFUNCTION("""COMPUTED_VALUE"""),21.0)</f>
        <v>21</v>
      </c>
      <c r="O363" s="96">
        <f>IFERROR(__xludf.DUMMYFUNCTION("""COMPUTED_VALUE"""),22.0)</f>
        <v>22</v>
      </c>
      <c r="P363" s="96">
        <f>IFERROR(__xludf.DUMMYFUNCTION("""COMPUTED_VALUE"""),0.0)</f>
        <v>0</v>
      </c>
      <c r="Q363" s="129">
        <f>IFERROR(__xludf.DUMMYFUNCTION("""COMPUTED_VALUE"""),1387.0)</f>
        <v>1387</v>
      </c>
      <c r="R363" s="99">
        <f>IFERROR(__xludf.DUMMYFUNCTION("""COMPUTED_VALUE"""),1161000.0)</f>
        <v>1161000</v>
      </c>
    </row>
    <row r="364">
      <c r="A364" s="96">
        <f>IFERROR(__xludf.DUMMYFUNCTION("""COMPUTED_VALUE"""),4.0)</f>
        <v>4</v>
      </c>
      <c r="B364" s="98">
        <f>IFERROR(__xludf.DUMMYFUNCTION("""COMPUTED_VALUE"""),44085.0)</f>
        <v>44085</v>
      </c>
      <c r="C364" s="96" t="str">
        <f>IFERROR(__xludf.DUMMYFUNCTION("""COMPUTED_VALUE"""),"AGEGE BOY")</f>
        <v>AGEGE BOY</v>
      </c>
      <c r="D364" s="96" t="str">
        <f>IFERROR(__xludf.DUMMYFUNCTION("""COMPUTED_VALUE"""),"AGEGE BOY4")</f>
        <v>AGEGE BOY4</v>
      </c>
      <c r="E364" s="96"/>
      <c r="F364" s="96"/>
      <c r="G364" s="96"/>
      <c r="H364" s="96"/>
      <c r="I364" s="96"/>
      <c r="J364" s="96"/>
      <c r="K364" s="96">
        <f>IFERROR(__xludf.DUMMYFUNCTION("""COMPUTED_VALUE"""),600.0)</f>
        <v>600</v>
      </c>
      <c r="L364" s="99">
        <f>IFERROR(__xludf.DUMMYFUNCTION("""COMPUTED_VALUE"""),600.0)</f>
        <v>600</v>
      </c>
      <c r="M364" s="96"/>
      <c r="N364" s="96">
        <f>IFERROR(__xludf.DUMMYFUNCTION("""COMPUTED_VALUE"""),0.0)</f>
        <v>0</v>
      </c>
      <c r="O364" s="96">
        <f>IFERROR(__xludf.DUMMYFUNCTION("""COMPUTED_VALUE"""),0.0)</f>
        <v>0</v>
      </c>
      <c r="P364" s="96">
        <f>IFERROR(__xludf.DUMMYFUNCTION("""COMPUTED_VALUE"""),0.0)</f>
        <v>0</v>
      </c>
      <c r="Q364" s="129">
        <f>IFERROR(__xludf.DUMMYFUNCTION("""COMPUTED_VALUE"""),0.0)</f>
        <v>0</v>
      </c>
      <c r="R364" s="99"/>
    </row>
    <row r="365">
      <c r="A365" s="96">
        <f>IFERROR(__xludf.DUMMYFUNCTION("""COMPUTED_VALUE"""),21.0)</f>
        <v>21</v>
      </c>
      <c r="B365" s="98">
        <f>IFERROR(__xludf.DUMMYFUNCTION("""COMPUTED_VALUE"""),44074.0)</f>
        <v>44074</v>
      </c>
      <c r="C365" s="96" t="str">
        <f>IFERROR(__xludf.DUMMYFUNCTION("""COMPUTED_VALUE"""),"LYDIA HNSON ")</f>
        <v>LYDIA HNSON </v>
      </c>
      <c r="D365" s="96" t="str">
        <f>IFERROR(__xludf.DUMMYFUNCTION("""COMPUTED_VALUE"""),"LYDIA HNSON 21")</f>
        <v>LYDIA HNSON 21</v>
      </c>
      <c r="E365" s="96"/>
      <c r="F365" s="96"/>
      <c r="G365" s="96"/>
      <c r="H365" s="96"/>
      <c r="I365" s="96"/>
      <c r="J365" s="96"/>
      <c r="K365" s="96">
        <f>IFERROR(__xludf.DUMMYFUNCTION("""COMPUTED_VALUE"""),-35000.0)</f>
        <v>-35000</v>
      </c>
      <c r="L365" s="99">
        <f>IFERROR(__xludf.DUMMYFUNCTION("""COMPUTED_VALUE"""),-35000.0)</f>
        <v>-35000</v>
      </c>
      <c r="M365" s="96"/>
      <c r="N365" s="96">
        <f>IFERROR(__xludf.DUMMYFUNCTION("""COMPUTED_VALUE"""),0.0)</f>
        <v>0</v>
      </c>
      <c r="O365" s="96">
        <f>IFERROR(__xludf.DUMMYFUNCTION("""COMPUTED_VALUE"""),0.0)</f>
        <v>0</v>
      </c>
      <c r="P365" s="96">
        <f>IFERROR(__xludf.DUMMYFUNCTION("""COMPUTED_VALUE"""),0.0)</f>
        <v>0</v>
      </c>
      <c r="Q365" s="129">
        <f>IFERROR(__xludf.DUMMYFUNCTION("""COMPUTED_VALUE"""),0.0)</f>
        <v>0</v>
      </c>
      <c r="R365" s="99"/>
    </row>
    <row r="366">
      <c r="A366" s="96">
        <f>IFERROR(__xludf.DUMMYFUNCTION("""COMPUTED_VALUE"""),5.0)</f>
        <v>5</v>
      </c>
      <c r="B366" s="98">
        <f>IFERROR(__xludf.DUMMYFUNCTION("""COMPUTED_VALUE"""),44074.0)</f>
        <v>44074</v>
      </c>
      <c r="C366" s="96" t="str">
        <f>IFERROR(__xludf.DUMMYFUNCTION("""COMPUTED_VALUE"""),"AGEGE BOY")</f>
        <v>AGEGE BOY</v>
      </c>
      <c r="D366" s="96" t="str">
        <f>IFERROR(__xludf.DUMMYFUNCTION("""COMPUTED_VALUE"""),"AGEGE BOY5")</f>
        <v>AGEGE BOY5</v>
      </c>
      <c r="E366" s="96"/>
      <c r="F366" s="96"/>
      <c r="G366" s="96"/>
      <c r="H366" s="96"/>
      <c r="I366" s="96"/>
      <c r="J366" s="96"/>
      <c r="K366" s="96">
        <f>IFERROR(__xludf.DUMMYFUNCTION("""COMPUTED_VALUE"""),35000.0)</f>
        <v>35000</v>
      </c>
      <c r="L366" s="99">
        <f>IFERROR(__xludf.DUMMYFUNCTION("""COMPUTED_VALUE"""),35000.0)</f>
        <v>35000</v>
      </c>
      <c r="M366" s="96"/>
      <c r="N366" s="96">
        <f>IFERROR(__xludf.DUMMYFUNCTION("""COMPUTED_VALUE"""),0.0)</f>
        <v>0</v>
      </c>
      <c r="O366" s="96">
        <f>IFERROR(__xludf.DUMMYFUNCTION("""COMPUTED_VALUE"""),0.0)</f>
        <v>0</v>
      </c>
      <c r="P366" s="96">
        <f>IFERROR(__xludf.DUMMYFUNCTION("""COMPUTED_VALUE"""),0.0)</f>
        <v>0</v>
      </c>
      <c r="Q366" s="129">
        <f>IFERROR(__xludf.DUMMYFUNCTION("""COMPUTED_VALUE"""),0.0)</f>
        <v>0</v>
      </c>
      <c r="R366" s="99"/>
    </row>
    <row r="367">
      <c r="A367" s="96">
        <f>IFERROR(__xludf.DUMMYFUNCTION("""COMPUTED_VALUE"""),1.0)</f>
        <v>1</v>
      </c>
      <c r="B367" s="98">
        <f>IFERROR(__xludf.DUMMYFUNCTION("""COMPUTED_VALUE"""),44089.0)</f>
        <v>44089</v>
      </c>
      <c r="C367" s="96" t="str">
        <f>IFERROR(__xludf.DUMMYFUNCTION("""COMPUTED_VALUE"""),"ABANG. ODI")</f>
        <v>ABANG. ODI</v>
      </c>
      <c r="D367" s="96" t="str">
        <f>IFERROR(__xludf.DUMMYFUNCTION("""COMPUTED_VALUE"""),"ABANG. ODI1")</f>
        <v>ABANG. ODI1</v>
      </c>
      <c r="E367" s="96"/>
      <c r="F367" s="96"/>
      <c r="G367" s="96"/>
      <c r="H367" s="96"/>
      <c r="I367" s="96"/>
      <c r="J367" s="96"/>
      <c r="K367" s="96">
        <f>IFERROR(__xludf.DUMMYFUNCTION("""COMPUTED_VALUE"""),10000.0)</f>
        <v>10000</v>
      </c>
      <c r="L367" s="99">
        <f>IFERROR(__xludf.DUMMYFUNCTION("""COMPUTED_VALUE"""),10000.0)</f>
        <v>10000</v>
      </c>
      <c r="M367" s="96"/>
      <c r="N367" s="96">
        <f>IFERROR(__xludf.DUMMYFUNCTION("""COMPUTED_VALUE"""),0.0)</f>
        <v>0</v>
      </c>
      <c r="O367" s="96">
        <f>IFERROR(__xludf.DUMMYFUNCTION("""COMPUTED_VALUE"""),0.0)</f>
        <v>0</v>
      </c>
      <c r="P367" s="96">
        <f>IFERROR(__xludf.DUMMYFUNCTION("""COMPUTED_VALUE"""),0.0)</f>
        <v>0</v>
      </c>
      <c r="Q367" s="129">
        <f>IFERROR(__xludf.DUMMYFUNCTION("""COMPUTED_VALUE"""),0.0)</f>
        <v>0</v>
      </c>
      <c r="R367" s="99"/>
    </row>
    <row r="368">
      <c r="A368" s="96">
        <f>IFERROR(__xludf.DUMMYFUNCTION("""COMPUTED_VALUE"""),1.0)</f>
        <v>1</v>
      </c>
      <c r="B368" s="98">
        <f>IFERROR(__xludf.DUMMYFUNCTION("""COMPUTED_VALUE"""),44089.0)</f>
        <v>44089</v>
      </c>
      <c r="C368" s="96" t="str">
        <f>IFERROR(__xludf.DUMMYFUNCTION("""COMPUTED_VALUE"""),"ABANG. ORU")</f>
        <v>ABANG. ORU</v>
      </c>
      <c r="D368" s="96" t="str">
        <f>IFERROR(__xludf.DUMMYFUNCTION("""COMPUTED_VALUE"""),"ABANG. ORU1")</f>
        <v>ABANG. ORU1</v>
      </c>
      <c r="E368" s="96"/>
      <c r="F368" s="96"/>
      <c r="G368" s="96"/>
      <c r="H368" s="96"/>
      <c r="I368" s="96"/>
      <c r="J368" s="96"/>
      <c r="K368" s="96">
        <f>IFERROR(__xludf.DUMMYFUNCTION("""COMPUTED_VALUE"""),50000.0)</f>
        <v>50000</v>
      </c>
      <c r="L368" s="99">
        <f>IFERROR(__xludf.DUMMYFUNCTION("""COMPUTED_VALUE"""),50000.0)</f>
        <v>50000</v>
      </c>
      <c r="M368" s="96"/>
      <c r="N368" s="96">
        <f>IFERROR(__xludf.DUMMYFUNCTION("""COMPUTED_VALUE"""),0.0)</f>
        <v>0</v>
      </c>
      <c r="O368" s="96">
        <f>IFERROR(__xludf.DUMMYFUNCTION("""COMPUTED_VALUE"""),0.0)</f>
        <v>0</v>
      </c>
      <c r="P368" s="96">
        <f>IFERROR(__xludf.DUMMYFUNCTION("""COMPUTED_VALUE"""),0.0)</f>
        <v>0</v>
      </c>
      <c r="Q368" s="129">
        <f>IFERROR(__xludf.DUMMYFUNCTION("""COMPUTED_VALUE"""),0.0)</f>
        <v>0</v>
      </c>
      <c r="R368" s="99"/>
    </row>
    <row r="369">
      <c r="A369" s="96">
        <f>IFERROR(__xludf.DUMMYFUNCTION("""COMPUTED_VALUE"""),14.0)</f>
        <v>14</v>
      </c>
      <c r="B369" s="98">
        <f>IFERROR(__xludf.DUMMYFUNCTION("""COMPUTED_VALUE"""),44089.0)</f>
        <v>44089</v>
      </c>
      <c r="C369" s="96" t="str">
        <f>IFERROR(__xludf.DUMMYFUNCTION("""COMPUTED_VALUE""")," MAXWELL AGRO")</f>
        <v> MAXWELL AGRO</v>
      </c>
      <c r="D369" s="96" t="str">
        <f>IFERROR(__xludf.DUMMYFUNCTION("""COMPUTED_VALUE""")," MAXWELL AGRO14")</f>
        <v> MAXWELL AGRO14</v>
      </c>
      <c r="E369" s="96"/>
      <c r="F369" s="96"/>
      <c r="G369" s="96"/>
      <c r="H369" s="96"/>
      <c r="I369" s="96"/>
      <c r="J369" s="96"/>
      <c r="K369" s="96">
        <f>IFERROR(__xludf.DUMMYFUNCTION("""COMPUTED_VALUE"""),4500.0)</f>
        <v>4500</v>
      </c>
      <c r="L369" s="99">
        <f>IFERROR(__xludf.DUMMYFUNCTION("""COMPUTED_VALUE"""),4500.0)</f>
        <v>4500</v>
      </c>
      <c r="M369" s="96"/>
      <c r="N369" s="96">
        <f>IFERROR(__xludf.DUMMYFUNCTION("""COMPUTED_VALUE"""),0.0)</f>
        <v>0</v>
      </c>
      <c r="O369" s="96">
        <f>IFERROR(__xludf.DUMMYFUNCTION("""COMPUTED_VALUE"""),0.0)</f>
        <v>0</v>
      </c>
      <c r="P369" s="96">
        <f>IFERROR(__xludf.DUMMYFUNCTION("""COMPUTED_VALUE"""),0.0)</f>
        <v>0</v>
      </c>
      <c r="Q369" s="129">
        <f>IFERROR(__xludf.DUMMYFUNCTION("""COMPUTED_VALUE"""),0.0)</f>
        <v>0</v>
      </c>
      <c r="R369" s="99"/>
    </row>
    <row r="370">
      <c r="A370" s="96">
        <f>IFERROR(__xludf.DUMMYFUNCTION("""COMPUTED_VALUE"""),19.0)</f>
        <v>19</v>
      </c>
      <c r="B370" s="98">
        <f>IFERROR(__xludf.DUMMYFUNCTION("""COMPUTED_VALUE"""),44089.0)</f>
        <v>44089</v>
      </c>
      <c r="C370" s="96" t="str">
        <f>IFERROR(__xludf.DUMMYFUNCTION("""COMPUTED_VALUE"""),"BOSURU  BOSURU")</f>
        <v>BOSURU  BOSURU</v>
      </c>
      <c r="D370" s="96" t="str">
        <f>IFERROR(__xludf.DUMMYFUNCTION("""COMPUTED_VALUE"""),"BOSURU  BOSURU19")</f>
        <v>BOSURU  BOSURU19</v>
      </c>
      <c r="E370" s="96"/>
      <c r="F370" s="96"/>
      <c r="G370" s="96"/>
      <c r="H370" s="96"/>
      <c r="I370" s="96"/>
      <c r="J370" s="96"/>
      <c r="K370" s="96">
        <f>IFERROR(__xludf.DUMMYFUNCTION("""COMPUTED_VALUE"""),750000.0)</f>
        <v>750000</v>
      </c>
      <c r="L370" s="99">
        <f>IFERROR(__xludf.DUMMYFUNCTION("""COMPUTED_VALUE"""),750000.0)</f>
        <v>750000</v>
      </c>
      <c r="M370" s="96"/>
      <c r="N370" s="96">
        <f>IFERROR(__xludf.DUMMYFUNCTION("""COMPUTED_VALUE"""),0.0)</f>
        <v>0</v>
      </c>
      <c r="O370" s="96">
        <f>IFERROR(__xludf.DUMMYFUNCTION("""COMPUTED_VALUE"""),0.0)</f>
        <v>0</v>
      </c>
      <c r="P370" s="96">
        <f>IFERROR(__xludf.DUMMYFUNCTION("""COMPUTED_VALUE"""),0.0)</f>
        <v>0</v>
      </c>
      <c r="Q370" s="129">
        <f>IFERROR(__xludf.DUMMYFUNCTION("""COMPUTED_VALUE"""),0.0)</f>
        <v>0</v>
      </c>
      <c r="R370" s="99"/>
    </row>
    <row r="371">
      <c r="A371" s="96">
        <f>IFERROR(__xludf.DUMMYFUNCTION("""COMPUTED_VALUE"""),9.0)</f>
        <v>9</v>
      </c>
      <c r="B371" s="98">
        <f>IFERROR(__xludf.DUMMYFUNCTION("""COMPUTED_VALUE"""),44089.0)</f>
        <v>44089</v>
      </c>
      <c r="C371" s="96" t="str">
        <f>IFERROR(__xludf.DUMMYFUNCTION("""COMPUTED_VALUE"""),"REMMY BODES")</f>
        <v>REMMY BODES</v>
      </c>
      <c r="D371" s="96" t="str">
        <f>IFERROR(__xludf.DUMMYFUNCTION("""COMPUTED_VALUE"""),"REMMY BODES9")</f>
        <v>REMMY BODES9</v>
      </c>
      <c r="E371" s="96"/>
      <c r="F371" s="96"/>
      <c r="G371" s="96"/>
      <c r="H371" s="96"/>
      <c r="I371" s="96"/>
      <c r="J371" s="96"/>
      <c r="K371" s="96">
        <f>IFERROR(__xludf.DUMMYFUNCTION("""COMPUTED_VALUE"""),500000.0)</f>
        <v>500000</v>
      </c>
      <c r="L371" s="99">
        <f>IFERROR(__xludf.DUMMYFUNCTION("""COMPUTED_VALUE"""),500000.0)</f>
        <v>500000</v>
      </c>
      <c r="M371" s="96"/>
      <c r="N371" s="96">
        <f>IFERROR(__xludf.DUMMYFUNCTION("""COMPUTED_VALUE"""),0.0)</f>
        <v>0</v>
      </c>
      <c r="O371" s="96">
        <f>IFERROR(__xludf.DUMMYFUNCTION("""COMPUTED_VALUE"""),0.0)</f>
        <v>0</v>
      </c>
      <c r="P371" s="96">
        <f>IFERROR(__xludf.DUMMYFUNCTION("""COMPUTED_VALUE"""),0.0)</f>
        <v>0</v>
      </c>
      <c r="Q371" s="129">
        <f>IFERROR(__xludf.DUMMYFUNCTION("""COMPUTED_VALUE"""),0.0)</f>
        <v>0</v>
      </c>
      <c r="R371" s="99"/>
    </row>
    <row r="372">
      <c r="A372" s="96">
        <f>IFERROR(__xludf.DUMMYFUNCTION("""COMPUTED_VALUE"""),9.0)</f>
        <v>9</v>
      </c>
      <c r="B372" s="98">
        <f>IFERROR(__xludf.DUMMYFUNCTION("""COMPUTED_VALUE"""),44089.0)</f>
        <v>44089</v>
      </c>
      <c r="C372" s="96" t="str">
        <f>IFERROR(__xludf.DUMMYFUNCTION("""COMPUTED_VALUE"""),"A. D. FREDERICK")</f>
        <v>A. D. FREDERICK</v>
      </c>
      <c r="D372" s="96" t="str">
        <f>IFERROR(__xludf.DUMMYFUNCTION("""COMPUTED_VALUE"""),"A. D. FREDERICK9")</f>
        <v>A. D. FREDERICK9</v>
      </c>
      <c r="E372" s="96"/>
      <c r="F372" s="96"/>
      <c r="G372" s="96"/>
      <c r="H372" s="96"/>
      <c r="I372" s="96"/>
      <c r="J372" s="96"/>
      <c r="K372" s="96">
        <f>IFERROR(__xludf.DUMMYFUNCTION("""COMPUTED_VALUE"""),340000.0)</f>
        <v>340000</v>
      </c>
      <c r="L372" s="99">
        <f>IFERROR(__xludf.DUMMYFUNCTION("""COMPUTED_VALUE"""),340000.0)</f>
        <v>340000</v>
      </c>
      <c r="M372" s="96"/>
      <c r="N372" s="96">
        <f>IFERROR(__xludf.DUMMYFUNCTION("""COMPUTED_VALUE"""),0.0)</f>
        <v>0</v>
      </c>
      <c r="O372" s="96">
        <f>IFERROR(__xludf.DUMMYFUNCTION("""COMPUTED_VALUE"""),0.0)</f>
        <v>0</v>
      </c>
      <c r="P372" s="96">
        <f>IFERROR(__xludf.DUMMYFUNCTION("""COMPUTED_VALUE"""),0.0)</f>
        <v>0</v>
      </c>
      <c r="Q372" s="129">
        <f>IFERROR(__xludf.DUMMYFUNCTION("""COMPUTED_VALUE"""),0.0)</f>
        <v>0</v>
      </c>
      <c r="R372" s="99"/>
    </row>
    <row r="373">
      <c r="A373" s="96">
        <f>IFERROR(__xludf.DUMMYFUNCTION("""COMPUTED_VALUE"""),5.0)</f>
        <v>5</v>
      </c>
      <c r="B373" s="98">
        <f>IFERROR(__xludf.DUMMYFUNCTION("""COMPUTED_VALUE"""),44089.0)</f>
        <v>44089</v>
      </c>
      <c r="C373" s="96" t="str">
        <f>IFERROR(__xludf.DUMMYFUNCTION("""COMPUTED_VALUE"""),"PRINNESS")</f>
        <v>PRINNESS</v>
      </c>
      <c r="D373" s="96" t="str">
        <f>IFERROR(__xludf.DUMMYFUNCTION("""COMPUTED_VALUE"""),"PRINNESS5")</f>
        <v>PRINNESS5</v>
      </c>
      <c r="E373" s="96"/>
      <c r="F373" s="96"/>
      <c r="G373" s="96"/>
      <c r="H373" s="96"/>
      <c r="I373" s="96"/>
      <c r="J373" s="96"/>
      <c r="K373" s="96">
        <f>IFERROR(__xludf.DUMMYFUNCTION("""COMPUTED_VALUE"""),10000.0)</f>
        <v>10000</v>
      </c>
      <c r="L373" s="99">
        <f>IFERROR(__xludf.DUMMYFUNCTION("""COMPUTED_VALUE"""),10000.0)</f>
        <v>10000</v>
      </c>
      <c r="M373" s="96"/>
      <c r="N373" s="96">
        <f>IFERROR(__xludf.DUMMYFUNCTION("""COMPUTED_VALUE"""),0.0)</f>
        <v>0</v>
      </c>
      <c r="O373" s="96">
        <f>IFERROR(__xludf.DUMMYFUNCTION("""COMPUTED_VALUE"""),0.0)</f>
        <v>0</v>
      </c>
      <c r="P373" s="96">
        <f>IFERROR(__xludf.DUMMYFUNCTION("""COMPUTED_VALUE"""),0.0)</f>
        <v>0</v>
      </c>
      <c r="Q373" s="129">
        <f>IFERROR(__xludf.DUMMYFUNCTION("""COMPUTED_VALUE"""),0.0)</f>
        <v>0</v>
      </c>
      <c r="R373" s="99"/>
    </row>
    <row r="374">
      <c r="A374" s="96">
        <f>IFERROR(__xludf.DUMMYFUNCTION("""COMPUTED_VALUE"""),22.0)</f>
        <v>22</v>
      </c>
      <c r="B374" s="98">
        <f>IFERROR(__xludf.DUMMYFUNCTION("""COMPUTED_VALUE"""),44076.0)</f>
        <v>44076</v>
      </c>
      <c r="C374" s="96" t="str">
        <f>IFERROR(__xludf.DUMMYFUNCTION("""COMPUTED_VALUE"""),"LYDIA HNSON ")</f>
        <v>LYDIA HNSON </v>
      </c>
      <c r="D374" s="96" t="str">
        <f>IFERROR(__xludf.DUMMYFUNCTION("""COMPUTED_VALUE"""),"LYDIA HNSON 22")</f>
        <v>LYDIA HNSON 22</v>
      </c>
      <c r="E374" s="96">
        <f>IFERROR(__xludf.DUMMYFUNCTION("""COMPUTED_VALUE"""),203.0)</f>
        <v>203</v>
      </c>
      <c r="F374" s="96">
        <f>IFERROR(__xludf.DUMMYFUNCTION("""COMPUTED_VALUE"""),32.0)</f>
        <v>32</v>
      </c>
      <c r="G374" s="96"/>
      <c r="H374" s="96">
        <f>IFERROR(__xludf.DUMMYFUNCTION("""COMPUTED_VALUE"""),4.0)</f>
        <v>4</v>
      </c>
      <c r="I374" s="96"/>
      <c r="J374" s="96">
        <f>IFERROR(__xludf.DUMMYFUNCTION("""COMPUTED_VALUE"""),890.0)</f>
        <v>890</v>
      </c>
      <c r="K374" s="96"/>
      <c r="L374" s="99">
        <f>IFERROR(__xludf.DUMMYFUNCTION("""COMPUTED_VALUE"""),-177110.0)</f>
        <v>-177110</v>
      </c>
      <c r="M374" s="96">
        <f>IFERROR(__xludf.DUMMYFUNCTION("""COMPUTED_VALUE"""),8.0)</f>
        <v>8</v>
      </c>
      <c r="N374" s="96">
        <f>IFERROR(__xludf.DUMMYFUNCTION("""COMPUTED_VALUE"""),0.0)</f>
        <v>0</v>
      </c>
      <c r="O374" s="96">
        <f>IFERROR(__xludf.DUMMYFUNCTION("""COMPUTED_VALUE"""),3.0)</f>
        <v>3</v>
      </c>
      <c r="P374" s="96">
        <f>IFERROR(__xludf.DUMMYFUNCTION("""COMPUTED_VALUE"""),9.0)</f>
        <v>9</v>
      </c>
      <c r="Q374" s="129">
        <f>IFERROR(__xludf.DUMMYFUNCTION("""COMPUTED_VALUE"""),199.0)</f>
        <v>199</v>
      </c>
      <c r="R374" s="99">
        <f>IFERROR(__xludf.DUMMYFUNCTION("""COMPUTED_VALUE"""),177110.0)</f>
        <v>177110</v>
      </c>
    </row>
    <row r="375">
      <c r="A375" s="96">
        <f>IFERROR(__xludf.DUMMYFUNCTION("""COMPUTED_VALUE"""),23.0)</f>
        <v>23</v>
      </c>
      <c r="B375" s="98">
        <f>IFERROR(__xludf.DUMMYFUNCTION("""COMPUTED_VALUE"""),44086.0)</f>
        <v>44086</v>
      </c>
      <c r="C375" s="96" t="str">
        <f>IFERROR(__xludf.DUMMYFUNCTION("""COMPUTED_VALUE"""),"LYDIA HNSON ")</f>
        <v>LYDIA HNSON </v>
      </c>
      <c r="D375" s="96" t="str">
        <f>IFERROR(__xludf.DUMMYFUNCTION("""COMPUTED_VALUE"""),"LYDIA HNSON 23")</f>
        <v>LYDIA HNSON 23</v>
      </c>
      <c r="E375" s="96">
        <f>IFERROR(__xludf.DUMMYFUNCTION("""COMPUTED_VALUE"""),502.0)</f>
        <v>502</v>
      </c>
      <c r="F375" s="96">
        <f>IFERROR(__xludf.DUMMYFUNCTION("""COMPUTED_VALUE"""),64.0)</f>
        <v>64</v>
      </c>
      <c r="G375" s="96"/>
      <c r="H375" s="96">
        <f>IFERROR(__xludf.DUMMYFUNCTION("""COMPUTED_VALUE"""),8.0)</f>
        <v>8</v>
      </c>
      <c r="I375" s="96"/>
      <c r="J375" s="96">
        <f>IFERROR(__xludf.DUMMYFUNCTION("""COMPUTED_VALUE"""),890.0)</f>
        <v>890</v>
      </c>
      <c r="K375" s="96"/>
      <c r="L375" s="99">
        <f>IFERROR(__xludf.DUMMYFUNCTION("""COMPUTED_VALUE"""),-439660.0)</f>
        <v>-439660</v>
      </c>
      <c r="M375" s="96">
        <f>IFERROR(__xludf.DUMMYFUNCTION("""COMPUTED_VALUE"""),8.0)</f>
        <v>8</v>
      </c>
      <c r="N375" s="96">
        <f>IFERROR(__xludf.DUMMYFUNCTION("""COMPUTED_VALUE"""),0.0)</f>
        <v>0</v>
      </c>
      <c r="O375" s="96">
        <f>IFERROR(__xludf.DUMMYFUNCTION("""COMPUTED_VALUE"""),7.0)</f>
        <v>7</v>
      </c>
      <c r="P375" s="96">
        <f>IFERROR(__xludf.DUMMYFUNCTION("""COMPUTED_VALUE"""),53.0)</f>
        <v>53</v>
      </c>
      <c r="Q375" s="129">
        <f>IFERROR(__xludf.DUMMYFUNCTION("""COMPUTED_VALUE"""),494.0)</f>
        <v>494</v>
      </c>
      <c r="R375" s="99">
        <f>IFERROR(__xludf.DUMMYFUNCTION("""COMPUTED_VALUE"""),439660.0)</f>
        <v>439660</v>
      </c>
    </row>
    <row r="376">
      <c r="A376" s="96">
        <f>IFERROR(__xludf.DUMMYFUNCTION("""COMPUTED_VALUE"""),24.0)</f>
        <v>24</v>
      </c>
      <c r="B376" s="98">
        <f>IFERROR(__xludf.DUMMYFUNCTION("""COMPUTED_VALUE"""),44088.0)</f>
        <v>44088</v>
      </c>
      <c r="C376" s="96" t="str">
        <f>IFERROR(__xludf.DUMMYFUNCTION("""COMPUTED_VALUE"""),"LYDIA HNSON ")</f>
        <v>LYDIA HNSON </v>
      </c>
      <c r="D376" s="96" t="str">
        <f>IFERROR(__xludf.DUMMYFUNCTION("""COMPUTED_VALUE"""),"LYDIA HNSON 24")</f>
        <v>LYDIA HNSON 24</v>
      </c>
      <c r="E376" s="96">
        <f>IFERROR(__xludf.DUMMYFUNCTION("""COMPUTED_VALUE"""),179.0)</f>
        <v>179</v>
      </c>
      <c r="F376" s="96">
        <f>IFERROR(__xludf.DUMMYFUNCTION("""COMPUTED_VALUE"""),24.0)</f>
        <v>24</v>
      </c>
      <c r="G376" s="96"/>
      <c r="H376" s="96">
        <f>IFERROR(__xludf.DUMMYFUNCTION("""COMPUTED_VALUE"""),3.0)</f>
        <v>3</v>
      </c>
      <c r="I376" s="96"/>
      <c r="J376" s="96">
        <f>IFERROR(__xludf.DUMMYFUNCTION("""COMPUTED_VALUE"""),890.0)</f>
        <v>890</v>
      </c>
      <c r="K376" s="96"/>
      <c r="L376" s="99">
        <f>IFERROR(__xludf.DUMMYFUNCTION("""COMPUTED_VALUE"""),-156640.0)</f>
        <v>-156640</v>
      </c>
      <c r="M376" s="96">
        <f>IFERROR(__xludf.DUMMYFUNCTION("""COMPUTED_VALUE"""),8.0)</f>
        <v>8</v>
      </c>
      <c r="N376" s="96">
        <f>IFERROR(__xludf.DUMMYFUNCTION("""COMPUTED_VALUE"""),0.0)</f>
        <v>0</v>
      </c>
      <c r="O376" s="96">
        <f>IFERROR(__xludf.DUMMYFUNCTION("""COMPUTED_VALUE"""),2.0)</f>
        <v>2</v>
      </c>
      <c r="P376" s="96">
        <f>IFERROR(__xludf.DUMMYFUNCTION("""COMPUTED_VALUE"""),50.0)</f>
        <v>50</v>
      </c>
      <c r="Q376" s="129">
        <f>IFERROR(__xludf.DUMMYFUNCTION("""COMPUTED_VALUE"""),176.0)</f>
        <v>176</v>
      </c>
      <c r="R376" s="99">
        <f>IFERROR(__xludf.DUMMYFUNCTION("""COMPUTED_VALUE"""),156640.0)</f>
        <v>156640</v>
      </c>
    </row>
    <row r="377">
      <c r="A377" s="96">
        <f>IFERROR(__xludf.DUMMYFUNCTION("""COMPUTED_VALUE"""),25.0)</f>
        <v>25</v>
      </c>
      <c r="B377" s="98">
        <f>IFERROR(__xludf.DUMMYFUNCTION("""COMPUTED_VALUE"""),44088.0)</f>
        <v>44088</v>
      </c>
      <c r="C377" s="96" t="str">
        <f>IFERROR(__xludf.DUMMYFUNCTION("""COMPUTED_VALUE"""),"LYDIA HNSON ")</f>
        <v>LYDIA HNSON </v>
      </c>
      <c r="D377" s="96" t="str">
        <f>IFERROR(__xludf.DUMMYFUNCTION("""COMPUTED_VALUE"""),"LYDIA HNSON 25")</f>
        <v>LYDIA HNSON 25</v>
      </c>
      <c r="E377" s="96">
        <f>IFERROR(__xludf.DUMMYFUNCTION("""COMPUTED_VALUE"""),39.0)</f>
        <v>39</v>
      </c>
      <c r="F377" s="96">
        <f>IFERROR(__xludf.DUMMYFUNCTION("""COMPUTED_VALUE"""),8.0)</f>
        <v>8</v>
      </c>
      <c r="G377" s="96"/>
      <c r="H377" s="96">
        <f>IFERROR(__xludf.DUMMYFUNCTION("""COMPUTED_VALUE"""),1.0)</f>
        <v>1</v>
      </c>
      <c r="I377" s="96">
        <f>IFERROR(__xludf.DUMMYFUNCTION("""COMPUTED_VALUE"""),1.0)</f>
        <v>1</v>
      </c>
      <c r="J377" s="96">
        <f>IFERROR(__xludf.DUMMYFUNCTION("""COMPUTED_VALUE"""),890.0)</f>
        <v>890</v>
      </c>
      <c r="K377" s="96"/>
      <c r="L377" s="99">
        <f>IFERROR(__xludf.DUMMYFUNCTION("""COMPUTED_VALUE"""),-34710.0)</f>
        <v>-34710</v>
      </c>
      <c r="M377" s="96">
        <f>IFERROR(__xludf.DUMMYFUNCTION("""COMPUTED_VALUE"""),8.0)</f>
        <v>8</v>
      </c>
      <c r="N377" s="96">
        <f>IFERROR(__xludf.DUMMYFUNCTION("""COMPUTED_VALUE"""),0.0)</f>
        <v>0</v>
      </c>
      <c r="O377" s="96">
        <f>IFERROR(__xludf.DUMMYFUNCTION("""COMPUTED_VALUE"""),0.0)</f>
        <v>0</v>
      </c>
      <c r="P377" s="96">
        <f>IFERROR(__xludf.DUMMYFUNCTION("""COMPUTED_VALUE"""),39.0)</f>
        <v>39</v>
      </c>
      <c r="Q377" s="129">
        <f>IFERROR(__xludf.DUMMYFUNCTION("""COMPUTED_VALUE"""),39.0)</f>
        <v>39</v>
      </c>
      <c r="R377" s="99">
        <f>IFERROR(__xludf.DUMMYFUNCTION("""COMPUTED_VALUE"""),34710.0)</f>
        <v>34710</v>
      </c>
    </row>
    <row r="378">
      <c r="A378" s="96">
        <f>IFERROR(__xludf.DUMMYFUNCTION("""COMPUTED_VALUE"""),15.0)</f>
        <v>15</v>
      </c>
      <c r="B378" s="98">
        <f>IFERROR(__xludf.DUMMYFUNCTION("""COMPUTED_VALUE"""),44089.0)</f>
        <v>44089</v>
      </c>
      <c r="C378" s="96" t="str">
        <f>IFERROR(__xludf.DUMMYFUNCTION("""COMPUTED_VALUE""")," MAXWELL AGRO")</f>
        <v> MAXWELL AGRO</v>
      </c>
      <c r="D378" s="96" t="str">
        <f>IFERROR(__xludf.DUMMYFUNCTION("""COMPUTED_VALUE""")," MAXWELL AGRO15")</f>
        <v> MAXWELL AGRO15</v>
      </c>
      <c r="E378" s="96">
        <f>IFERROR(__xludf.DUMMYFUNCTION("""COMPUTED_VALUE"""),668.0)</f>
        <v>668</v>
      </c>
      <c r="F378" s="96">
        <f>IFERROR(__xludf.DUMMYFUNCTION("""COMPUTED_VALUE"""),160.0)</f>
        <v>160</v>
      </c>
      <c r="G378" s="96"/>
      <c r="H378" s="96">
        <f>IFERROR(__xludf.DUMMYFUNCTION("""COMPUTED_VALUE"""),10.0)</f>
        <v>10</v>
      </c>
      <c r="I378" s="96"/>
      <c r="J378" s="96">
        <f>IFERROR(__xludf.DUMMYFUNCTION("""COMPUTED_VALUE"""),2568.54)</f>
        <v>2568.54</v>
      </c>
      <c r="K378" s="96"/>
      <c r="L378" s="99">
        <f>IFERROR(__xludf.DUMMYFUNCTION("""COMPUTED_VALUE"""),-1553968.0)</f>
        <v>-1553968</v>
      </c>
      <c r="M378" s="96">
        <f>IFERROR(__xludf.DUMMYFUNCTION("""COMPUTED_VALUE"""),16.0)</f>
        <v>16</v>
      </c>
      <c r="N378" s="96">
        <f>IFERROR(__xludf.DUMMYFUNCTION("""COMPUTED_VALUE"""),53.0)</f>
        <v>53</v>
      </c>
      <c r="O378" s="96">
        <f>IFERROR(__xludf.DUMMYFUNCTION("""COMPUTED_VALUE"""),9.0)</f>
        <v>9</v>
      </c>
      <c r="P378" s="96">
        <f>IFERROR(__xludf.DUMMYFUNCTION("""COMPUTED_VALUE"""),38.0)</f>
        <v>38</v>
      </c>
      <c r="Q378" s="129">
        <f>IFERROR(__xludf.DUMMYFUNCTION("""COMPUTED_VALUE"""),605.0)</f>
        <v>605</v>
      </c>
      <c r="R378" s="99">
        <f>IFERROR(__xludf.DUMMYFUNCTION("""COMPUTED_VALUE"""),1553968.0)</f>
        <v>1553968</v>
      </c>
    </row>
    <row r="379">
      <c r="A379" s="96">
        <f>IFERROR(__xludf.DUMMYFUNCTION("""COMPUTED_VALUE"""),6.0)</f>
        <v>6</v>
      </c>
      <c r="B379" s="98">
        <f>IFERROR(__xludf.DUMMYFUNCTION("""COMPUTED_VALUE"""),44089.0)</f>
        <v>44089</v>
      </c>
      <c r="C379" s="96" t="str">
        <f>IFERROR(__xludf.DUMMYFUNCTION("""COMPUTED_VALUE"""),"PRINNESS")</f>
        <v>PRINNESS</v>
      </c>
      <c r="D379" s="96" t="str">
        <f>IFERROR(__xludf.DUMMYFUNCTION("""COMPUTED_VALUE"""),"PRINNESS6")</f>
        <v>PRINNESS6</v>
      </c>
      <c r="E379" s="96">
        <f>IFERROR(__xludf.DUMMYFUNCTION("""COMPUTED_VALUE"""),324.0)</f>
        <v>324</v>
      </c>
      <c r="F379" s="96">
        <f>IFERROR(__xludf.DUMMYFUNCTION("""COMPUTED_VALUE"""),57.0)</f>
        <v>57</v>
      </c>
      <c r="G379" s="96"/>
      <c r="H379" s="96">
        <f>IFERROR(__xludf.DUMMYFUNCTION("""COMPUTED_VALUE"""),4.0)</f>
        <v>4</v>
      </c>
      <c r="I379" s="96"/>
      <c r="J379" s="96">
        <f>IFERROR(__xludf.DUMMYFUNCTION("""COMPUTED_VALUE"""),1766.67)</f>
        <v>1766.67</v>
      </c>
      <c r="K379" s="96"/>
      <c r="L379" s="99">
        <f>IFERROR(__xludf.DUMMYFUNCTION("""COMPUTED_VALUE"""),-530000.0)</f>
        <v>-530000</v>
      </c>
      <c r="M379" s="96">
        <f>IFERROR(__xludf.DUMMYFUNCTION("""COMPUTED_VALUE"""),14.25)</f>
        <v>14.25</v>
      </c>
      <c r="N379" s="96">
        <f>IFERROR(__xludf.DUMMYFUNCTION("""COMPUTED_VALUE"""),20.0)</f>
        <v>20</v>
      </c>
      <c r="O379" s="96">
        <f>IFERROR(__xludf.DUMMYFUNCTION("""COMPUTED_VALUE"""),4.0)</f>
        <v>4</v>
      </c>
      <c r="P379" s="96">
        <f>IFERROR(__xludf.DUMMYFUNCTION("""COMPUTED_VALUE"""),48.0)</f>
        <v>48</v>
      </c>
      <c r="Q379" s="129">
        <f>IFERROR(__xludf.DUMMYFUNCTION("""COMPUTED_VALUE"""),300.0)</f>
        <v>300</v>
      </c>
      <c r="R379" s="99">
        <f>IFERROR(__xludf.DUMMYFUNCTION("""COMPUTED_VALUE"""),530000.0)</f>
        <v>530000</v>
      </c>
    </row>
    <row r="380">
      <c r="A380" s="96">
        <f>IFERROR(__xludf.DUMMYFUNCTION("""COMPUTED_VALUE"""),10.0)</f>
        <v>10</v>
      </c>
      <c r="B380" s="98">
        <f>IFERROR(__xludf.DUMMYFUNCTION("""COMPUTED_VALUE"""),44091.0)</f>
        <v>44091</v>
      </c>
      <c r="C380" s="96" t="str">
        <f>IFERROR(__xludf.DUMMYFUNCTION("""COMPUTED_VALUE"""),"ANDRDEW GREAT")</f>
        <v>ANDRDEW GREAT</v>
      </c>
      <c r="D380" s="96" t="str">
        <f>IFERROR(__xludf.DUMMYFUNCTION("""COMPUTED_VALUE"""),"ANDRDEW GREAT10")</f>
        <v>ANDRDEW GREAT10</v>
      </c>
      <c r="E380" s="96">
        <f>IFERROR(__xludf.DUMMYFUNCTION("""COMPUTED_VALUE"""),1458.0)</f>
        <v>1458</v>
      </c>
      <c r="F380" s="96">
        <f>IFERROR(__xludf.DUMMYFUNCTION("""COMPUTED_VALUE"""),228.5)</f>
        <v>228.5</v>
      </c>
      <c r="G380" s="96"/>
      <c r="H380" s="96">
        <f>IFERROR(__xludf.DUMMYFUNCTION("""COMPUTED_VALUE"""),19.0)</f>
        <v>19</v>
      </c>
      <c r="I380" s="96"/>
      <c r="J380" s="96">
        <f>IFERROR(__xludf.DUMMYFUNCTION("""COMPUTED_VALUE"""),890.0)</f>
        <v>890</v>
      </c>
      <c r="K380" s="96"/>
      <c r="L380" s="99">
        <f>IFERROR(__xludf.DUMMYFUNCTION("""COMPUTED_VALUE"""),-1229090.0)</f>
        <v>-1229090</v>
      </c>
      <c r="M380" s="96">
        <f>IFERROR(__xludf.DUMMYFUNCTION("""COMPUTED_VALUE"""),12.03)</f>
        <v>12.03</v>
      </c>
      <c r="N380" s="96">
        <f>IFERROR(__xludf.DUMMYFUNCTION("""COMPUTED_VALUE"""),58.0)</f>
        <v>58</v>
      </c>
      <c r="O380" s="96">
        <f>IFERROR(__xludf.DUMMYFUNCTION("""COMPUTED_VALUE"""),21.0)</f>
        <v>21</v>
      </c>
      <c r="P380" s="96">
        <f>IFERROR(__xludf.DUMMYFUNCTION("""COMPUTED_VALUE"""),58.0)</f>
        <v>58</v>
      </c>
      <c r="Q380" s="129">
        <f>IFERROR(__xludf.DUMMYFUNCTION("""COMPUTED_VALUE"""),1381.0)</f>
        <v>1381</v>
      </c>
      <c r="R380" s="99">
        <f>IFERROR(__xludf.DUMMYFUNCTION("""COMPUTED_VALUE"""),1229090.0)</f>
        <v>1229090</v>
      </c>
    </row>
    <row r="381">
      <c r="A381" s="96">
        <f>IFERROR(__xludf.DUMMYFUNCTION("""COMPUTED_VALUE"""),16.0)</f>
        <v>16</v>
      </c>
      <c r="B381" s="98">
        <f>IFERROR(__xludf.DUMMYFUNCTION("""COMPUTED_VALUE"""),44090.0)</f>
        <v>44090</v>
      </c>
      <c r="C381" s="96" t="str">
        <f>IFERROR(__xludf.DUMMYFUNCTION("""COMPUTED_VALUE""")," MAXWELL AGRO")</f>
        <v> MAXWELL AGRO</v>
      </c>
      <c r="D381" s="96" t="str">
        <f>IFERROR(__xludf.DUMMYFUNCTION("""COMPUTED_VALUE""")," MAXWELL AGRO16")</f>
        <v> MAXWELL AGRO16</v>
      </c>
      <c r="E381" s="96"/>
      <c r="F381" s="96"/>
      <c r="G381" s="96"/>
      <c r="H381" s="96"/>
      <c r="I381" s="96"/>
      <c r="J381" s="96"/>
      <c r="K381" s="96">
        <f>IFERROR(__xludf.DUMMYFUNCTION("""COMPUTED_VALUE"""),1553900.0)</f>
        <v>1553900</v>
      </c>
      <c r="L381" s="99">
        <f>IFERROR(__xludf.DUMMYFUNCTION("""COMPUTED_VALUE"""),1553900.0)</f>
        <v>1553900</v>
      </c>
      <c r="M381" s="96"/>
      <c r="N381" s="96">
        <f>IFERROR(__xludf.DUMMYFUNCTION("""COMPUTED_VALUE"""),0.0)</f>
        <v>0</v>
      </c>
      <c r="O381" s="96">
        <f>IFERROR(__xludf.DUMMYFUNCTION("""COMPUTED_VALUE"""),0.0)</f>
        <v>0</v>
      </c>
      <c r="P381" s="96">
        <f>IFERROR(__xludf.DUMMYFUNCTION("""COMPUTED_VALUE"""),0.0)</f>
        <v>0</v>
      </c>
      <c r="Q381" s="129">
        <f>IFERROR(__xludf.DUMMYFUNCTION("""COMPUTED_VALUE"""),0.0)</f>
        <v>0</v>
      </c>
      <c r="R381" s="99"/>
    </row>
    <row r="382">
      <c r="A382" s="96">
        <f>IFERROR(__xludf.DUMMYFUNCTION("""COMPUTED_VALUE"""),12.0)</f>
        <v>12</v>
      </c>
      <c r="B382" s="98">
        <f>IFERROR(__xludf.DUMMYFUNCTION("""COMPUTED_VALUE"""),44090.0)</f>
        <v>44090</v>
      </c>
      <c r="C382" s="96" t="str">
        <f>IFERROR(__xludf.DUMMYFUNCTION("""COMPUTED_VALUE"""),"ALFRED ALABI")</f>
        <v>ALFRED ALABI</v>
      </c>
      <c r="D382" s="96" t="str">
        <f>IFERROR(__xludf.DUMMYFUNCTION("""COMPUTED_VALUE"""),"ALFRED ALABI12")</f>
        <v>ALFRED ALABI12</v>
      </c>
      <c r="E382" s="96"/>
      <c r="F382" s="96"/>
      <c r="G382" s="96"/>
      <c r="H382" s="96"/>
      <c r="I382" s="96"/>
      <c r="J382" s="96"/>
      <c r="K382" s="96">
        <f>IFERROR(__xludf.DUMMYFUNCTION("""COMPUTED_VALUE"""),1161000.0)</f>
        <v>1161000</v>
      </c>
      <c r="L382" s="99">
        <f>IFERROR(__xludf.DUMMYFUNCTION("""COMPUTED_VALUE"""),1161000.0)</f>
        <v>1161000</v>
      </c>
      <c r="M382" s="96"/>
      <c r="N382" s="96">
        <f>IFERROR(__xludf.DUMMYFUNCTION("""COMPUTED_VALUE"""),0.0)</f>
        <v>0</v>
      </c>
      <c r="O382" s="96">
        <f>IFERROR(__xludf.DUMMYFUNCTION("""COMPUTED_VALUE"""),0.0)</f>
        <v>0</v>
      </c>
      <c r="P382" s="96">
        <f>IFERROR(__xludf.DUMMYFUNCTION("""COMPUTED_VALUE"""),0.0)</f>
        <v>0</v>
      </c>
      <c r="Q382" s="129">
        <f>IFERROR(__xludf.DUMMYFUNCTION("""COMPUTED_VALUE"""),0.0)</f>
        <v>0</v>
      </c>
      <c r="R382" s="99"/>
    </row>
    <row r="383">
      <c r="A383" s="96">
        <f>IFERROR(__xludf.DUMMYFUNCTION("""COMPUTED_VALUE"""),7.0)</f>
        <v>7</v>
      </c>
      <c r="B383" s="98">
        <f>IFERROR(__xludf.DUMMYFUNCTION("""COMPUTED_VALUE"""),44090.0)</f>
        <v>44090</v>
      </c>
      <c r="C383" s="96" t="str">
        <f>IFERROR(__xludf.DUMMYFUNCTION("""COMPUTED_VALUE"""),"AUGUSTINE IGBA")</f>
        <v>AUGUSTINE IGBA</v>
      </c>
      <c r="D383" s="96" t="str">
        <f>IFERROR(__xludf.DUMMYFUNCTION("""COMPUTED_VALUE"""),"AUGUSTINE IGBA7")</f>
        <v>AUGUSTINE IGBA7</v>
      </c>
      <c r="E383" s="96"/>
      <c r="F383" s="96"/>
      <c r="G383" s="96"/>
      <c r="H383" s="96"/>
      <c r="I383" s="96"/>
      <c r="J383" s="96"/>
      <c r="K383" s="96">
        <f>IFERROR(__xludf.DUMMYFUNCTION("""COMPUTED_VALUE"""),2000000.0)</f>
        <v>2000000</v>
      </c>
      <c r="L383" s="99">
        <f>IFERROR(__xludf.DUMMYFUNCTION("""COMPUTED_VALUE"""),2000000.0)</f>
        <v>2000000</v>
      </c>
      <c r="M383" s="96"/>
      <c r="N383" s="96">
        <f>IFERROR(__xludf.DUMMYFUNCTION("""COMPUTED_VALUE"""),0.0)</f>
        <v>0</v>
      </c>
      <c r="O383" s="96">
        <f>IFERROR(__xludf.DUMMYFUNCTION("""COMPUTED_VALUE"""),0.0)</f>
        <v>0</v>
      </c>
      <c r="P383" s="96">
        <f>IFERROR(__xludf.DUMMYFUNCTION("""COMPUTED_VALUE"""),0.0)</f>
        <v>0</v>
      </c>
      <c r="Q383" s="129">
        <f>IFERROR(__xludf.DUMMYFUNCTION("""COMPUTED_VALUE"""),0.0)</f>
        <v>0</v>
      </c>
      <c r="R383" s="99"/>
    </row>
    <row r="384">
      <c r="A384" s="96">
        <f>IFERROR(__xludf.DUMMYFUNCTION("""COMPUTED_VALUE"""),4.0)</f>
        <v>4</v>
      </c>
      <c r="B384" s="98">
        <f>IFERROR(__xludf.DUMMYFUNCTION("""COMPUTED_VALUE"""),44090.0)</f>
        <v>44090</v>
      </c>
      <c r="C384" s="96" t="str">
        <f>IFERROR(__xludf.DUMMYFUNCTION("""COMPUTED_VALUE"""),"NDOMA PRIN")</f>
        <v>NDOMA PRIN</v>
      </c>
      <c r="D384" s="96" t="str">
        <f>IFERROR(__xludf.DUMMYFUNCTION("""COMPUTED_VALUE"""),"NDOMA PRIN4")</f>
        <v>NDOMA PRIN4</v>
      </c>
      <c r="E384" s="96"/>
      <c r="F384" s="96"/>
      <c r="G384" s="96"/>
      <c r="H384" s="96"/>
      <c r="I384" s="96"/>
      <c r="J384" s="96"/>
      <c r="K384" s="96">
        <f>IFERROR(__xludf.DUMMYFUNCTION("""COMPUTED_VALUE"""),261700.0)</f>
        <v>261700</v>
      </c>
      <c r="L384" s="99">
        <f>IFERROR(__xludf.DUMMYFUNCTION("""COMPUTED_VALUE"""),261700.0)</f>
        <v>261700</v>
      </c>
      <c r="M384" s="96"/>
      <c r="N384" s="96">
        <f>IFERROR(__xludf.DUMMYFUNCTION("""COMPUTED_VALUE"""),0.0)</f>
        <v>0</v>
      </c>
      <c r="O384" s="96">
        <f>IFERROR(__xludf.DUMMYFUNCTION("""COMPUTED_VALUE"""),0.0)</f>
        <v>0</v>
      </c>
      <c r="P384" s="96">
        <f>IFERROR(__xludf.DUMMYFUNCTION("""COMPUTED_VALUE"""),0.0)</f>
        <v>0</v>
      </c>
      <c r="Q384" s="129">
        <f>IFERROR(__xludf.DUMMYFUNCTION("""COMPUTED_VALUE"""),0.0)</f>
        <v>0</v>
      </c>
      <c r="R384" s="99"/>
    </row>
    <row r="385">
      <c r="A385" s="96">
        <f>IFERROR(__xludf.DUMMYFUNCTION("""COMPUTED_VALUE"""),7.0)</f>
        <v>7</v>
      </c>
      <c r="B385" s="98">
        <f>IFERROR(__xludf.DUMMYFUNCTION("""COMPUTED_VALUE"""),44090.0)</f>
        <v>44090</v>
      </c>
      <c r="C385" s="96" t="str">
        <f>IFERROR(__xludf.DUMMYFUNCTION("""COMPUTED_VALUE"""),"PRINNESS")</f>
        <v>PRINNESS</v>
      </c>
      <c r="D385" s="96" t="str">
        <f>IFERROR(__xludf.DUMMYFUNCTION("""COMPUTED_VALUE"""),"PRINNESS7")</f>
        <v>PRINNESS7</v>
      </c>
      <c r="E385" s="96"/>
      <c r="F385" s="96"/>
      <c r="G385" s="96"/>
      <c r="H385" s="96"/>
      <c r="I385" s="96"/>
      <c r="J385" s="96"/>
      <c r="K385" s="96">
        <f>IFERROR(__xludf.DUMMYFUNCTION("""COMPUTED_VALUE"""),520000.0)</f>
        <v>520000</v>
      </c>
      <c r="L385" s="99">
        <f>IFERROR(__xludf.DUMMYFUNCTION("""COMPUTED_VALUE"""),520000.0)</f>
        <v>520000</v>
      </c>
      <c r="M385" s="96"/>
      <c r="N385" s="96">
        <f>IFERROR(__xludf.DUMMYFUNCTION("""COMPUTED_VALUE"""),0.0)</f>
        <v>0</v>
      </c>
      <c r="O385" s="96">
        <f>IFERROR(__xludf.DUMMYFUNCTION("""COMPUTED_VALUE"""),0.0)</f>
        <v>0</v>
      </c>
      <c r="P385" s="96">
        <f>IFERROR(__xludf.DUMMYFUNCTION("""COMPUTED_VALUE"""),0.0)</f>
        <v>0</v>
      </c>
      <c r="Q385" s="129">
        <f>IFERROR(__xludf.DUMMYFUNCTION("""COMPUTED_VALUE"""),0.0)</f>
        <v>0</v>
      </c>
      <c r="R385" s="99"/>
    </row>
    <row r="386">
      <c r="A386" s="96">
        <f>IFERROR(__xludf.DUMMYFUNCTION("""COMPUTED_VALUE"""),17.0)</f>
        <v>17</v>
      </c>
      <c r="B386" s="98">
        <f>IFERROR(__xludf.DUMMYFUNCTION("""COMPUTED_VALUE"""),44091.0)</f>
        <v>44091</v>
      </c>
      <c r="C386" s="96" t="str">
        <f>IFERROR(__xludf.DUMMYFUNCTION("""COMPUTED_VALUE"""),"LIVINUS")</f>
        <v>LIVINUS</v>
      </c>
      <c r="D386" s="96" t="str">
        <f>IFERROR(__xludf.DUMMYFUNCTION("""COMPUTED_VALUE"""),"LIVINUS17")</f>
        <v>LIVINUS17</v>
      </c>
      <c r="E386" s="96"/>
      <c r="F386" s="96"/>
      <c r="G386" s="96"/>
      <c r="H386" s="96"/>
      <c r="I386" s="96"/>
      <c r="J386" s="96"/>
      <c r="K386" s="96">
        <f>IFERROR(__xludf.DUMMYFUNCTION("""COMPUTED_VALUE"""),1060000.0)</f>
        <v>1060000</v>
      </c>
      <c r="L386" s="99">
        <f>IFERROR(__xludf.DUMMYFUNCTION("""COMPUTED_VALUE"""),1060000.0)</f>
        <v>1060000</v>
      </c>
      <c r="M386" s="96"/>
      <c r="N386" s="96">
        <f>IFERROR(__xludf.DUMMYFUNCTION("""COMPUTED_VALUE"""),0.0)</f>
        <v>0</v>
      </c>
      <c r="O386" s="96">
        <f>IFERROR(__xludf.DUMMYFUNCTION("""COMPUTED_VALUE"""),0.0)</f>
        <v>0</v>
      </c>
      <c r="P386" s="96">
        <f>IFERROR(__xludf.DUMMYFUNCTION("""COMPUTED_VALUE"""),0.0)</f>
        <v>0</v>
      </c>
      <c r="Q386" s="129">
        <f>IFERROR(__xludf.DUMMYFUNCTION("""COMPUTED_VALUE"""),0.0)</f>
        <v>0</v>
      </c>
      <c r="R386" s="99"/>
    </row>
    <row r="387">
      <c r="A387" s="96">
        <f>IFERROR(__xludf.DUMMYFUNCTION("""COMPUTED_VALUE"""),11.0)</f>
        <v>11</v>
      </c>
      <c r="B387" s="98">
        <f>IFERROR(__xludf.DUMMYFUNCTION("""COMPUTED_VALUE"""),44091.0)</f>
        <v>44091</v>
      </c>
      <c r="C387" s="96" t="str">
        <f>IFERROR(__xludf.DUMMYFUNCTION("""COMPUTED_VALUE"""),"ANDRDEW GREAT")</f>
        <v>ANDRDEW GREAT</v>
      </c>
      <c r="D387" s="96" t="str">
        <f>IFERROR(__xludf.DUMMYFUNCTION("""COMPUTED_VALUE"""),"ANDRDEW GREAT11")</f>
        <v>ANDRDEW GREAT11</v>
      </c>
      <c r="E387" s="96"/>
      <c r="F387" s="96"/>
      <c r="G387" s="96"/>
      <c r="H387" s="96"/>
      <c r="I387" s="96"/>
      <c r="J387" s="96"/>
      <c r="K387" s="96">
        <f>IFERROR(__xludf.DUMMYFUNCTION("""COMPUTED_VALUE"""),1229000.0)</f>
        <v>1229000</v>
      </c>
      <c r="L387" s="99">
        <f>IFERROR(__xludf.DUMMYFUNCTION("""COMPUTED_VALUE"""),1229000.0)</f>
        <v>1229000</v>
      </c>
      <c r="M387" s="96"/>
      <c r="N387" s="96">
        <f>IFERROR(__xludf.DUMMYFUNCTION("""COMPUTED_VALUE"""),0.0)</f>
        <v>0</v>
      </c>
      <c r="O387" s="96">
        <f>IFERROR(__xludf.DUMMYFUNCTION("""COMPUTED_VALUE"""),0.0)</f>
        <v>0</v>
      </c>
      <c r="P387" s="96">
        <f>IFERROR(__xludf.DUMMYFUNCTION("""COMPUTED_VALUE"""),0.0)</f>
        <v>0</v>
      </c>
      <c r="Q387" s="129">
        <f>IFERROR(__xludf.DUMMYFUNCTION("""COMPUTED_VALUE"""),0.0)</f>
        <v>0</v>
      </c>
      <c r="R387" s="99"/>
    </row>
    <row r="388">
      <c r="A388" s="96">
        <f>IFERROR(__xludf.DUMMYFUNCTION("""COMPUTED_VALUE"""),18.0)</f>
        <v>18</v>
      </c>
      <c r="B388" s="98">
        <f>IFERROR(__xludf.DUMMYFUNCTION("""COMPUTED_VALUE"""),44091.0)</f>
        <v>44091</v>
      </c>
      <c r="C388" s="96" t="str">
        <f>IFERROR(__xludf.DUMMYFUNCTION("""COMPUTED_VALUE"""),"CONNECT")</f>
        <v>CONNECT</v>
      </c>
      <c r="D388" s="96" t="str">
        <f>IFERROR(__xludf.DUMMYFUNCTION("""COMPUTED_VALUE"""),"CONNECT18")</f>
        <v>CONNECT18</v>
      </c>
      <c r="E388" s="96"/>
      <c r="F388" s="96"/>
      <c r="G388" s="96"/>
      <c r="H388" s="96"/>
      <c r="I388" s="96"/>
      <c r="J388" s="96"/>
      <c r="K388" s="96">
        <f>IFERROR(__xludf.DUMMYFUNCTION("""COMPUTED_VALUE"""),1000000.0)</f>
        <v>1000000</v>
      </c>
      <c r="L388" s="99">
        <f>IFERROR(__xludf.DUMMYFUNCTION("""COMPUTED_VALUE"""),1000000.0)</f>
        <v>1000000</v>
      </c>
      <c r="M388" s="96"/>
      <c r="N388" s="96">
        <f>IFERROR(__xludf.DUMMYFUNCTION("""COMPUTED_VALUE"""),0.0)</f>
        <v>0</v>
      </c>
      <c r="O388" s="96">
        <f>IFERROR(__xludf.DUMMYFUNCTION("""COMPUTED_VALUE"""),0.0)</f>
        <v>0</v>
      </c>
      <c r="P388" s="96">
        <f>IFERROR(__xludf.DUMMYFUNCTION("""COMPUTED_VALUE"""),0.0)</f>
        <v>0</v>
      </c>
      <c r="Q388" s="129">
        <f>IFERROR(__xludf.DUMMYFUNCTION("""COMPUTED_VALUE"""),0.0)</f>
        <v>0</v>
      </c>
      <c r="R388" s="99"/>
    </row>
    <row r="389">
      <c r="A389" s="96">
        <f>IFERROR(__xludf.DUMMYFUNCTION("""COMPUTED_VALUE"""),26.0)</f>
        <v>26</v>
      </c>
      <c r="B389" s="98">
        <f>IFERROR(__xludf.DUMMYFUNCTION("""COMPUTED_VALUE"""),44092.0)</f>
        <v>44092</v>
      </c>
      <c r="C389" s="96" t="str">
        <f>IFERROR(__xludf.DUMMYFUNCTION("""COMPUTED_VALUE"""),"LYDIA HNSON ")</f>
        <v>LYDIA HNSON </v>
      </c>
      <c r="D389" s="96" t="str">
        <f>IFERROR(__xludf.DUMMYFUNCTION("""COMPUTED_VALUE"""),"LYDIA HNSON 26")</f>
        <v>LYDIA HNSON 26</v>
      </c>
      <c r="E389" s="96"/>
      <c r="F389" s="96"/>
      <c r="G389" s="96"/>
      <c r="H389" s="96"/>
      <c r="I389" s="96"/>
      <c r="J389" s="96"/>
      <c r="K389" s="96">
        <f>IFERROR(__xludf.DUMMYFUNCTION("""COMPUTED_VALUE"""),2000000.0)</f>
        <v>2000000</v>
      </c>
      <c r="L389" s="99">
        <f>IFERROR(__xludf.DUMMYFUNCTION("""COMPUTED_VALUE"""),2000000.0)</f>
        <v>2000000</v>
      </c>
      <c r="M389" s="96"/>
      <c r="N389" s="96">
        <f>IFERROR(__xludf.DUMMYFUNCTION("""COMPUTED_VALUE"""),0.0)</f>
        <v>0</v>
      </c>
      <c r="O389" s="96">
        <f>IFERROR(__xludf.DUMMYFUNCTION("""COMPUTED_VALUE"""),0.0)</f>
        <v>0</v>
      </c>
      <c r="P389" s="96">
        <f>IFERROR(__xludf.DUMMYFUNCTION("""COMPUTED_VALUE"""),0.0)</f>
        <v>0</v>
      </c>
      <c r="Q389" s="129">
        <f>IFERROR(__xludf.DUMMYFUNCTION("""COMPUTED_VALUE"""),0.0)</f>
        <v>0</v>
      </c>
      <c r="R389" s="99"/>
    </row>
    <row r="390">
      <c r="A390" s="96">
        <f>IFERROR(__xludf.DUMMYFUNCTION("""COMPUTED_VALUE"""),27.0)</f>
        <v>27</v>
      </c>
      <c r="B390" s="98">
        <f>IFERROR(__xludf.DUMMYFUNCTION("""COMPUTED_VALUE"""),44092.0)</f>
        <v>44092</v>
      </c>
      <c r="C390" s="96" t="str">
        <f>IFERROR(__xludf.DUMMYFUNCTION("""COMPUTED_VALUE"""),"LYDIA HNSON ")</f>
        <v>LYDIA HNSON </v>
      </c>
      <c r="D390" s="96" t="str">
        <f>IFERROR(__xludf.DUMMYFUNCTION("""COMPUTED_VALUE"""),"LYDIA HNSON 27")</f>
        <v>LYDIA HNSON 27</v>
      </c>
      <c r="E390" s="96"/>
      <c r="F390" s="96"/>
      <c r="G390" s="96"/>
      <c r="H390" s="96"/>
      <c r="I390" s="96"/>
      <c r="J390" s="96"/>
      <c r="K390" s="96">
        <f>IFERROR(__xludf.DUMMYFUNCTION("""COMPUTED_VALUE"""),300000.0)</f>
        <v>300000</v>
      </c>
      <c r="L390" s="99">
        <f>IFERROR(__xludf.DUMMYFUNCTION("""COMPUTED_VALUE"""),300000.0)</f>
        <v>300000</v>
      </c>
      <c r="M390" s="96"/>
      <c r="N390" s="96">
        <f>IFERROR(__xludf.DUMMYFUNCTION("""COMPUTED_VALUE"""),0.0)</f>
        <v>0</v>
      </c>
      <c r="O390" s="96">
        <f>IFERROR(__xludf.DUMMYFUNCTION("""COMPUTED_VALUE"""),0.0)</f>
        <v>0</v>
      </c>
      <c r="P390" s="96">
        <f>IFERROR(__xludf.DUMMYFUNCTION("""COMPUTED_VALUE"""),0.0)</f>
        <v>0</v>
      </c>
      <c r="Q390" s="129">
        <f>IFERROR(__xludf.DUMMYFUNCTION("""COMPUTED_VALUE"""),0.0)</f>
        <v>0</v>
      </c>
      <c r="R390" s="99"/>
    </row>
    <row r="391">
      <c r="A391" s="96">
        <f>IFERROR(__xludf.DUMMYFUNCTION("""COMPUTED_VALUE"""),3.0)</f>
        <v>3</v>
      </c>
      <c r="B391" s="98">
        <f>IFERROR(__xludf.DUMMYFUNCTION("""COMPUTED_VALUE"""),44092.0)</f>
        <v>44092</v>
      </c>
      <c r="C391" s="96" t="str">
        <f>IFERROR(__xludf.DUMMYFUNCTION("""COMPUTED_VALUE"""),"ZULU ")</f>
        <v>ZULU </v>
      </c>
      <c r="D391" s="96" t="str">
        <f>IFERROR(__xludf.DUMMYFUNCTION("""COMPUTED_VALUE"""),"ZULU 3")</f>
        <v>ZULU 3</v>
      </c>
      <c r="E391" s="96"/>
      <c r="F391" s="96"/>
      <c r="G391" s="96"/>
      <c r="H391" s="96"/>
      <c r="I391" s="96"/>
      <c r="J391" s="96"/>
      <c r="K391" s="96">
        <f>IFERROR(__xludf.DUMMYFUNCTION("""COMPUTED_VALUE"""),275000.0)</f>
        <v>275000</v>
      </c>
      <c r="L391" s="99">
        <f>IFERROR(__xludf.DUMMYFUNCTION("""COMPUTED_VALUE"""),275000.0)</f>
        <v>275000</v>
      </c>
      <c r="M391" s="96"/>
      <c r="N391" s="96">
        <f>IFERROR(__xludf.DUMMYFUNCTION("""COMPUTED_VALUE"""),0.0)</f>
        <v>0</v>
      </c>
      <c r="O391" s="96">
        <f>IFERROR(__xludf.DUMMYFUNCTION("""COMPUTED_VALUE"""),0.0)</f>
        <v>0</v>
      </c>
      <c r="P391" s="96">
        <f>IFERROR(__xludf.DUMMYFUNCTION("""COMPUTED_VALUE"""),0.0)</f>
        <v>0</v>
      </c>
      <c r="Q391" s="129">
        <f>IFERROR(__xludf.DUMMYFUNCTION("""COMPUTED_VALUE"""),0.0)</f>
        <v>0</v>
      </c>
      <c r="R391" s="99"/>
    </row>
    <row r="392">
      <c r="A392" s="96">
        <f>IFERROR(__xludf.DUMMYFUNCTION("""COMPUTED_VALUE"""),9.0)</f>
        <v>9</v>
      </c>
      <c r="B392" s="98">
        <f>IFERROR(__xludf.DUMMYFUNCTION("""COMPUTED_VALUE"""),44092.0)</f>
        <v>44092</v>
      </c>
      <c r="C392" s="96" t="str">
        <f>IFERROR(__xludf.DUMMYFUNCTION("""COMPUTED_VALUE"""),"OTU KOKO KEIBO")</f>
        <v>OTU KOKO KEIBO</v>
      </c>
      <c r="D392" s="96" t="str">
        <f>IFERROR(__xludf.DUMMYFUNCTION("""COMPUTED_VALUE"""),"OTU KOKO KEIBO9")</f>
        <v>OTU KOKO KEIBO9</v>
      </c>
      <c r="E392" s="96"/>
      <c r="F392" s="96"/>
      <c r="G392" s="96"/>
      <c r="H392" s="96"/>
      <c r="I392" s="96"/>
      <c r="J392" s="96"/>
      <c r="K392" s="96">
        <f>IFERROR(__xludf.DUMMYFUNCTION("""COMPUTED_VALUE"""),20500.0)</f>
        <v>20500</v>
      </c>
      <c r="L392" s="99">
        <f>IFERROR(__xludf.DUMMYFUNCTION("""COMPUTED_VALUE"""),20500.0)</f>
        <v>20500</v>
      </c>
      <c r="M392" s="96"/>
      <c r="N392" s="96">
        <f>IFERROR(__xludf.DUMMYFUNCTION("""COMPUTED_VALUE"""),0.0)</f>
        <v>0</v>
      </c>
      <c r="O392" s="96">
        <f>IFERROR(__xludf.DUMMYFUNCTION("""COMPUTED_VALUE"""),0.0)</f>
        <v>0</v>
      </c>
      <c r="P392" s="96">
        <f>IFERROR(__xludf.DUMMYFUNCTION("""COMPUTED_VALUE"""),0.0)</f>
        <v>0</v>
      </c>
      <c r="Q392" s="129">
        <f>IFERROR(__xludf.DUMMYFUNCTION("""COMPUTED_VALUE"""),0.0)</f>
        <v>0</v>
      </c>
      <c r="R392" s="99"/>
    </row>
    <row r="393">
      <c r="A393" s="96">
        <f>IFERROR(__xludf.DUMMYFUNCTION("""COMPUTED_VALUE"""),10.0)</f>
        <v>10</v>
      </c>
      <c r="B393" s="98">
        <f>IFERROR(__xludf.DUMMYFUNCTION("""COMPUTED_VALUE"""),44092.0)</f>
        <v>44092</v>
      </c>
      <c r="C393" s="96" t="str">
        <f>IFERROR(__xludf.DUMMYFUNCTION("""COMPUTED_VALUE"""),"OTU KOKO KEIBO")</f>
        <v>OTU KOKO KEIBO</v>
      </c>
      <c r="D393" s="96" t="str">
        <f>IFERROR(__xludf.DUMMYFUNCTION("""COMPUTED_VALUE"""),"OTU KOKO KEIBO10")</f>
        <v>OTU KOKO KEIBO10</v>
      </c>
      <c r="E393" s="96"/>
      <c r="F393" s="96"/>
      <c r="G393" s="96"/>
      <c r="H393" s="96"/>
      <c r="I393" s="96"/>
      <c r="J393" s="96"/>
      <c r="K393" s="96">
        <f>IFERROR(__xludf.DUMMYFUNCTION("""COMPUTED_VALUE"""),116000.0)</f>
        <v>116000</v>
      </c>
      <c r="L393" s="99">
        <f>IFERROR(__xludf.DUMMYFUNCTION("""COMPUTED_VALUE"""),116000.0)</f>
        <v>116000</v>
      </c>
      <c r="M393" s="96"/>
      <c r="N393" s="96">
        <f>IFERROR(__xludf.DUMMYFUNCTION("""COMPUTED_VALUE"""),0.0)</f>
        <v>0</v>
      </c>
      <c r="O393" s="96">
        <f>IFERROR(__xludf.DUMMYFUNCTION("""COMPUTED_VALUE"""),0.0)</f>
        <v>0</v>
      </c>
      <c r="P393" s="96">
        <f>IFERROR(__xludf.DUMMYFUNCTION("""COMPUTED_VALUE"""),0.0)</f>
        <v>0</v>
      </c>
      <c r="Q393" s="129">
        <f>IFERROR(__xludf.DUMMYFUNCTION("""COMPUTED_VALUE"""),0.0)</f>
        <v>0</v>
      </c>
      <c r="R393" s="99"/>
    </row>
    <row r="394">
      <c r="A394" s="96">
        <f>IFERROR(__xludf.DUMMYFUNCTION("""COMPUTED_VALUE"""),3.0)</f>
        <v>3</v>
      </c>
      <c r="B394" s="98">
        <f>IFERROR(__xludf.DUMMYFUNCTION("""COMPUTED_VALUE"""),44092.0)</f>
        <v>44092</v>
      </c>
      <c r="C394" s="96" t="str">
        <f>IFERROR(__xludf.DUMMYFUNCTION("""COMPUTED_VALUE"""),"ABANG. DUNLOP")</f>
        <v>ABANG. DUNLOP</v>
      </c>
      <c r="D394" s="96" t="str">
        <f>IFERROR(__xludf.DUMMYFUNCTION("""COMPUTED_VALUE"""),"ABANG. DUNLOP3")</f>
        <v>ABANG. DUNLOP3</v>
      </c>
      <c r="E394" s="96"/>
      <c r="F394" s="96"/>
      <c r="G394" s="96"/>
      <c r="H394" s="96"/>
      <c r="I394" s="96"/>
      <c r="J394" s="96"/>
      <c r="K394" s="96">
        <f>IFERROR(__xludf.DUMMYFUNCTION("""COMPUTED_VALUE"""),500000.0)</f>
        <v>500000</v>
      </c>
      <c r="L394" s="99">
        <f>IFERROR(__xludf.DUMMYFUNCTION("""COMPUTED_VALUE"""),500000.0)</f>
        <v>500000</v>
      </c>
      <c r="M394" s="96"/>
      <c r="N394" s="96">
        <f>IFERROR(__xludf.DUMMYFUNCTION("""COMPUTED_VALUE"""),0.0)</f>
        <v>0</v>
      </c>
      <c r="O394" s="96">
        <f>IFERROR(__xludf.DUMMYFUNCTION("""COMPUTED_VALUE"""),0.0)</f>
        <v>0</v>
      </c>
      <c r="P394" s="96">
        <f>IFERROR(__xludf.DUMMYFUNCTION("""COMPUTED_VALUE"""),0.0)</f>
        <v>0</v>
      </c>
      <c r="Q394" s="129">
        <f>IFERROR(__xludf.DUMMYFUNCTION("""COMPUTED_VALUE"""),0.0)</f>
        <v>0</v>
      </c>
      <c r="R394" s="99"/>
    </row>
    <row r="395">
      <c r="A395" s="96">
        <f>IFERROR(__xludf.DUMMYFUNCTION("""COMPUTED_VALUE"""),19.0)</f>
        <v>19</v>
      </c>
      <c r="B395" s="98">
        <f>IFERROR(__xludf.DUMMYFUNCTION("""COMPUTED_VALUE"""),44093.0)</f>
        <v>44093</v>
      </c>
      <c r="C395" s="96" t="str">
        <f>IFERROR(__xludf.DUMMYFUNCTION("""COMPUTED_VALUE"""),"CONNECT")</f>
        <v>CONNECT</v>
      </c>
      <c r="D395" s="96" t="str">
        <f>IFERROR(__xludf.DUMMYFUNCTION("""COMPUTED_VALUE"""),"CONNECT19")</f>
        <v>CONNECT19</v>
      </c>
      <c r="E395" s="96">
        <f>IFERROR(__xludf.DUMMYFUNCTION("""COMPUTED_VALUE"""),1907.0)</f>
        <v>1907</v>
      </c>
      <c r="F395" s="96">
        <f>IFERROR(__xludf.DUMMYFUNCTION("""COMPUTED_VALUE"""),232.0)</f>
        <v>232</v>
      </c>
      <c r="G395" s="96"/>
      <c r="H395" s="96">
        <f>IFERROR(__xludf.DUMMYFUNCTION("""COMPUTED_VALUE"""),29.0)</f>
        <v>29</v>
      </c>
      <c r="I395" s="96"/>
      <c r="J395" s="96">
        <f>IFERROR(__xludf.DUMMYFUNCTION("""COMPUTED_VALUE"""),900.0)</f>
        <v>900</v>
      </c>
      <c r="K395" s="96"/>
      <c r="L395" s="99">
        <f>IFERROR(__xludf.DUMMYFUNCTION("""COMPUTED_VALUE"""),-1690200.0)</f>
        <v>-1690200</v>
      </c>
      <c r="M395" s="96">
        <f>IFERROR(__xludf.DUMMYFUNCTION("""COMPUTED_VALUE"""),8.0)</f>
        <v>8</v>
      </c>
      <c r="N395" s="96">
        <f>IFERROR(__xludf.DUMMYFUNCTION("""COMPUTED_VALUE"""),0.0)</f>
        <v>0</v>
      </c>
      <c r="O395" s="96">
        <f>IFERROR(__xludf.DUMMYFUNCTION("""COMPUTED_VALUE"""),29.0)</f>
        <v>29</v>
      </c>
      <c r="P395" s="96">
        <f>IFERROR(__xludf.DUMMYFUNCTION("""COMPUTED_VALUE"""),51.0)</f>
        <v>51</v>
      </c>
      <c r="Q395" s="129">
        <f>IFERROR(__xludf.DUMMYFUNCTION("""COMPUTED_VALUE"""),1878.0)</f>
        <v>1878</v>
      </c>
      <c r="R395" s="99">
        <f>IFERROR(__xludf.DUMMYFUNCTION("""COMPUTED_VALUE"""),1690200.0)</f>
        <v>1690200</v>
      </c>
    </row>
    <row r="396">
      <c r="A396" s="96">
        <f>IFERROR(__xludf.DUMMYFUNCTION("""COMPUTED_VALUE"""),3.0)</f>
        <v>3</v>
      </c>
      <c r="B396" s="98">
        <f>IFERROR(__xludf.DUMMYFUNCTION("""COMPUTED_VALUE"""),44093.0)</f>
        <v>44093</v>
      </c>
      <c r="C396" s="96" t="str">
        <f>IFERROR(__xludf.DUMMYFUNCTION("""COMPUTED_VALUE"""),"OSIM MARIAM")</f>
        <v>OSIM MARIAM</v>
      </c>
      <c r="D396" s="96" t="str">
        <f>IFERROR(__xludf.DUMMYFUNCTION("""COMPUTED_VALUE"""),"OSIM MARIAM3")</f>
        <v>OSIM MARIAM3</v>
      </c>
      <c r="E396" s="96"/>
      <c r="F396" s="96"/>
      <c r="G396" s="96"/>
      <c r="H396" s="96"/>
      <c r="I396" s="96"/>
      <c r="J396" s="96"/>
      <c r="K396" s="96">
        <f>IFERROR(__xludf.DUMMYFUNCTION("""COMPUTED_VALUE"""),50000.0)</f>
        <v>50000</v>
      </c>
      <c r="L396" s="99">
        <f>IFERROR(__xludf.DUMMYFUNCTION("""COMPUTED_VALUE"""),50000.0)</f>
        <v>50000</v>
      </c>
      <c r="M396" s="96"/>
      <c r="N396" s="96">
        <f>IFERROR(__xludf.DUMMYFUNCTION("""COMPUTED_VALUE"""),0.0)</f>
        <v>0</v>
      </c>
      <c r="O396" s="96">
        <f>IFERROR(__xludf.DUMMYFUNCTION("""COMPUTED_VALUE"""),0.0)</f>
        <v>0</v>
      </c>
      <c r="P396" s="96">
        <f>IFERROR(__xludf.DUMMYFUNCTION("""COMPUTED_VALUE"""),0.0)</f>
        <v>0</v>
      </c>
      <c r="Q396" s="129">
        <f>IFERROR(__xludf.DUMMYFUNCTION("""COMPUTED_VALUE"""),0.0)</f>
        <v>0</v>
      </c>
      <c r="R396" s="99"/>
    </row>
    <row r="397">
      <c r="A397" s="96">
        <f>IFERROR(__xludf.DUMMYFUNCTION("""COMPUTED_VALUE"""),4.0)</f>
        <v>4</v>
      </c>
      <c r="B397" s="98">
        <f>IFERROR(__xludf.DUMMYFUNCTION("""COMPUTED_VALUE"""),44095.0)</f>
        <v>44095</v>
      </c>
      <c r="C397" s="96" t="str">
        <f>IFERROR(__xludf.DUMMYFUNCTION("""COMPUTED_VALUE"""),"OSIM MARIAM")</f>
        <v>OSIM MARIAM</v>
      </c>
      <c r="D397" s="96" t="str">
        <f>IFERROR(__xludf.DUMMYFUNCTION("""COMPUTED_VALUE"""),"OSIM MARIAM4")</f>
        <v>OSIM MARIAM4</v>
      </c>
      <c r="E397" s="96"/>
      <c r="F397" s="96"/>
      <c r="G397" s="96"/>
      <c r="H397" s="96"/>
      <c r="I397" s="96"/>
      <c r="J397" s="96"/>
      <c r="K397" s="96">
        <f>IFERROR(__xludf.DUMMYFUNCTION("""COMPUTED_VALUE"""),500000.0)</f>
        <v>500000</v>
      </c>
      <c r="L397" s="99">
        <f>IFERROR(__xludf.DUMMYFUNCTION("""COMPUTED_VALUE"""),500000.0)</f>
        <v>500000</v>
      </c>
      <c r="M397" s="96"/>
      <c r="N397" s="96">
        <f>IFERROR(__xludf.DUMMYFUNCTION("""COMPUTED_VALUE"""),0.0)</f>
        <v>0</v>
      </c>
      <c r="O397" s="96">
        <f>IFERROR(__xludf.DUMMYFUNCTION("""COMPUTED_VALUE"""),0.0)</f>
        <v>0</v>
      </c>
      <c r="P397" s="96">
        <f>IFERROR(__xludf.DUMMYFUNCTION("""COMPUTED_VALUE"""),0.0)</f>
        <v>0</v>
      </c>
      <c r="Q397" s="129">
        <f>IFERROR(__xludf.DUMMYFUNCTION("""COMPUTED_VALUE"""),0.0)</f>
        <v>0</v>
      </c>
      <c r="R397" s="99"/>
    </row>
    <row r="398">
      <c r="A398" s="96">
        <f>IFERROR(__xludf.DUMMYFUNCTION("""COMPUTED_VALUE"""),7.0)</f>
        <v>7</v>
      </c>
      <c r="B398" s="98">
        <f>IFERROR(__xludf.DUMMYFUNCTION("""COMPUTED_VALUE"""),44095.0)</f>
        <v>44095</v>
      </c>
      <c r="C398" s="96" t="str">
        <f>IFERROR(__xludf.DUMMYFUNCTION("""COMPUTED_VALUE"""),"EUGENE")</f>
        <v>EUGENE</v>
      </c>
      <c r="D398" s="96" t="str">
        <f>IFERROR(__xludf.DUMMYFUNCTION("""COMPUTED_VALUE"""),"EUGENE7")</f>
        <v>EUGENE7</v>
      </c>
      <c r="E398" s="96"/>
      <c r="F398" s="96"/>
      <c r="G398" s="96"/>
      <c r="H398" s="96"/>
      <c r="I398" s="96"/>
      <c r="J398" s="96"/>
      <c r="K398" s="96">
        <f>IFERROR(__xludf.DUMMYFUNCTION("""COMPUTED_VALUE"""),600000.0)</f>
        <v>600000</v>
      </c>
      <c r="L398" s="99">
        <f>IFERROR(__xludf.DUMMYFUNCTION("""COMPUTED_VALUE"""),600000.0)</f>
        <v>600000</v>
      </c>
      <c r="M398" s="96"/>
      <c r="N398" s="96">
        <f>IFERROR(__xludf.DUMMYFUNCTION("""COMPUTED_VALUE"""),0.0)</f>
        <v>0</v>
      </c>
      <c r="O398" s="96">
        <f>IFERROR(__xludf.DUMMYFUNCTION("""COMPUTED_VALUE"""),0.0)</f>
        <v>0</v>
      </c>
      <c r="P398" s="96">
        <f>IFERROR(__xludf.DUMMYFUNCTION("""COMPUTED_VALUE"""),0.0)</f>
        <v>0</v>
      </c>
      <c r="Q398" s="129">
        <f>IFERROR(__xludf.DUMMYFUNCTION("""COMPUTED_VALUE"""),0.0)</f>
        <v>0</v>
      </c>
      <c r="R398" s="99"/>
    </row>
    <row r="399">
      <c r="A399" s="96">
        <f>IFERROR(__xludf.DUMMYFUNCTION("""COMPUTED_VALUE"""),11.0)</f>
        <v>11</v>
      </c>
      <c r="B399" s="98">
        <f>IFERROR(__xludf.DUMMYFUNCTION("""COMPUTED_VALUE"""),44095.0)</f>
        <v>44095</v>
      </c>
      <c r="C399" s="96" t="str">
        <f>IFERROR(__xludf.DUMMYFUNCTION("""COMPUTED_VALUE"""),"OTU KOKO KEIBO")</f>
        <v>OTU KOKO KEIBO</v>
      </c>
      <c r="D399" s="96" t="str">
        <f>IFERROR(__xludf.DUMMYFUNCTION("""COMPUTED_VALUE"""),"OTU KOKO KEIBO11")</f>
        <v>OTU KOKO KEIBO11</v>
      </c>
      <c r="E399" s="96"/>
      <c r="F399" s="96"/>
      <c r="G399" s="96"/>
      <c r="H399" s="96"/>
      <c r="I399" s="96"/>
      <c r="J399" s="96"/>
      <c r="K399" s="96">
        <f>IFERROR(__xludf.DUMMYFUNCTION("""COMPUTED_VALUE"""),200000.0)</f>
        <v>200000</v>
      </c>
      <c r="L399" s="99">
        <f>IFERROR(__xludf.DUMMYFUNCTION("""COMPUTED_VALUE"""),200000.0)</f>
        <v>200000</v>
      </c>
      <c r="M399" s="96"/>
      <c r="N399" s="96">
        <f>IFERROR(__xludf.DUMMYFUNCTION("""COMPUTED_VALUE"""),0.0)</f>
        <v>0</v>
      </c>
      <c r="O399" s="96">
        <f>IFERROR(__xludf.DUMMYFUNCTION("""COMPUTED_VALUE"""),0.0)</f>
        <v>0</v>
      </c>
      <c r="P399" s="96">
        <f>IFERROR(__xludf.DUMMYFUNCTION("""COMPUTED_VALUE"""),0.0)</f>
        <v>0</v>
      </c>
      <c r="Q399" s="129">
        <f>IFERROR(__xludf.DUMMYFUNCTION("""COMPUTED_VALUE"""),0.0)</f>
        <v>0</v>
      </c>
      <c r="R399" s="99"/>
    </row>
    <row r="400">
      <c r="A400" s="96">
        <f>IFERROR(__xludf.DUMMYFUNCTION("""COMPUTED_VALUE"""),20.0)</f>
        <v>20</v>
      </c>
      <c r="B400" s="98">
        <f>IFERROR(__xludf.DUMMYFUNCTION("""COMPUTED_VALUE"""),44096.0)</f>
        <v>44096</v>
      </c>
      <c r="C400" s="96" t="str">
        <f>IFERROR(__xludf.DUMMYFUNCTION("""COMPUTED_VALUE"""),"CONNECT")</f>
        <v>CONNECT</v>
      </c>
      <c r="D400" s="96" t="str">
        <f>IFERROR(__xludf.DUMMYFUNCTION("""COMPUTED_VALUE"""),"CONNECT20")</f>
        <v>CONNECT20</v>
      </c>
      <c r="E400" s="96"/>
      <c r="F400" s="96"/>
      <c r="G400" s="96"/>
      <c r="H400" s="96"/>
      <c r="I400" s="96"/>
      <c r="J400" s="96"/>
      <c r="K400" s="96">
        <f>IFERROR(__xludf.DUMMYFUNCTION("""COMPUTED_VALUE"""),4000000.0)</f>
        <v>4000000</v>
      </c>
      <c r="L400" s="99">
        <f>IFERROR(__xludf.DUMMYFUNCTION("""COMPUTED_VALUE"""),4000000.0)</f>
        <v>4000000</v>
      </c>
      <c r="M400" s="96"/>
      <c r="N400" s="96">
        <f>IFERROR(__xludf.DUMMYFUNCTION("""COMPUTED_VALUE"""),0.0)</f>
        <v>0</v>
      </c>
      <c r="O400" s="96">
        <f>IFERROR(__xludf.DUMMYFUNCTION("""COMPUTED_VALUE"""),0.0)</f>
        <v>0</v>
      </c>
      <c r="P400" s="96">
        <f>IFERROR(__xludf.DUMMYFUNCTION("""COMPUTED_VALUE"""),0.0)</f>
        <v>0</v>
      </c>
      <c r="Q400" s="129">
        <f>IFERROR(__xludf.DUMMYFUNCTION("""COMPUTED_VALUE"""),0.0)</f>
        <v>0</v>
      </c>
      <c r="R400" s="99"/>
    </row>
    <row r="401">
      <c r="A401" s="96">
        <f>IFERROR(__xludf.DUMMYFUNCTION("""COMPUTED_VALUE"""),2.0)</f>
        <v>2</v>
      </c>
      <c r="B401" s="98">
        <f>IFERROR(__xludf.DUMMYFUNCTION("""COMPUTED_VALUE"""),44096.0)</f>
        <v>44096</v>
      </c>
      <c r="C401" s="96" t="str">
        <f>IFERROR(__xludf.DUMMYFUNCTION("""COMPUTED_VALUE"""),"COLLABS")</f>
        <v>COLLABS</v>
      </c>
      <c r="D401" s="96" t="str">
        <f>IFERROR(__xludf.DUMMYFUNCTION("""COMPUTED_VALUE"""),"COLLABS2")</f>
        <v>COLLABS2</v>
      </c>
      <c r="E401" s="96"/>
      <c r="F401" s="96"/>
      <c r="G401" s="96"/>
      <c r="H401" s="96"/>
      <c r="I401" s="96"/>
      <c r="J401" s="96"/>
      <c r="K401" s="96">
        <f>IFERROR(__xludf.DUMMYFUNCTION("""COMPUTED_VALUE"""),200000.0)</f>
        <v>200000</v>
      </c>
      <c r="L401" s="99">
        <f>IFERROR(__xludf.DUMMYFUNCTION("""COMPUTED_VALUE"""),200000.0)</f>
        <v>200000</v>
      </c>
      <c r="M401" s="96"/>
      <c r="N401" s="96">
        <f>IFERROR(__xludf.DUMMYFUNCTION("""COMPUTED_VALUE"""),0.0)</f>
        <v>0</v>
      </c>
      <c r="O401" s="96">
        <f>IFERROR(__xludf.DUMMYFUNCTION("""COMPUTED_VALUE"""),0.0)</f>
        <v>0</v>
      </c>
      <c r="P401" s="96">
        <f>IFERROR(__xludf.DUMMYFUNCTION("""COMPUTED_VALUE"""),0.0)</f>
        <v>0</v>
      </c>
      <c r="Q401" s="129">
        <f>IFERROR(__xludf.DUMMYFUNCTION("""COMPUTED_VALUE"""),0.0)</f>
        <v>0</v>
      </c>
      <c r="R401" s="99"/>
    </row>
    <row r="402">
      <c r="A402" s="96">
        <f>IFERROR(__xludf.DUMMYFUNCTION("""COMPUTED_VALUE"""),8.0)</f>
        <v>8</v>
      </c>
      <c r="B402" s="98">
        <f>IFERROR(__xludf.DUMMYFUNCTION("""COMPUTED_VALUE"""),44096.0)</f>
        <v>44096</v>
      </c>
      <c r="C402" s="96" t="str">
        <f>IFERROR(__xludf.DUMMYFUNCTION("""COMPUTED_VALUE"""),"KARIEN EBAN")</f>
        <v>KARIEN EBAN</v>
      </c>
      <c r="D402" s="96" t="str">
        <f>IFERROR(__xludf.DUMMYFUNCTION("""COMPUTED_VALUE"""),"KARIEN EBAN8")</f>
        <v>KARIEN EBAN8</v>
      </c>
      <c r="E402" s="96"/>
      <c r="F402" s="96"/>
      <c r="G402" s="96"/>
      <c r="H402" s="96"/>
      <c r="I402" s="96"/>
      <c r="J402" s="96"/>
      <c r="K402" s="96">
        <f>IFERROR(__xludf.DUMMYFUNCTION("""COMPUTED_VALUE"""),5000.0)</f>
        <v>5000</v>
      </c>
      <c r="L402" s="99">
        <f>IFERROR(__xludf.DUMMYFUNCTION("""COMPUTED_VALUE"""),5000.0)</f>
        <v>5000</v>
      </c>
      <c r="M402" s="96"/>
      <c r="N402" s="96">
        <f>IFERROR(__xludf.DUMMYFUNCTION("""COMPUTED_VALUE"""),0.0)</f>
        <v>0</v>
      </c>
      <c r="O402" s="96">
        <f>IFERROR(__xludf.DUMMYFUNCTION("""COMPUTED_VALUE"""),0.0)</f>
        <v>0</v>
      </c>
      <c r="P402" s="96">
        <f>IFERROR(__xludf.DUMMYFUNCTION("""COMPUTED_VALUE"""),0.0)</f>
        <v>0</v>
      </c>
      <c r="Q402" s="129">
        <f>IFERROR(__xludf.DUMMYFUNCTION("""COMPUTED_VALUE"""),0.0)</f>
        <v>0</v>
      </c>
      <c r="R402" s="99"/>
    </row>
    <row r="403">
      <c r="A403" s="96">
        <f>IFERROR(__xludf.DUMMYFUNCTION("""COMPUTED_VALUE"""),5.0)</f>
        <v>5</v>
      </c>
      <c r="B403" s="98">
        <f>IFERROR(__xludf.DUMMYFUNCTION("""COMPUTED_VALUE"""),44096.0)</f>
        <v>44096</v>
      </c>
      <c r="C403" s="96" t="str">
        <f>IFERROR(__xludf.DUMMYFUNCTION("""COMPUTED_VALUE"""),"NDOMA PRIN")</f>
        <v>NDOMA PRIN</v>
      </c>
      <c r="D403" s="96" t="str">
        <f>IFERROR(__xludf.DUMMYFUNCTION("""COMPUTED_VALUE"""),"NDOMA PRIN5")</f>
        <v>NDOMA PRIN5</v>
      </c>
      <c r="E403" s="96"/>
      <c r="F403" s="96"/>
      <c r="G403" s="96"/>
      <c r="H403" s="96"/>
      <c r="I403" s="96"/>
      <c r="J403" s="96"/>
      <c r="K403" s="96">
        <f>IFERROR(__xludf.DUMMYFUNCTION("""COMPUTED_VALUE"""),456000.0)</f>
        <v>456000</v>
      </c>
      <c r="L403" s="99">
        <f>IFERROR(__xludf.DUMMYFUNCTION("""COMPUTED_VALUE"""),456000.0)</f>
        <v>456000</v>
      </c>
      <c r="M403" s="96"/>
      <c r="N403" s="96">
        <f>IFERROR(__xludf.DUMMYFUNCTION("""COMPUTED_VALUE"""),0.0)</f>
        <v>0</v>
      </c>
      <c r="O403" s="96">
        <f>IFERROR(__xludf.DUMMYFUNCTION("""COMPUTED_VALUE"""),0.0)</f>
        <v>0</v>
      </c>
      <c r="P403" s="96">
        <f>IFERROR(__xludf.DUMMYFUNCTION("""COMPUTED_VALUE"""),0.0)</f>
        <v>0</v>
      </c>
      <c r="Q403" s="129">
        <f>IFERROR(__xludf.DUMMYFUNCTION("""COMPUTED_VALUE"""),0.0)</f>
        <v>0</v>
      </c>
      <c r="R403" s="99"/>
    </row>
    <row r="404">
      <c r="A404" s="96">
        <f>IFERROR(__xludf.DUMMYFUNCTION("""COMPUTED_VALUE"""),3.0)</f>
        <v>3</v>
      </c>
      <c r="B404" s="98">
        <f>IFERROR(__xludf.DUMMYFUNCTION("""COMPUTED_VALUE"""),44096.0)</f>
        <v>44096</v>
      </c>
      <c r="C404" s="96" t="str">
        <f>IFERROR(__xludf.DUMMYFUNCTION("""COMPUTED_VALUE"""),"MAXWELL AGRO PRIN")</f>
        <v>MAXWELL AGRO PRIN</v>
      </c>
      <c r="D404" s="96" t="str">
        <f>IFERROR(__xludf.DUMMYFUNCTION("""COMPUTED_VALUE"""),"MAXWELL AGRO PRIN3")</f>
        <v>MAXWELL AGRO PRIN3</v>
      </c>
      <c r="E404" s="96"/>
      <c r="F404" s="96"/>
      <c r="G404" s="96"/>
      <c r="H404" s="96"/>
      <c r="I404" s="96"/>
      <c r="J404" s="96"/>
      <c r="K404" s="96">
        <f>IFERROR(__xludf.DUMMYFUNCTION("""COMPUTED_VALUE"""),10000.0)</f>
        <v>10000</v>
      </c>
      <c r="L404" s="99">
        <f>IFERROR(__xludf.DUMMYFUNCTION("""COMPUTED_VALUE"""),10000.0)</f>
        <v>10000</v>
      </c>
      <c r="M404" s="96"/>
      <c r="N404" s="96">
        <f>IFERROR(__xludf.DUMMYFUNCTION("""COMPUTED_VALUE"""),0.0)</f>
        <v>0</v>
      </c>
      <c r="O404" s="96">
        <f>IFERROR(__xludf.DUMMYFUNCTION("""COMPUTED_VALUE"""),0.0)</f>
        <v>0</v>
      </c>
      <c r="P404" s="96">
        <f>IFERROR(__xludf.DUMMYFUNCTION("""COMPUTED_VALUE"""),0.0)</f>
        <v>0</v>
      </c>
      <c r="Q404" s="129">
        <f>IFERROR(__xludf.DUMMYFUNCTION("""COMPUTED_VALUE"""),0.0)</f>
        <v>0</v>
      </c>
      <c r="R404" s="99"/>
    </row>
    <row r="405">
      <c r="A405" s="96">
        <f>IFERROR(__xludf.DUMMYFUNCTION("""COMPUTED_VALUE"""),18.0)</f>
        <v>18</v>
      </c>
      <c r="B405" s="98">
        <f>IFERROR(__xludf.DUMMYFUNCTION("""COMPUTED_VALUE"""),44096.0)</f>
        <v>44096</v>
      </c>
      <c r="C405" s="96" t="str">
        <f>IFERROR(__xludf.DUMMYFUNCTION("""COMPUTED_VALUE"""),"LIVINUS")</f>
        <v>LIVINUS</v>
      </c>
      <c r="D405" s="96" t="str">
        <f>IFERROR(__xludf.DUMMYFUNCTION("""COMPUTED_VALUE"""),"LIVINUS18")</f>
        <v>LIVINUS18</v>
      </c>
      <c r="E405" s="96"/>
      <c r="F405" s="96"/>
      <c r="G405" s="96"/>
      <c r="H405" s="96"/>
      <c r="I405" s="96"/>
      <c r="J405" s="96"/>
      <c r="K405" s="96">
        <f>IFERROR(__xludf.DUMMYFUNCTION("""COMPUTED_VALUE"""),367000.0)</f>
        <v>367000</v>
      </c>
      <c r="L405" s="99">
        <f>IFERROR(__xludf.DUMMYFUNCTION("""COMPUTED_VALUE"""),367000.0)</f>
        <v>367000</v>
      </c>
      <c r="M405" s="96"/>
      <c r="N405" s="96">
        <f>IFERROR(__xludf.DUMMYFUNCTION("""COMPUTED_VALUE"""),0.0)</f>
        <v>0</v>
      </c>
      <c r="O405" s="96">
        <f>IFERROR(__xludf.DUMMYFUNCTION("""COMPUTED_VALUE"""),0.0)</f>
        <v>0</v>
      </c>
      <c r="P405" s="96">
        <f>IFERROR(__xludf.DUMMYFUNCTION("""COMPUTED_VALUE"""),0.0)</f>
        <v>0</v>
      </c>
      <c r="Q405" s="129">
        <f>IFERROR(__xludf.DUMMYFUNCTION("""COMPUTED_VALUE"""),0.0)</f>
        <v>0</v>
      </c>
      <c r="R405" s="99"/>
    </row>
    <row r="406">
      <c r="A406" s="96">
        <f>IFERROR(__xludf.DUMMYFUNCTION("""COMPUTED_VALUE"""),13.0)</f>
        <v>13</v>
      </c>
      <c r="B406" s="98">
        <f>IFERROR(__xludf.DUMMYFUNCTION("""COMPUTED_VALUE"""),44096.0)</f>
        <v>44096</v>
      </c>
      <c r="C406" s="96" t="str">
        <f>IFERROR(__xludf.DUMMYFUNCTION("""COMPUTED_VALUE"""),"ETUK EFFI")</f>
        <v>ETUK EFFI</v>
      </c>
      <c r="D406" s="96" t="str">
        <f>IFERROR(__xludf.DUMMYFUNCTION("""COMPUTED_VALUE"""),"ETUK EFFI13")</f>
        <v>ETUK EFFI13</v>
      </c>
      <c r="E406" s="96"/>
      <c r="F406" s="96"/>
      <c r="G406" s="96"/>
      <c r="H406" s="96"/>
      <c r="I406" s="96"/>
      <c r="J406" s="96"/>
      <c r="K406" s="96">
        <f>IFERROR(__xludf.DUMMYFUNCTION("""COMPUTED_VALUE"""),1500000.0)</f>
        <v>1500000</v>
      </c>
      <c r="L406" s="99">
        <f>IFERROR(__xludf.DUMMYFUNCTION("""COMPUTED_VALUE"""),1500000.0)</f>
        <v>1500000</v>
      </c>
      <c r="M406" s="96"/>
      <c r="N406" s="96">
        <f>IFERROR(__xludf.DUMMYFUNCTION("""COMPUTED_VALUE"""),0.0)</f>
        <v>0</v>
      </c>
      <c r="O406" s="96">
        <f>IFERROR(__xludf.DUMMYFUNCTION("""COMPUTED_VALUE"""),0.0)</f>
        <v>0</v>
      </c>
      <c r="P406" s="96">
        <f>IFERROR(__xludf.DUMMYFUNCTION("""COMPUTED_VALUE"""),0.0)</f>
        <v>0</v>
      </c>
      <c r="Q406" s="129">
        <f>IFERROR(__xludf.DUMMYFUNCTION("""COMPUTED_VALUE"""),0.0)</f>
        <v>0</v>
      </c>
      <c r="R406" s="99"/>
    </row>
    <row r="407">
      <c r="A407" s="96">
        <f>IFERROR(__xludf.DUMMYFUNCTION("""COMPUTED_VALUE"""),15.0)</f>
        <v>15</v>
      </c>
      <c r="B407" s="98">
        <f>IFERROR(__xludf.DUMMYFUNCTION("""COMPUTED_VALUE"""),44096.0)</f>
        <v>44096</v>
      </c>
      <c r="C407" s="96" t="str">
        <f>IFERROR(__xludf.DUMMYFUNCTION("""COMPUTED_VALUE"""),"NDOMA BODE I.D")</f>
        <v>NDOMA BODE I.D</v>
      </c>
      <c r="D407" s="96" t="str">
        <f>IFERROR(__xludf.DUMMYFUNCTION("""COMPUTED_VALUE"""),"NDOMA BODE I.D15")</f>
        <v>NDOMA BODE I.D15</v>
      </c>
      <c r="E407" s="96"/>
      <c r="F407" s="96"/>
      <c r="G407" s="96"/>
      <c r="H407" s="96"/>
      <c r="I407" s="96"/>
      <c r="J407" s="96"/>
      <c r="K407" s="96">
        <f>IFERROR(__xludf.DUMMYFUNCTION("""COMPUTED_VALUE"""),500000.0)</f>
        <v>500000</v>
      </c>
      <c r="L407" s="99">
        <f>IFERROR(__xludf.DUMMYFUNCTION("""COMPUTED_VALUE"""),500000.0)</f>
        <v>500000</v>
      </c>
      <c r="M407" s="96"/>
      <c r="N407" s="96">
        <f>IFERROR(__xludf.DUMMYFUNCTION("""COMPUTED_VALUE"""),0.0)</f>
        <v>0</v>
      </c>
      <c r="O407" s="96">
        <f>IFERROR(__xludf.DUMMYFUNCTION("""COMPUTED_VALUE"""),0.0)</f>
        <v>0</v>
      </c>
      <c r="P407" s="96">
        <f>IFERROR(__xludf.DUMMYFUNCTION("""COMPUTED_VALUE"""),0.0)</f>
        <v>0</v>
      </c>
      <c r="Q407" s="129">
        <f>IFERROR(__xludf.DUMMYFUNCTION("""COMPUTED_VALUE"""),0.0)</f>
        <v>0</v>
      </c>
      <c r="R407" s="99"/>
    </row>
    <row r="408">
      <c r="A408" s="96">
        <f>IFERROR(__xludf.DUMMYFUNCTION("""COMPUTED_VALUE"""),10.0)</f>
        <v>10</v>
      </c>
      <c r="B408" s="98">
        <f>IFERROR(__xludf.DUMMYFUNCTION("""COMPUTED_VALUE"""),44097.0)</f>
        <v>44097</v>
      </c>
      <c r="C408" s="96" t="str">
        <f>IFERROR(__xludf.DUMMYFUNCTION("""COMPUTED_VALUE"""),"A. D. FREDERICK")</f>
        <v>A. D. FREDERICK</v>
      </c>
      <c r="D408" s="96" t="str">
        <f>IFERROR(__xludf.DUMMYFUNCTION("""COMPUTED_VALUE"""),"A. D. FREDERICK10")</f>
        <v>A. D. FREDERICK10</v>
      </c>
      <c r="E408" s="96"/>
      <c r="F408" s="96"/>
      <c r="G408" s="96"/>
      <c r="H408" s="96"/>
      <c r="I408" s="96"/>
      <c r="J408" s="96"/>
      <c r="K408" s="96">
        <f>IFERROR(__xludf.DUMMYFUNCTION("""COMPUTED_VALUE"""),1824000.0)</f>
        <v>1824000</v>
      </c>
      <c r="L408" s="99">
        <f>IFERROR(__xludf.DUMMYFUNCTION("""COMPUTED_VALUE"""),1824000.0)</f>
        <v>1824000</v>
      </c>
      <c r="M408" s="96"/>
      <c r="N408" s="96">
        <f>IFERROR(__xludf.DUMMYFUNCTION("""COMPUTED_VALUE"""),0.0)</f>
        <v>0</v>
      </c>
      <c r="O408" s="96">
        <f>IFERROR(__xludf.DUMMYFUNCTION("""COMPUTED_VALUE"""),0.0)</f>
        <v>0</v>
      </c>
      <c r="P408" s="96">
        <f>IFERROR(__xludf.DUMMYFUNCTION("""COMPUTED_VALUE"""),0.0)</f>
        <v>0</v>
      </c>
      <c r="Q408" s="129">
        <f>IFERROR(__xludf.DUMMYFUNCTION("""COMPUTED_VALUE"""),0.0)</f>
        <v>0</v>
      </c>
      <c r="R408" s="99"/>
    </row>
    <row r="409">
      <c r="A409" s="96">
        <f>IFERROR(__xludf.DUMMYFUNCTION("""COMPUTED_VALUE"""),5.0)</f>
        <v>5</v>
      </c>
      <c r="B409" s="98">
        <f>IFERROR(__xludf.DUMMYFUNCTION("""COMPUTED_VALUE"""),44097.0)</f>
        <v>44097</v>
      </c>
      <c r="C409" s="96" t="str">
        <f>IFERROR(__xludf.DUMMYFUNCTION("""COMPUTED_VALUE"""),"MATIAT LOVE")</f>
        <v>MATIAT LOVE</v>
      </c>
      <c r="D409" s="96" t="str">
        <f>IFERROR(__xludf.DUMMYFUNCTION("""COMPUTED_VALUE"""),"MATIAT LOVE5")</f>
        <v>MATIAT LOVE5</v>
      </c>
      <c r="E409" s="96"/>
      <c r="F409" s="96"/>
      <c r="G409" s="96"/>
      <c r="H409" s="96"/>
      <c r="I409" s="96"/>
      <c r="J409" s="96"/>
      <c r="K409" s="96">
        <f>IFERROR(__xludf.DUMMYFUNCTION("""COMPUTED_VALUE"""),20000.0)</f>
        <v>20000</v>
      </c>
      <c r="L409" s="99">
        <f>IFERROR(__xludf.DUMMYFUNCTION("""COMPUTED_VALUE"""),20000.0)</f>
        <v>20000</v>
      </c>
      <c r="M409" s="96"/>
      <c r="N409" s="96">
        <f>IFERROR(__xludf.DUMMYFUNCTION("""COMPUTED_VALUE"""),0.0)</f>
        <v>0</v>
      </c>
      <c r="O409" s="96">
        <f>IFERROR(__xludf.DUMMYFUNCTION("""COMPUTED_VALUE"""),0.0)</f>
        <v>0</v>
      </c>
      <c r="P409" s="96">
        <f>IFERROR(__xludf.DUMMYFUNCTION("""COMPUTED_VALUE"""),0.0)</f>
        <v>0</v>
      </c>
      <c r="Q409" s="129">
        <f>IFERROR(__xludf.DUMMYFUNCTION("""COMPUTED_VALUE"""),0.0)</f>
        <v>0</v>
      </c>
      <c r="R409" s="99"/>
    </row>
    <row r="410">
      <c r="A410" s="96">
        <f>IFERROR(__xludf.DUMMYFUNCTION("""COMPUTED_VALUE"""),12.0)</f>
        <v>12</v>
      </c>
      <c r="B410" s="98">
        <f>IFERROR(__xludf.DUMMYFUNCTION("""COMPUTED_VALUE"""),44097.0)</f>
        <v>44097</v>
      </c>
      <c r="C410" s="96" t="str">
        <f>IFERROR(__xludf.DUMMYFUNCTION("""COMPUTED_VALUE"""),"OTU KOKO KEIBO")</f>
        <v>OTU KOKO KEIBO</v>
      </c>
      <c r="D410" s="96" t="str">
        <f>IFERROR(__xludf.DUMMYFUNCTION("""COMPUTED_VALUE"""),"OTU KOKO KEIBO12")</f>
        <v>OTU KOKO KEIBO12</v>
      </c>
      <c r="E410" s="96"/>
      <c r="F410" s="96"/>
      <c r="G410" s="96"/>
      <c r="H410" s="96"/>
      <c r="I410" s="96"/>
      <c r="J410" s="96"/>
      <c r="K410" s="96">
        <f>IFERROR(__xludf.DUMMYFUNCTION("""COMPUTED_VALUE"""),1600000.0)</f>
        <v>1600000</v>
      </c>
      <c r="L410" s="99">
        <f>IFERROR(__xludf.DUMMYFUNCTION("""COMPUTED_VALUE"""),1600000.0)</f>
        <v>1600000</v>
      </c>
      <c r="M410" s="96"/>
      <c r="N410" s="96">
        <f>IFERROR(__xludf.DUMMYFUNCTION("""COMPUTED_VALUE"""),0.0)</f>
        <v>0</v>
      </c>
      <c r="O410" s="96">
        <f>IFERROR(__xludf.DUMMYFUNCTION("""COMPUTED_VALUE"""),0.0)</f>
        <v>0</v>
      </c>
      <c r="P410" s="96">
        <f>IFERROR(__xludf.DUMMYFUNCTION("""COMPUTED_VALUE"""),0.0)</f>
        <v>0</v>
      </c>
      <c r="Q410" s="129">
        <f>IFERROR(__xludf.DUMMYFUNCTION("""COMPUTED_VALUE"""),0.0)</f>
        <v>0</v>
      </c>
      <c r="R410" s="99"/>
    </row>
    <row r="411">
      <c r="A411" s="96">
        <f>IFERROR(__xludf.DUMMYFUNCTION("""COMPUTED_VALUE"""),11.0)</f>
        <v>11</v>
      </c>
      <c r="B411" s="98">
        <f>IFERROR(__xludf.DUMMYFUNCTION("""COMPUTED_VALUE"""),44097.0)</f>
        <v>44097</v>
      </c>
      <c r="C411" s="96" t="str">
        <f>IFERROR(__xludf.DUMMYFUNCTION("""COMPUTED_VALUE"""),"A. D. FREDERICK")</f>
        <v>A. D. FREDERICK</v>
      </c>
      <c r="D411" s="96" t="str">
        <f>IFERROR(__xludf.DUMMYFUNCTION("""COMPUTED_VALUE"""),"A. D. FREDERICK11")</f>
        <v>A. D. FREDERICK11</v>
      </c>
      <c r="E411" s="96">
        <f>IFERROR(__xludf.DUMMYFUNCTION("""COMPUTED_VALUE"""),1960.0)</f>
        <v>1960</v>
      </c>
      <c r="F411" s="96">
        <f>IFERROR(__xludf.DUMMYFUNCTION("""COMPUTED_VALUE"""),269.0)</f>
        <v>269</v>
      </c>
      <c r="G411" s="96"/>
      <c r="H411" s="96">
        <f>IFERROR(__xludf.DUMMYFUNCTION("""COMPUTED_VALUE"""),29.0)</f>
        <v>29</v>
      </c>
      <c r="I411" s="96"/>
      <c r="J411" s="96">
        <f>IFERROR(__xludf.DUMMYFUNCTION("""COMPUTED_VALUE"""),935.68)</f>
        <v>935.68</v>
      </c>
      <c r="K411" s="96"/>
      <c r="L411" s="99">
        <f>IFERROR(__xludf.DUMMYFUNCTION("""COMPUTED_VALUE"""),-1783410.0)</f>
        <v>-1783410</v>
      </c>
      <c r="M411" s="96">
        <f>IFERROR(__xludf.DUMMYFUNCTION("""COMPUTED_VALUE"""),9.28)</f>
        <v>9.28</v>
      </c>
      <c r="N411" s="96">
        <f>IFERROR(__xludf.DUMMYFUNCTION("""COMPUTED_VALUE"""),25.0)</f>
        <v>25</v>
      </c>
      <c r="O411" s="96">
        <f>IFERROR(__xludf.DUMMYFUNCTION("""COMPUTED_VALUE"""),30.0)</f>
        <v>30</v>
      </c>
      <c r="P411" s="96">
        <f>IFERROR(__xludf.DUMMYFUNCTION("""COMPUTED_VALUE"""),15.0)</f>
        <v>15</v>
      </c>
      <c r="Q411" s="129">
        <f>IFERROR(__xludf.DUMMYFUNCTION("""COMPUTED_VALUE"""),1906.0)</f>
        <v>1906</v>
      </c>
      <c r="R411" s="99">
        <f>IFERROR(__xludf.DUMMYFUNCTION("""COMPUTED_VALUE"""),1783410.0)</f>
        <v>1783410</v>
      </c>
    </row>
    <row r="412">
      <c r="A412" s="96">
        <f>IFERROR(__xludf.DUMMYFUNCTION("""COMPUTED_VALUE"""),14.0)</f>
        <v>14</v>
      </c>
      <c r="B412" s="98">
        <f>IFERROR(__xludf.DUMMYFUNCTION("""COMPUTED_VALUE"""),44097.0)</f>
        <v>44097</v>
      </c>
      <c r="C412" s="96" t="str">
        <f>IFERROR(__xludf.DUMMYFUNCTION("""COMPUTED_VALUE"""),"ETUK EFFI")</f>
        <v>ETUK EFFI</v>
      </c>
      <c r="D412" s="96" t="str">
        <f>IFERROR(__xludf.DUMMYFUNCTION("""COMPUTED_VALUE"""),"ETUK EFFI14")</f>
        <v>ETUK EFFI14</v>
      </c>
      <c r="E412" s="96">
        <f>IFERROR(__xludf.DUMMYFUNCTION("""COMPUTED_VALUE"""),1697.0)</f>
        <v>1697</v>
      </c>
      <c r="F412" s="96">
        <f>IFERROR(__xludf.DUMMYFUNCTION("""COMPUTED_VALUE"""),208.0)</f>
        <v>208</v>
      </c>
      <c r="G412" s="96"/>
      <c r="H412" s="96">
        <f>IFERROR(__xludf.DUMMYFUNCTION("""COMPUTED_VALUE"""),26.0)</f>
        <v>26</v>
      </c>
      <c r="I412" s="96"/>
      <c r="J412" s="96">
        <f>IFERROR(__xludf.DUMMYFUNCTION("""COMPUTED_VALUE"""),900.0)</f>
        <v>900</v>
      </c>
      <c r="K412" s="96"/>
      <c r="L412" s="99">
        <f>IFERROR(__xludf.DUMMYFUNCTION("""COMPUTED_VALUE"""),-1503900.0)</f>
        <v>-1503900</v>
      </c>
      <c r="M412" s="96">
        <f>IFERROR(__xludf.DUMMYFUNCTION("""COMPUTED_VALUE"""),8.0)</f>
        <v>8</v>
      </c>
      <c r="N412" s="96">
        <f>IFERROR(__xludf.DUMMYFUNCTION("""COMPUTED_VALUE"""),0.0)</f>
        <v>0</v>
      </c>
      <c r="O412" s="96">
        <f>IFERROR(__xludf.DUMMYFUNCTION("""COMPUTED_VALUE"""),26.0)</f>
        <v>26</v>
      </c>
      <c r="P412" s="96">
        <f>IFERROR(__xludf.DUMMYFUNCTION("""COMPUTED_VALUE"""),33.0)</f>
        <v>33</v>
      </c>
      <c r="Q412" s="129">
        <f>IFERROR(__xludf.DUMMYFUNCTION("""COMPUTED_VALUE"""),1671.0)</f>
        <v>1671</v>
      </c>
      <c r="R412" s="99">
        <f>IFERROR(__xludf.DUMMYFUNCTION("""COMPUTED_VALUE"""),1503900.0)</f>
        <v>1503900</v>
      </c>
    </row>
    <row r="413">
      <c r="A413" s="96">
        <f>IFERROR(__xludf.DUMMYFUNCTION("""COMPUTED_VALUE"""),9.0)</f>
        <v>9</v>
      </c>
      <c r="B413" s="98">
        <f>IFERROR(__xludf.DUMMYFUNCTION("""COMPUTED_VALUE"""),44088.0)</f>
        <v>44088</v>
      </c>
      <c r="C413" s="96" t="str">
        <f>IFERROR(__xludf.DUMMYFUNCTION("""COMPUTED_VALUE"""),"KARIEN EBAN")</f>
        <v>KARIEN EBAN</v>
      </c>
      <c r="D413" s="96" t="str">
        <f>IFERROR(__xludf.DUMMYFUNCTION("""COMPUTED_VALUE"""),"KARIEN EBAN9")</f>
        <v>KARIEN EBAN9</v>
      </c>
      <c r="E413" s="96">
        <f>IFERROR(__xludf.DUMMYFUNCTION("""COMPUTED_VALUE"""),1412.0)</f>
        <v>1412</v>
      </c>
      <c r="F413" s="96">
        <f>IFERROR(__xludf.DUMMYFUNCTION("""COMPUTED_VALUE"""),200.5)</f>
        <v>200.5</v>
      </c>
      <c r="G413" s="96"/>
      <c r="H413" s="96">
        <f>IFERROR(__xludf.DUMMYFUNCTION("""COMPUTED_VALUE"""),22.0)</f>
        <v>22</v>
      </c>
      <c r="I413" s="96"/>
      <c r="J413" s="96">
        <f>IFERROR(__xludf.DUMMYFUNCTION("""COMPUTED_VALUE"""),900.0)</f>
        <v>900</v>
      </c>
      <c r="K413" s="96"/>
      <c r="L413" s="99">
        <f>IFERROR(__xludf.DUMMYFUNCTION("""COMPUTED_VALUE"""),-1237500.0)</f>
        <v>-1237500</v>
      </c>
      <c r="M413" s="96">
        <f>IFERROR(__xludf.DUMMYFUNCTION("""COMPUTED_VALUE"""),9.11)</f>
        <v>9.11</v>
      </c>
      <c r="N413" s="96">
        <f>IFERROR(__xludf.DUMMYFUNCTION("""COMPUTED_VALUE"""),15.0)</f>
        <v>15</v>
      </c>
      <c r="O413" s="96">
        <f>IFERROR(__xludf.DUMMYFUNCTION("""COMPUTED_VALUE"""),21.0)</f>
        <v>21</v>
      </c>
      <c r="P413" s="96">
        <f>IFERROR(__xludf.DUMMYFUNCTION("""COMPUTED_VALUE"""),52.0)</f>
        <v>52</v>
      </c>
      <c r="Q413" s="129">
        <f>IFERROR(__xludf.DUMMYFUNCTION("""COMPUTED_VALUE"""),1375.0)</f>
        <v>1375</v>
      </c>
      <c r="R413" s="99">
        <f>IFERROR(__xludf.DUMMYFUNCTION("""COMPUTED_VALUE"""),1237500.0)</f>
        <v>1237500</v>
      </c>
    </row>
    <row r="414">
      <c r="A414" s="96">
        <f>IFERROR(__xludf.DUMMYFUNCTION("""COMPUTED_VALUE"""),10.0)</f>
        <v>10</v>
      </c>
      <c r="B414" s="98">
        <f>IFERROR(__xludf.DUMMYFUNCTION("""COMPUTED_VALUE"""),44097.0)</f>
        <v>44097</v>
      </c>
      <c r="C414" s="96" t="str">
        <f>IFERROR(__xludf.DUMMYFUNCTION("""COMPUTED_VALUE"""),"KARIEN EBAN")</f>
        <v>KARIEN EBAN</v>
      </c>
      <c r="D414" s="96" t="str">
        <f>IFERROR(__xludf.DUMMYFUNCTION("""COMPUTED_VALUE"""),"KARIEN EBAN10")</f>
        <v>KARIEN EBAN10</v>
      </c>
      <c r="E414" s="96">
        <f>IFERROR(__xludf.DUMMYFUNCTION("""COMPUTED_VALUE"""),398.0)</f>
        <v>398</v>
      </c>
      <c r="F414" s="96">
        <f>IFERROR(__xludf.DUMMYFUNCTION("""COMPUTED_VALUE"""),55.0)</f>
        <v>55</v>
      </c>
      <c r="G414" s="96"/>
      <c r="H414" s="96">
        <f>IFERROR(__xludf.DUMMYFUNCTION("""COMPUTED_VALUE"""),6.0)</f>
        <v>6</v>
      </c>
      <c r="I414" s="96"/>
      <c r="J414" s="96">
        <f>IFERROR(__xludf.DUMMYFUNCTION("""COMPUTED_VALUE"""),940.0)</f>
        <v>940</v>
      </c>
      <c r="K414" s="96"/>
      <c r="L414" s="99">
        <f>IFERROR(__xludf.DUMMYFUNCTION("""COMPUTED_VALUE"""),-363780.0)</f>
        <v>-363780</v>
      </c>
      <c r="M414" s="96">
        <f>IFERROR(__xludf.DUMMYFUNCTION("""COMPUTED_VALUE"""),9.17)</f>
        <v>9.17</v>
      </c>
      <c r="N414" s="96">
        <f>IFERROR(__xludf.DUMMYFUNCTION("""COMPUTED_VALUE"""),5.0)</f>
        <v>5</v>
      </c>
      <c r="O414" s="96">
        <f>IFERROR(__xludf.DUMMYFUNCTION("""COMPUTED_VALUE"""),6.0)</f>
        <v>6</v>
      </c>
      <c r="P414" s="96">
        <f>IFERROR(__xludf.DUMMYFUNCTION("""COMPUTED_VALUE"""),9.0)</f>
        <v>9</v>
      </c>
      <c r="Q414" s="129">
        <f>IFERROR(__xludf.DUMMYFUNCTION("""COMPUTED_VALUE"""),387.0)</f>
        <v>387</v>
      </c>
      <c r="R414" s="99">
        <f>IFERROR(__xludf.DUMMYFUNCTION("""COMPUTED_VALUE"""),363780.0)</f>
        <v>363780</v>
      </c>
    </row>
    <row r="415">
      <c r="A415" s="96">
        <f>IFERROR(__xludf.DUMMYFUNCTION("""COMPUTED_VALUE"""),8.0)</f>
        <v>8</v>
      </c>
      <c r="B415" s="98">
        <f>IFERROR(__xludf.DUMMYFUNCTION("""COMPUTED_VALUE"""),44083.0)</f>
        <v>44083</v>
      </c>
      <c r="C415" s="96" t="str">
        <f>IFERROR(__xludf.DUMMYFUNCTION("""COMPUTED_VALUE"""),"AUGUSTINE IGBA")</f>
        <v>AUGUSTINE IGBA</v>
      </c>
      <c r="D415" s="96" t="str">
        <f>IFERROR(__xludf.DUMMYFUNCTION("""COMPUTED_VALUE"""),"AUGUSTINE IGBA8")</f>
        <v>AUGUSTINE IGBA8</v>
      </c>
      <c r="E415" s="96">
        <f>IFERROR(__xludf.DUMMYFUNCTION("""COMPUTED_VALUE"""),2828.0)</f>
        <v>2828</v>
      </c>
      <c r="F415" s="96">
        <f>IFERROR(__xludf.DUMMYFUNCTION("""COMPUTED_VALUE"""),328.0)</f>
        <v>328</v>
      </c>
      <c r="G415" s="96"/>
      <c r="H415" s="96">
        <f>IFERROR(__xludf.DUMMYFUNCTION("""COMPUTED_VALUE"""),41.0)</f>
        <v>41</v>
      </c>
      <c r="I415" s="96"/>
      <c r="J415" s="96">
        <f>IFERROR(__xludf.DUMMYFUNCTION("""COMPUTED_VALUE"""),900.0)</f>
        <v>900</v>
      </c>
      <c r="K415" s="96"/>
      <c r="L415" s="99">
        <f>IFERROR(__xludf.DUMMYFUNCTION("""COMPUTED_VALUE"""),-2508300.0)</f>
        <v>-2508300</v>
      </c>
      <c r="M415" s="96">
        <f>IFERROR(__xludf.DUMMYFUNCTION("""COMPUTED_VALUE"""),8.0)</f>
        <v>8</v>
      </c>
      <c r="N415" s="96">
        <f>IFERROR(__xludf.DUMMYFUNCTION("""COMPUTED_VALUE"""),0.0)</f>
        <v>0</v>
      </c>
      <c r="O415" s="96">
        <f>IFERROR(__xludf.DUMMYFUNCTION("""COMPUTED_VALUE"""),44.0)</f>
        <v>44</v>
      </c>
      <c r="P415" s="96">
        <f>IFERROR(__xludf.DUMMYFUNCTION("""COMPUTED_VALUE"""),15.0)</f>
        <v>15</v>
      </c>
      <c r="Q415" s="129">
        <f>IFERROR(__xludf.DUMMYFUNCTION("""COMPUTED_VALUE"""),2787.0)</f>
        <v>2787</v>
      </c>
      <c r="R415" s="99">
        <f>IFERROR(__xludf.DUMMYFUNCTION("""COMPUTED_VALUE"""),2508300.0)</f>
        <v>2508300</v>
      </c>
    </row>
    <row r="416">
      <c r="A416" s="96">
        <f>IFERROR(__xludf.DUMMYFUNCTION("""COMPUTED_VALUE"""),9.0)</f>
        <v>9</v>
      </c>
      <c r="B416" s="98">
        <f>IFERROR(__xludf.DUMMYFUNCTION("""COMPUTED_VALUE"""),44088.0)</f>
        <v>44088</v>
      </c>
      <c r="C416" s="96" t="str">
        <f>IFERROR(__xludf.DUMMYFUNCTION("""COMPUTED_VALUE"""),"AUGUSTINE IGBA")</f>
        <v>AUGUSTINE IGBA</v>
      </c>
      <c r="D416" s="96" t="str">
        <f>IFERROR(__xludf.DUMMYFUNCTION("""COMPUTED_VALUE"""),"AUGUSTINE IGBA9")</f>
        <v>AUGUSTINE IGBA9</v>
      </c>
      <c r="E416" s="96">
        <f>IFERROR(__xludf.DUMMYFUNCTION("""COMPUTED_VALUE"""),2070.0)</f>
        <v>2070</v>
      </c>
      <c r="F416" s="96">
        <f>IFERROR(__xludf.DUMMYFUNCTION("""COMPUTED_VALUE"""),348.0)</f>
        <v>348</v>
      </c>
      <c r="G416" s="96"/>
      <c r="H416" s="96">
        <f>IFERROR(__xludf.DUMMYFUNCTION("""COMPUTED_VALUE"""),33.0)</f>
        <v>33</v>
      </c>
      <c r="I416" s="96"/>
      <c r="J416" s="96">
        <f>IFERROR(__xludf.DUMMYFUNCTION("""COMPUTED_VALUE"""),900.0)</f>
        <v>900</v>
      </c>
      <c r="K416" s="96"/>
      <c r="L416" s="99">
        <f>IFERROR(__xludf.DUMMYFUNCTION("""COMPUTED_VALUE"""),-1786500.0)</f>
        <v>-1786500</v>
      </c>
      <c r="M416" s="96">
        <f>IFERROR(__xludf.DUMMYFUNCTION("""COMPUTED_VALUE"""),10.55)</f>
        <v>10.55</v>
      </c>
      <c r="N416" s="96">
        <f>IFERROR(__xludf.DUMMYFUNCTION("""COMPUTED_VALUE"""),52.0)</f>
        <v>52</v>
      </c>
      <c r="O416" s="96">
        <f>IFERROR(__xludf.DUMMYFUNCTION("""COMPUTED_VALUE"""),31.0)</f>
        <v>31</v>
      </c>
      <c r="P416" s="96">
        <f>IFERROR(__xludf.DUMMYFUNCTION("""COMPUTED_VALUE"""),32.0)</f>
        <v>32</v>
      </c>
      <c r="Q416" s="129">
        <f>IFERROR(__xludf.DUMMYFUNCTION("""COMPUTED_VALUE"""),1985.0)</f>
        <v>1985</v>
      </c>
      <c r="R416" s="99">
        <f>IFERROR(__xludf.DUMMYFUNCTION("""COMPUTED_VALUE"""),1786500.0)</f>
        <v>1786500</v>
      </c>
    </row>
    <row r="417">
      <c r="A417" s="96">
        <f>IFERROR(__xludf.DUMMYFUNCTION("""COMPUTED_VALUE"""),10.0)</f>
        <v>10</v>
      </c>
      <c r="B417" s="98">
        <f>IFERROR(__xludf.DUMMYFUNCTION("""COMPUTED_VALUE"""),44093.0)</f>
        <v>44093</v>
      </c>
      <c r="C417" s="96" t="str">
        <f>IFERROR(__xludf.DUMMYFUNCTION("""COMPUTED_VALUE"""),"AUGUSTINE IGBA")</f>
        <v>AUGUSTINE IGBA</v>
      </c>
      <c r="D417" s="96" t="str">
        <f>IFERROR(__xludf.DUMMYFUNCTION("""COMPUTED_VALUE"""),"AUGUSTINE IGBA10")</f>
        <v>AUGUSTINE IGBA10</v>
      </c>
      <c r="E417" s="96">
        <f>IFERROR(__xludf.DUMMYFUNCTION("""COMPUTED_VALUE"""),1509.0)</f>
        <v>1509</v>
      </c>
      <c r="F417" s="96">
        <f>IFERROR(__xludf.DUMMYFUNCTION("""COMPUTED_VALUE"""),325.5)</f>
        <v>325.5</v>
      </c>
      <c r="G417" s="96"/>
      <c r="H417" s="96">
        <f>IFERROR(__xludf.DUMMYFUNCTION("""COMPUTED_VALUE"""),24.0)</f>
        <v>24</v>
      </c>
      <c r="I417" s="96"/>
      <c r="J417" s="96">
        <f>IFERROR(__xludf.DUMMYFUNCTION("""COMPUTED_VALUE"""),900.0)</f>
        <v>900</v>
      </c>
      <c r="K417" s="96"/>
      <c r="L417" s="99">
        <f>IFERROR(__xludf.DUMMYFUNCTION("""COMPUTED_VALUE"""),-1261800.0)</f>
        <v>-1261800</v>
      </c>
      <c r="M417" s="96">
        <f>IFERROR(__xludf.DUMMYFUNCTION("""COMPUTED_VALUE"""),13.56)</f>
        <v>13.56</v>
      </c>
      <c r="N417" s="96">
        <f>IFERROR(__xludf.DUMMYFUNCTION("""COMPUTED_VALUE"""),83.0)</f>
        <v>83</v>
      </c>
      <c r="O417" s="96">
        <f>IFERROR(__xludf.DUMMYFUNCTION("""COMPUTED_VALUE"""),22.0)</f>
        <v>22</v>
      </c>
      <c r="P417" s="96">
        <f>IFERROR(__xludf.DUMMYFUNCTION("""COMPUTED_VALUE"""),15.0)</f>
        <v>15</v>
      </c>
      <c r="Q417" s="129">
        <f>IFERROR(__xludf.DUMMYFUNCTION("""COMPUTED_VALUE"""),1402.0)</f>
        <v>1402</v>
      </c>
      <c r="R417" s="99">
        <f>IFERROR(__xludf.DUMMYFUNCTION("""COMPUTED_VALUE"""),1261800.0)</f>
        <v>1261800</v>
      </c>
    </row>
    <row r="418">
      <c r="A418" s="96">
        <f>IFERROR(__xludf.DUMMYFUNCTION("""COMPUTED_VALUE"""),1.0)</f>
        <v>1</v>
      </c>
      <c r="B418" s="98">
        <f>IFERROR(__xludf.DUMMYFUNCTION("""COMPUTED_VALUE"""),44099.0)</f>
        <v>44099</v>
      </c>
      <c r="C418" s="96" t="str">
        <f>IFERROR(__xludf.DUMMYFUNCTION("""COMPUTED_VALUE"""),"ABANG. MOSES")</f>
        <v>ABANG. MOSES</v>
      </c>
      <c r="D418" s="96" t="str">
        <f>IFERROR(__xludf.DUMMYFUNCTION("""COMPUTED_VALUE"""),"ABANG. MOSES1")</f>
        <v>ABANG. MOSES1</v>
      </c>
      <c r="E418" s="96"/>
      <c r="F418" s="96"/>
      <c r="G418" s="96"/>
      <c r="H418" s="96"/>
      <c r="I418" s="96"/>
      <c r="J418" s="96"/>
      <c r="K418" s="96">
        <f>IFERROR(__xludf.DUMMYFUNCTION("""COMPUTED_VALUE"""),1000000.0)</f>
        <v>1000000</v>
      </c>
      <c r="L418" s="99">
        <f>IFERROR(__xludf.DUMMYFUNCTION("""COMPUTED_VALUE"""),1000000.0)</f>
        <v>1000000</v>
      </c>
      <c r="M418" s="96"/>
      <c r="N418" s="96">
        <f>IFERROR(__xludf.DUMMYFUNCTION("""COMPUTED_VALUE"""),0.0)</f>
        <v>0</v>
      </c>
      <c r="O418" s="96">
        <f>IFERROR(__xludf.DUMMYFUNCTION("""COMPUTED_VALUE"""),0.0)</f>
        <v>0</v>
      </c>
      <c r="P418" s="96">
        <f>IFERROR(__xludf.DUMMYFUNCTION("""COMPUTED_VALUE"""),0.0)</f>
        <v>0</v>
      </c>
      <c r="Q418" s="129">
        <f>IFERROR(__xludf.DUMMYFUNCTION("""COMPUTED_VALUE"""),0.0)</f>
        <v>0</v>
      </c>
      <c r="R418" s="99"/>
    </row>
    <row r="419">
      <c r="A419" s="96">
        <f>IFERROR(__xludf.DUMMYFUNCTION("""COMPUTED_VALUE"""),12.0)</f>
        <v>12</v>
      </c>
      <c r="B419" s="98">
        <f>IFERROR(__xludf.DUMMYFUNCTION("""COMPUTED_VALUE"""),44102.0)</f>
        <v>44102</v>
      </c>
      <c r="C419" s="96" t="str">
        <f>IFERROR(__xludf.DUMMYFUNCTION("""COMPUTED_VALUE"""),"ANDRDEW GREAT")</f>
        <v>ANDRDEW GREAT</v>
      </c>
      <c r="D419" s="96" t="str">
        <f>IFERROR(__xludf.DUMMYFUNCTION("""COMPUTED_VALUE"""),"ANDRDEW GREAT12")</f>
        <v>ANDRDEW GREAT12</v>
      </c>
      <c r="E419" s="96">
        <f>IFERROR(__xludf.DUMMYFUNCTION("""COMPUTED_VALUE"""),1689.0)</f>
        <v>1689</v>
      </c>
      <c r="F419" s="96">
        <f>IFERROR(__xludf.DUMMYFUNCTION("""COMPUTED_VALUE"""),164.0)</f>
        <v>164</v>
      </c>
      <c r="G419" s="96"/>
      <c r="H419" s="96">
        <f>IFERROR(__xludf.DUMMYFUNCTION("""COMPUTED_VALUE"""),16.0)</f>
        <v>16</v>
      </c>
      <c r="I419" s="96"/>
      <c r="J419" s="96">
        <f>IFERROR(__xludf.DUMMYFUNCTION("""COMPUTED_VALUE"""),950.0)</f>
        <v>950</v>
      </c>
      <c r="K419" s="96"/>
      <c r="L419" s="99">
        <f>IFERROR(__xludf.DUMMYFUNCTION("""COMPUTED_VALUE"""),-1553250.0)</f>
        <v>-1553250</v>
      </c>
      <c r="M419" s="96">
        <f>IFERROR(__xludf.DUMMYFUNCTION("""COMPUTED_VALUE"""),10.25)</f>
        <v>10.25</v>
      </c>
      <c r="N419" s="96">
        <f>IFERROR(__xludf.DUMMYFUNCTION("""COMPUTED_VALUE"""),38.0)</f>
        <v>38</v>
      </c>
      <c r="O419" s="96">
        <f>IFERROR(__xludf.DUMMYFUNCTION("""COMPUTED_VALUE"""),25.0)</f>
        <v>25</v>
      </c>
      <c r="P419" s="96">
        <f>IFERROR(__xludf.DUMMYFUNCTION("""COMPUTED_VALUE"""),60.0)</f>
        <v>60</v>
      </c>
      <c r="Q419" s="129">
        <f>IFERROR(__xludf.DUMMYFUNCTION("""COMPUTED_VALUE"""),1635.0)</f>
        <v>1635</v>
      </c>
      <c r="R419" s="99">
        <f>IFERROR(__xludf.DUMMYFUNCTION("""COMPUTED_VALUE"""),1553250.0)</f>
        <v>1553250</v>
      </c>
    </row>
    <row r="420">
      <c r="A420" s="96">
        <f>IFERROR(__xludf.DUMMYFUNCTION("""COMPUTED_VALUE"""),2.0)</f>
        <v>2</v>
      </c>
      <c r="B420" s="98">
        <f>IFERROR(__xludf.DUMMYFUNCTION("""COMPUTED_VALUE"""),44100.0)</f>
        <v>44100</v>
      </c>
      <c r="C420" s="96" t="str">
        <f>IFERROR(__xludf.DUMMYFUNCTION("""COMPUTED_VALUE""")," OP OCHICHIE")</f>
        <v> OP OCHICHIE</v>
      </c>
      <c r="D420" s="96" t="str">
        <f>IFERROR(__xludf.DUMMYFUNCTION("""COMPUTED_VALUE""")," OP OCHICHIE2")</f>
        <v> OP OCHICHIE2</v>
      </c>
      <c r="E420" s="96"/>
      <c r="F420" s="96"/>
      <c r="G420" s="96"/>
      <c r="H420" s="96"/>
      <c r="I420" s="96"/>
      <c r="J420" s="96"/>
      <c r="K420" s="96">
        <f>IFERROR(__xludf.DUMMYFUNCTION("""COMPUTED_VALUE"""),10000.0)</f>
        <v>10000</v>
      </c>
      <c r="L420" s="99">
        <f>IFERROR(__xludf.DUMMYFUNCTION("""COMPUTED_VALUE"""),10000.0)</f>
        <v>10000</v>
      </c>
      <c r="M420" s="96"/>
      <c r="N420" s="96">
        <f>IFERROR(__xludf.DUMMYFUNCTION("""COMPUTED_VALUE"""),0.0)</f>
        <v>0</v>
      </c>
      <c r="O420" s="96">
        <f>IFERROR(__xludf.DUMMYFUNCTION("""COMPUTED_VALUE"""),0.0)</f>
        <v>0</v>
      </c>
      <c r="P420" s="96">
        <f>IFERROR(__xludf.DUMMYFUNCTION("""COMPUTED_VALUE"""),0.0)</f>
        <v>0</v>
      </c>
      <c r="Q420" s="129">
        <f>IFERROR(__xludf.DUMMYFUNCTION("""COMPUTED_VALUE"""),0.0)</f>
        <v>0</v>
      </c>
      <c r="R420" s="99"/>
    </row>
    <row r="421">
      <c r="A421" s="96">
        <f>IFERROR(__xludf.DUMMYFUNCTION("""COMPUTED_VALUE"""),3.0)</f>
        <v>3</v>
      </c>
      <c r="B421" s="98">
        <f>IFERROR(__xludf.DUMMYFUNCTION("""COMPUTED_VALUE"""),44100.0)</f>
        <v>44100</v>
      </c>
      <c r="C421" s="96" t="str">
        <f>IFERROR(__xludf.DUMMYFUNCTION("""COMPUTED_VALUE"""),"R.  MAXWELL AGRO")</f>
        <v>R.  MAXWELL AGRO</v>
      </c>
      <c r="D421" s="96" t="str">
        <f>IFERROR(__xludf.DUMMYFUNCTION("""COMPUTED_VALUE"""),"R.  MAXWELL AGRO3")</f>
        <v>R.  MAXWELL AGRO3</v>
      </c>
      <c r="E421" s="96"/>
      <c r="F421" s="96"/>
      <c r="G421" s="96"/>
      <c r="H421" s="96"/>
      <c r="I421" s="96"/>
      <c r="J421" s="96"/>
      <c r="K421" s="96">
        <f>IFERROR(__xludf.DUMMYFUNCTION("""COMPUTED_VALUE"""),7980000.0)</f>
        <v>7980000</v>
      </c>
      <c r="L421" s="99">
        <f>IFERROR(__xludf.DUMMYFUNCTION("""COMPUTED_VALUE"""),7980000.0)</f>
        <v>7980000</v>
      </c>
      <c r="M421" s="96"/>
      <c r="N421" s="96">
        <f>IFERROR(__xludf.DUMMYFUNCTION("""COMPUTED_VALUE"""),0.0)</f>
        <v>0</v>
      </c>
      <c r="O421" s="96">
        <f>IFERROR(__xludf.DUMMYFUNCTION("""COMPUTED_VALUE"""),0.0)</f>
        <v>0</v>
      </c>
      <c r="P421" s="96">
        <f>IFERROR(__xludf.DUMMYFUNCTION("""COMPUTED_VALUE"""),0.0)</f>
        <v>0</v>
      </c>
      <c r="Q421" s="129">
        <f>IFERROR(__xludf.DUMMYFUNCTION("""COMPUTED_VALUE"""),0.0)</f>
        <v>0</v>
      </c>
      <c r="R421" s="99"/>
    </row>
    <row r="422">
      <c r="A422" s="96">
        <f>IFERROR(__xludf.DUMMYFUNCTION("""COMPUTED_VALUE"""),13.0)</f>
        <v>13</v>
      </c>
      <c r="B422" s="98">
        <f>IFERROR(__xludf.DUMMYFUNCTION("""COMPUTED_VALUE"""),44102.0)</f>
        <v>44102</v>
      </c>
      <c r="C422" s="96" t="str">
        <f>IFERROR(__xludf.DUMMYFUNCTION("""COMPUTED_VALUE"""),"EDWARD OKO")</f>
        <v>EDWARD OKO</v>
      </c>
      <c r="D422" s="96" t="str">
        <f>IFERROR(__xludf.DUMMYFUNCTION("""COMPUTED_VALUE"""),"EDWARD OKO13")</f>
        <v>EDWARD OKO13</v>
      </c>
      <c r="E422" s="96"/>
      <c r="F422" s="96"/>
      <c r="G422" s="96"/>
      <c r="H422" s="96"/>
      <c r="I422" s="96"/>
      <c r="J422" s="96"/>
      <c r="K422" s="96">
        <f>IFERROR(__xludf.DUMMYFUNCTION("""COMPUTED_VALUE"""),3000000.0)</f>
        <v>3000000</v>
      </c>
      <c r="L422" s="99">
        <f>IFERROR(__xludf.DUMMYFUNCTION("""COMPUTED_VALUE"""),3000000.0)</f>
        <v>3000000</v>
      </c>
      <c r="M422" s="96"/>
      <c r="N422" s="96">
        <f>IFERROR(__xludf.DUMMYFUNCTION("""COMPUTED_VALUE"""),0.0)</f>
        <v>0</v>
      </c>
      <c r="O422" s="96">
        <f>IFERROR(__xludf.DUMMYFUNCTION("""COMPUTED_VALUE"""),0.0)</f>
        <v>0</v>
      </c>
      <c r="P422" s="96">
        <f>IFERROR(__xludf.DUMMYFUNCTION("""COMPUTED_VALUE"""),0.0)</f>
        <v>0</v>
      </c>
      <c r="Q422" s="129">
        <f>IFERROR(__xludf.DUMMYFUNCTION("""COMPUTED_VALUE"""),0.0)</f>
        <v>0</v>
      </c>
      <c r="R422" s="99"/>
    </row>
    <row r="423">
      <c r="A423" s="96">
        <f>IFERROR(__xludf.DUMMYFUNCTION("""COMPUTED_VALUE"""),13.0)</f>
        <v>13</v>
      </c>
      <c r="B423" s="98">
        <f>IFERROR(__xludf.DUMMYFUNCTION("""COMPUTED_VALUE"""),44102.0)</f>
        <v>44102</v>
      </c>
      <c r="C423" s="96" t="str">
        <f>IFERROR(__xludf.DUMMYFUNCTION("""COMPUTED_VALUE"""),"ANDRDEW GREAT")</f>
        <v>ANDRDEW GREAT</v>
      </c>
      <c r="D423" s="96" t="str">
        <f>IFERROR(__xludf.DUMMYFUNCTION("""COMPUTED_VALUE"""),"ANDRDEW GREAT13")</f>
        <v>ANDRDEW GREAT13</v>
      </c>
      <c r="E423" s="96"/>
      <c r="F423" s="96"/>
      <c r="G423" s="96"/>
      <c r="H423" s="96"/>
      <c r="I423" s="96"/>
      <c r="J423" s="96"/>
      <c r="K423" s="96">
        <f>IFERROR(__xludf.DUMMYFUNCTION("""COMPUTED_VALUE"""),1050000.0)</f>
        <v>1050000</v>
      </c>
      <c r="L423" s="99">
        <f>IFERROR(__xludf.DUMMYFUNCTION("""COMPUTED_VALUE"""),1050000.0)</f>
        <v>1050000</v>
      </c>
      <c r="M423" s="96"/>
      <c r="N423" s="96">
        <f>IFERROR(__xludf.DUMMYFUNCTION("""COMPUTED_VALUE"""),0.0)</f>
        <v>0</v>
      </c>
      <c r="O423" s="96">
        <f>IFERROR(__xludf.DUMMYFUNCTION("""COMPUTED_VALUE"""),0.0)</f>
        <v>0</v>
      </c>
      <c r="P423" s="96">
        <f>IFERROR(__xludf.DUMMYFUNCTION("""COMPUTED_VALUE"""),0.0)</f>
        <v>0</v>
      </c>
      <c r="Q423" s="129">
        <f>IFERROR(__xludf.DUMMYFUNCTION("""COMPUTED_VALUE"""),0.0)</f>
        <v>0</v>
      </c>
      <c r="R423" s="99"/>
    </row>
    <row r="424">
      <c r="A424" s="96">
        <f>IFERROR(__xludf.DUMMYFUNCTION("""COMPUTED_VALUE"""),14.0)</f>
        <v>14</v>
      </c>
      <c r="B424" s="98">
        <f>IFERROR(__xludf.DUMMYFUNCTION("""COMPUTED_VALUE"""),44102.0)</f>
        <v>44102</v>
      </c>
      <c r="C424" s="96" t="str">
        <f>IFERROR(__xludf.DUMMYFUNCTION("""COMPUTED_VALUE"""),"ANDRDEW GREAT")</f>
        <v>ANDRDEW GREAT</v>
      </c>
      <c r="D424" s="96" t="str">
        <f>IFERROR(__xludf.DUMMYFUNCTION("""COMPUTED_VALUE"""),"ANDRDEW GREAT14")</f>
        <v>ANDRDEW GREAT14</v>
      </c>
      <c r="E424" s="96"/>
      <c r="F424" s="96"/>
      <c r="G424" s="96"/>
      <c r="H424" s="96"/>
      <c r="I424" s="96"/>
      <c r="J424" s="96"/>
      <c r="K424" s="96">
        <f>IFERROR(__xludf.DUMMYFUNCTION("""COMPUTED_VALUE"""),1553250.0)</f>
        <v>1553250</v>
      </c>
      <c r="L424" s="99">
        <f>IFERROR(__xludf.DUMMYFUNCTION("""COMPUTED_VALUE"""),1553250.0)</f>
        <v>1553250</v>
      </c>
      <c r="M424" s="96"/>
      <c r="N424" s="96">
        <f>IFERROR(__xludf.DUMMYFUNCTION("""COMPUTED_VALUE"""),0.0)</f>
        <v>0</v>
      </c>
      <c r="O424" s="96">
        <f>IFERROR(__xludf.DUMMYFUNCTION("""COMPUTED_VALUE"""),0.0)</f>
        <v>0</v>
      </c>
      <c r="P424" s="96">
        <f>IFERROR(__xludf.DUMMYFUNCTION("""COMPUTED_VALUE"""),0.0)</f>
        <v>0</v>
      </c>
      <c r="Q424" s="129">
        <f>IFERROR(__xludf.DUMMYFUNCTION("""COMPUTED_VALUE"""),0.0)</f>
        <v>0</v>
      </c>
      <c r="R424" s="99"/>
    </row>
    <row r="425">
      <c r="A425" s="96">
        <f>IFERROR(__xludf.DUMMYFUNCTION("""COMPUTED_VALUE"""),20.0)</f>
        <v>20</v>
      </c>
      <c r="B425" s="98">
        <f>IFERROR(__xludf.DUMMYFUNCTION("""COMPUTED_VALUE"""),44102.0)</f>
        <v>44102</v>
      </c>
      <c r="C425" s="96" t="str">
        <f>IFERROR(__xludf.DUMMYFUNCTION("""COMPUTED_VALUE"""),"BOSURU  BOSURU")</f>
        <v>BOSURU  BOSURU</v>
      </c>
      <c r="D425" s="96" t="str">
        <f>IFERROR(__xludf.DUMMYFUNCTION("""COMPUTED_VALUE"""),"BOSURU  BOSURU20")</f>
        <v>BOSURU  BOSURU20</v>
      </c>
      <c r="E425" s="96"/>
      <c r="F425" s="96"/>
      <c r="G425" s="96"/>
      <c r="H425" s="96"/>
      <c r="I425" s="96"/>
      <c r="J425" s="96"/>
      <c r="K425" s="96">
        <f>IFERROR(__xludf.DUMMYFUNCTION("""COMPUTED_VALUE"""),500000.0)</f>
        <v>500000</v>
      </c>
      <c r="L425" s="99">
        <f>IFERROR(__xludf.DUMMYFUNCTION("""COMPUTED_VALUE"""),500000.0)</f>
        <v>500000</v>
      </c>
      <c r="M425" s="96"/>
      <c r="N425" s="96">
        <f>IFERROR(__xludf.DUMMYFUNCTION("""COMPUTED_VALUE"""),0.0)</f>
        <v>0</v>
      </c>
      <c r="O425" s="96">
        <f>IFERROR(__xludf.DUMMYFUNCTION("""COMPUTED_VALUE"""),0.0)</f>
        <v>0</v>
      </c>
      <c r="P425" s="96">
        <f>IFERROR(__xludf.DUMMYFUNCTION("""COMPUTED_VALUE"""),0.0)</f>
        <v>0</v>
      </c>
      <c r="Q425" s="129">
        <f>IFERROR(__xludf.DUMMYFUNCTION("""COMPUTED_VALUE"""),0.0)</f>
        <v>0</v>
      </c>
      <c r="R425" s="99"/>
    </row>
    <row r="426">
      <c r="A426" s="96">
        <f>IFERROR(__xludf.DUMMYFUNCTION("""COMPUTED_VALUE"""),4.0)</f>
        <v>4</v>
      </c>
      <c r="B426" s="98">
        <f>IFERROR(__xludf.DUMMYFUNCTION("""COMPUTED_VALUE"""),44102.0)</f>
        <v>44102</v>
      </c>
      <c r="C426" s="96" t="str">
        <f>IFERROR(__xludf.DUMMYFUNCTION("""COMPUTED_VALUE"""),"R.  MAXWELL AGRO")</f>
        <v>R.  MAXWELL AGRO</v>
      </c>
      <c r="D426" s="96" t="str">
        <f>IFERROR(__xludf.DUMMYFUNCTION("""COMPUTED_VALUE"""),"R.  MAXWELL AGRO4")</f>
        <v>R.  MAXWELL AGRO4</v>
      </c>
      <c r="E426" s="96"/>
      <c r="F426" s="96"/>
      <c r="G426" s="96"/>
      <c r="H426" s="96"/>
      <c r="I426" s="96"/>
      <c r="J426" s="96"/>
      <c r="K426" s="96">
        <f>IFERROR(__xludf.DUMMYFUNCTION("""COMPUTED_VALUE"""),1.17E7)</f>
        <v>11700000</v>
      </c>
      <c r="L426" s="99">
        <f>IFERROR(__xludf.DUMMYFUNCTION("""COMPUTED_VALUE"""),1.17E7)</f>
        <v>11700000</v>
      </c>
      <c r="M426" s="96"/>
      <c r="N426" s="96">
        <f>IFERROR(__xludf.DUMMYFUNCTION("""COMPUTED_VALUE"""),0.0)</f>
        <v>0</v>
      </c>
      <c r="O426" s="96">
        <f>IFERROR(__xludf.DUMMYFUNCTION("""COMPUTED_VALUE"""),0.0)</f>
        <v>0</v>
      </c>
      <c r="P426" s="96">
        <f>IFERROR(__xludf.DUMMYFUNCTION("""COMPUTED_VALUE"""),0.0)</f>
        <v>0</v>
      </c>
      <c r="Q426" s="129">
        <f>IFERROR(__xludf.DUMMYFUNCTION("""COMPUTED_VALUE"""),0.0)</f>
        <v>0</v>
      </c>
      <c r="R426" s="99"/>
    </row>
    <row r="427">
      <c r="A427" s="96">
        <f>IFERROR(__xludf.DUMMYFUNCTION("""COMPUTED_VALUE"""),1.0)</f>
        <v>1</v>
      </c>
      <c r="B427" s="98">
        <f>IFERROR(__xludf.DUMMYFUNCTION("""COMPUTED_VALUE"""),44102.0)</f>
        <v>44102</v>
      </c>
      <c r="C427" s="96" t="str">
        <f>IFERROR(__xludf.DUMMYFUNCTION("""COMPUTED_VALUE"""),"PRIN M. BOSURU")</f>
        <v>PRIN M. BOSURU</v>
      </c>
      <c r="D427" s="96" t="str">
        <f>IFERROR(__xludf.DUMMYFUNCTION("""COMPUTED_VALUE"""),"PRIN M. BOSURU1")</f>
        <v>PRIN M. BOSURU1</v>
      </c>
      <c r="E427" s="96"/>
      <c r="F427" s="96"/>
      <c r="G427" s="96"/>
      <c r="H427" s="96"/>
      <c r="I427" s="96"/>
      <c r="J427" s="96"/>
      <c r="K427" s="96">
        <f>IFERROR(__xludf.DUMMYFUNCTION("""COMPUTED_VALUE"""),1120000.0)</f>
        <v>1120000</v>
      </c>
      <c r="L427" s="99">
        <f>IFERROR(__xludf.DUMMYFUNCTION("""COMPUTED_VALUE"""),1120000.0)</f>
        <v>1120000</v>
      </c>
      <c r="M427" s="96"/>
      <c r="N427" s="96">
        <f>IFERROR(__xludf.DUMMYFUNCTION("""COMPUTED_VALUE"""),0.0)</f>
        <v>0</v>
      </c>
      <c r="O427" s="96">
        <f>IFERROR(__xludf.DUMMYFUNCTION("""COMPUTED_VALUE"""),0.0)</f>
        <v>0</v>
      </c>
      <c r="P427" s="96">
        <f>IFERROR(__xludf.DUMMYFUNCTION("""COMPUTED_VALUE"""),0.0)</f>
        <v>0</v>
      </c>
      <c r="Q427" s="129">
        <f>IFERROR(__xludf.DUMMYFUNCTION("""COMPUTED_VALUE"""),0.0)</f>
        <v>0</v>
      </c>
      <c r="R427" s="99"/>
    </row>
    <row r="428">
      <c r="A428" s="96">
        <f>IFERROR(__xludf.DUMMYFUNCTION("""COMPUTED_VALUE"""),21.0)</f>
        <v>21</v>
      </c>
      <c r="B428" s="98">
        <f>IFERROR(__xludf.DUMMYFUNCTION("""COMPUTED_VALUE"""),44104.0)</f>
        <v>44104</v>
      </c>
      <c r="C428" s="96" t="str">
        <f>IFERROR(__xludf.DUMMYFUNCTION("""COMPUTED_VALUE"""),"CONNECT")</f>
        <v>CONNECT</v>
      </c>
      <c r="D428" s="96" t="str">
        <f>IFERROR(__xludf.DUMMYFUNCTION("""COMPUTED_VALUE"""),"CONNECT21")</f>
        <v>CONNECT21</v>
      </c>
      <c r="E428" s="96">
        <f>IFERROR(__xludf.DUMMYFUNCTION("""COMPUTED_VALUE"""),482.0)</f>
        <v>482</v>
      </c>
      <c r="F428" s="96">
        <f>IFERROR(__xludf.DUMMYFUNCTION("""COMPUTED_VALUE"""),78.0)</f>
        <v>78</v>
      </c>
      <c r="G428" s="96"/>
      <c r="H428" s="96">
        <f>IFERROR(__xludf.DUMMYFUNCTION("""COMPUTED_VALUE"""),7.0)</f>
        <v>7</v>
      </c>
      <c r="I428" s="96"/>
      <c r="J428" s="96">
        <f>IFERROR(__xludf.DUMMYFUNCTION("""COMPUTED_VALUE"""),940.0)</f>
        <v>940</v>
      </c>
      <c r="K428" s="96"/>
      <c r="L428" s="99">
        <f>IFERROR(__xludf.DUMMYFUNCTION("""COMPUTED_VALUE"""),-432400.0)</f>
        <v>-432400</v>
      </c>
      <c r="M428" s="96">
        <f>IFERROR(__xludf.DUMMYFUNCTION("""COMPUTED_VALUE"""),11.14)</f>
        <v>11.14</v>
      </c>
      <c r="N428" s="96">
        <f>IFERROR(__xludf.DUMMYFUNCTION("""COMPUTED_VALUE"""),15.0)</f>
        <v>15</v>
      </c>
      <c r="O428" s="96">
        <f>IFERROR(__xludf.DUMMYFUNCTION("""COMPUTED_VALUE"""),7.0)</f>
        <v>7</v>
      </c>
      <c r="P428" s="96">
        <f>IFERROR(__xludf.DUMMYFUNCTION("""COMPUTED_VALUE"""),19.0)</f>
        <v>19</v>
      </c>
      <c r="Q428" s="129">
        <f>IFERROR(__xludf.DUMMYFUNCTION("""COMPUTED_VALUE"""),460.0)</f>
        <v>460</v>
      </c>
      <c r="R428" s="99">
        <f>IFERROR(__xludf.DUMMYFUNCTION("""COMPUTED_VALUE"""),432400.0)</f>
        <v>432400</v>
      </c>
    </row>
    <row r="429">
      <c r="A429" s="96">
        <f>IFERROR(__xludf.DUMMYFUNCTION("""COMPUTED_VALUE"""),6.0)</f>
        <v>6</v>
      </c>
      <c r="B429" s="98">
        <f>IFERROR(__xludf.DUMMYFUNCTION("""COMPUTED_VALUE"""),44104.0)</f>
        <v>44104</v>
      </c>
      <c r="C429" s="96" t="str">
        <f>IFERROR(__xludf.DUMMYFUNCTION("""COMPUTED_VALUE"""),"CONFIDENCE")</f>
        <v>CONFIDENCE</v>
      </c>
      <c r="D429" s="96" t="str">
        <f>IFERROR(__xludf.DUMMYFUNCTION("""COMPUTED_VALUE"""),"CONFIDENCE6")</f>
        <v>CONFIDENCE6</v>
      </c>
      <c r="E429" s="96">
        <f>IFERROR(__xludf.DUMMYFUNCTION("""COMPUTED_VALUE"""),512.0)</f>
        <v>512</v>
      </c>
      <c r="F429" s="96">
        <f>IFERROR(__xludf.DUMMYFUNCTION("""COMPUTED_VALUE"""),89.0)</f>
        <v>89</v>
      </c>
      <c r="G429" s="96"/>
      <c r="H429" s="96">
        <f>IFERROR(__xludf.DUMMYFUNCTION("""COMPUTED_VALUE"""),8.0)</f>
        <v>8</v>
      </c>
      <c r="I429" s="96"/>
      <c r="J429" s="96">
        <f>IFERROR(__xludf.DUMMYFUNCTION("""COMPUTED_VALUE"""),927.95)</f>
        <v>927.95</v>
      </c>
      <c r="K429" s="96"/>
      <c r="L429" s="99">
        <f>IFERROR(__xludf.DUMMYFUNCTION("""COMPUTED_VALUE"""),-452840.0)</f>
        <v>-452840</v>
      </c>
      <c r="M429" s="96">
        <f>IFERROR(__xludf.DUMMYFUNCTION("""COMPUTED_VALUE"""),11.13)</f>
        <v>11.13</v>
      </c>
      <c r="N429" s="96">
        <f>IFERROR(__xludf.DUMMYFUNCTION("""COMPUTED_VALUE"""),16.0)</f>
        <v>16</v>
      </c>
      <c r="O429" s="96">
        <f>IFERROR(__xludf.DUMMYFUNCTION("""COMPUTED_VALUE"""),7.0)</f>
        <v>7</v>
      </c>
      <c r="P429" s="96">
        <f>IFERROR(__xludf.DUMMYFUNCTION("""COMPUTED_VALUE"""),47.0)</f>
        <v>47</v>
      </c>
      <c r="Q429" s="129">
        <f>IFERROR(__xludf.DUMMYFUNCTION("""COMPUTED_VALUE"""),488.0)</f>
        <v>488</v>
      </c>
      <c r="R429" s="99">
        <f>IFERROR(__xludf.DUMMYFUNCTION("""COMPUTED_VALUE"""),452840.0)</f>
        <v>452840</v>
      </c>
    </row>
    <row r="430">
      <c r="A430" s="96">
        <f>IFERROR(__xludf.DUMMYFUNCTION("""COMPUTED_VALUE"""),3.0)</f>
        <v>3</v>
      </c>
      <c r="B430" s="98">
        <f>IFERROR(__xludf.DUMMYFUNCTION("""COMPUTED_VALUE"""),44103.0)</f>
        <v>44103</v>
      </c>
      <c r="C430" s="96" t="str">
        <f>IFERROR(__xludf.DUMMYFUNCTION("""COMPUTED_VALUE"""),"CHINWE CHIDI")</f>
        <v>CHINWE CHIDI</v>
      </c>
      <c r="D430" s="96" t="str">
        <f>IFERROR(__xludf.DUMMYFUNCTION("""COMPUTED_VALUE"""),"CHINWE CHIDI3")</f>
        <v>CHINWE CHIDI3</v>
      </c>
      <c r="E430" s="96"/>
      <c r="F430" s="96"/>
      <c r="G430" s="96"/>
      <c r="H430" s="96"/>
      <c r="I430" s="96"/>
      <c r="J430" s="96"/>
      <c r="K430" s="96">
        <f>IFERROR(__xludf.DUMMYFUNCTION("""COMPUTED_VALUE"""),200000.0)</f>
        <v>200000</v>
      </c>
      <c r="L430" s="99">
        <f>IFERROR(__xludf.DUMMYFUNCTION("""COMPUTED_VALUE"""),200000.0)</f>
        <v>200000</v>
      </c>
      <c r="M430" s="96"/>
      <c r="N430" s="96">
        <f>IFERROR(__xludf.DUMMYFUNCTION("""COMPUTED_VALUE"""),0.0)</f>
        <v>0</v>
      </c>
      <c r="O430" s="96">
        <f>IFERROR(__xludf.DUMMYFUNCTION("""COMPUTED_VALUE"""),0.0)</f>
        <v>0</v>
      </c>
      <c r="P430" s="96">
        <f>IFERROR(__xludf.DUMMYFUNCTION("""COMPUTED_VALUE"""),0.0)</f>
        <v>0</v>
      </c>
      <c r="Q430" s="129">
        <f>IFERROR(__xludf.DUMMYFUNCTION("""COMPUTED_VALUE"""),0.0)</f>
        <v>0</v>
      </c>
      <c r="R430" s="99"/>
    </row>
    <row r="431">
      <c r="A431" s="96">
        <f>IFERROR(__xludf.DUMMYFUNCTION("""COMPUTED_VALUE"""),7.0)</f>
        <v>7</v>
      </c>
      <c r="B431" s="98">
        <f>IFERROR(__xludf.DUMMYFUNCTION("""COMPUTED_VALUE"""),44103.0)</f>
        <v>44103</v>
      </c>
      <c r="C431" s="96" t="str">
        <f>IFERROR(__xludf.DUMMYFUNCTION("""COMPUTED_VALUE"""),"CONFIDENCE")</f>
        <v>CONFIDENCE</v>
      </c>
      <c r="D431" s="96" t="str">
        <f>IFERROR(__xludf.DUMMYFUNCTION("""COMPUTED_VALUE"""),"CONFIDENCE7")</f>
        <v>CONFIDENCE7</v>
      </c>
      <c r="E431" s="96"/>
      <c r="F431" s="96"/>
      <c r="G431" s="96"/>
      <c r="H431" s="96"/>
      <c r="I431" s="96"/>
      <c r="J431" s="96"/>
      <c r="K431" s="96">
        <f>IFERROR(__xludf.DUMMYFUNCTION("""COMPUTED_VALUE"""),150000.0)</f>
        <v>150000</v>
      </c>
      <c r="L431" s="99">
        <f>IFERROR(__xludf.DUMMYFUNCTION("""COMPUTED_VALUE"""),150000.0)</f>
        <v>150000</v>
      </c>
      <c r="M431" s="96"/>
      <c r="N431" s="96">
        <f>IFERROR(__xludf.DUMMYFUNCTION("""COMPUTED_VALUE"""),0.0)</f>
        <v>0</v>
      </c>
      <c r="O431" s="96">
        <f>IFERROR(__xludf.DUMMYFUNCTION("""COMPUTED_VALUE"""),0.0)</f>
        <v>0</v>
      </c>
      <c r="P431" s="96">
        <f>IFERROR(__xludf.DUMMYFUNCTION("""COMPUTED_VALUE"""),0.0)</f>
        <v>0</v>
      </c>
      <c r="Q431" s="129">
        <f>IFERROR(__xludf.DUMMYFUNCTION("""COMPUTED_VALUE"""),0.0)</f>
        <v>0</v>
      </c>
      <c r="R431" s="99"/>
    </row>
    <row r="432">
      <c r="A432" s="96">
        <f>IFERROR(__xludf.DUMMYFUNCTION("""COMPUTED_VALUE"""),8.0)</f>
        <v>8</v>
      </c>
      <c r="B432" s="98">
        <f>IFERROR(__xludf.DUMMYFUNCTION("""COMPUTED_VALUE"""),44103.0)</f>
        <v>44103</v>
      </c>
      <c r="C432" s="96" t="str">
        <f>IFERROR(__xludf.DUMMYFUNCTION("""COMPUTED_VALUE"""),"EMMANUEL OKO ")</f>
        <v>EMMANUEL OKO </v>
      </c>
      <c r="D432" s="96" t="str">
        <f>IFERROR(__xludf.DUMMYFUNCTION("""COMPUTED_VALUE"""),"EMMANUEL OKO 8")</f>
        <v>EMMANUEL OKO 8</v>
      </c>
      <c r="E432" s="96"/>
      <c r="F432" s="96"/>
      <c r="G432" s="96"/>
      <c r="H432" s="96"/>
      <c r="I432" s="96"/>
      <c r="J432" s="96"/>
      <c r="K432" s="96">
        <f>IFERROR(__xludf.DUMMYFUNCTION("""COMPUTED_VALUE"""),50000.0)</f>
        <v>50000</v>
      </c>
      <c r="L432" s="99">
        <f>IFERROR(__xludf.DUMMYFUNCTION("""COMPUTED_VALUE"""),50000.0)</f>
        <v>50000</v>
      </c>
      <c r="M432" s="96"/>
      <c r="N432" s="96">
        <f>IFERROR(__xludf.DUMMYFUNCTION("""COMPUTED_VALUE"""),0.0)</f>
        <v>0</v>
      </c>
      <c r="O432" s="96">
        <f>IFERROR(__xludf.DUMMYFUNCTION("""COMPUTED_VALUE"""),0.0)</f>
        <v>0</v>
      </c>
      <c r="P432" s="96">
        <f>IFERROR(__xludf.DUMMYFUNCTION("""COMPUTED_VALUE"""),0.0)</f>
        <v>0</v>
      </c>
      <c r="Q432" s="129">
        <f>IFERROR(__xludf.DUMMYFUNCTION("""COMPUTED_VALUE"""),0.0)</f>
        <v>0</v>
      </c>
      <c r="R432" s="99"/>
    </row>
    <row r="433">
      <c r="A433" s="96">
        <f>IFERROR(__xludf.DUMMYFUNCTION("""COMPUTED_VALUE"""),17.0)</f>
        <v>17</v>
      </c>
      <c r="B433" s="98">
        <f>IFERROR(__xludf.DUMMYFUNCTION("""COMPUTED_VALUE"""),44103.0)</f>
        <v>44103</v>
      </c>
      <c r="C433" s="96" t="str">
        <f>IFERROR(__xludf.DUMMYFUNCTION("""COMPUTED_VALUE""")," MAXWELL AGRO")</f>
        <v> MAXWELL AGRO</v>
      </c>
      <c r="D433" s="96" t="str">
        <f>IFERROR(__xludf.DUMMYFUNCTION("""COMPUTED_VALUE""")," MAXWELL AGRO17")</f>
        <v> MAXWELL AGRO17</v>
      </c>
      <c r="E433" s="96"/>
      <c r="F433" s="96"/>
      <c r="G433" s="96"/>
      <c r="H433" s="96"/>
      <c r="I433" s="96"/>
      <c r="J433" s="96"/>
      <c r="K433" s="96">
        <f>IFERROR(__xludf.DUMMYFUNCTION("""COMPUTED_VALUE"""),100000.0)</f>
        <v>100000</v>
      </c>
      <c r="L433" s="99">
        <f>IFERROR(__xludf.DUMMYFUNCTION("""COMPUTED_VALUE"""),100000.0)</f>
        <v>100000</v>
      </c>
      <c r="M433" s="96"/>
      <c r="N433" s="96">
        <f>IFERROR(__xludf.DUMMYFUNCTION("""COMPUTED_VALUE"""),0.0)</f>
        <v>0</v>
      </c>
      <c r="O433" s="96">
        <f>IFERROR(__xludf.DUMMYFUNCTION("""COMPUTED_VALUE"""),0.0)</f>
        <v>0</v>
      </c>
      <c r="P433" s="96">
        <f>IFERROR(__xludf.DUMMYFUNCTION("""COMPUTED_VALUE"""),0.0)</f>
        <v>0</v>
      </c>
      <c r="Q433" s="129">
        <f>IFERROR(__xludf.DUMMYFUNCTION("""COMPUTED_VALUE"""),0.0)</f>
        <v>0</v>
      </c>
      <c r="R433" s="99"/>
    </row>
    <row r="434">
      <c r="A434" s="96">
        <f>IFERROR(__xludf.DUMMYFUNCTION("""COMPUTED_VALUE"""),1.0)</f>
        <v>1</v>
      </c>
      <c r="B434" s="98">
        <f>IFERROR(__xludf.DUMMYFUNCTION("""COMPUTED_VALUE"""),44103.0)</f>
        <v>44103</v>
      </c>
      <c r="C434" s="96" t="str">
        <f>IFERROR(__xludf.DUMMYFUNCTION("""COMPUTED_VALUE"""),"UNCLE BIGGIE")</f>
        <v>UNCLE BIGGIE</v>
      </c>
      <c r="D434" s="96" t="str">
        <f>IFERROR(__xludf.DUMMYFUNCTION("""COMPUTED_VALUE"""),"UNCLE BIGGIE1")</f>
        <v>UNCLE BIGGIE1</v>
      </c>
      <c r="E434" s="96"/>
      <c r="F434" s="96"/>
      <c r="G434" s="96"/>
      <c r="H434" s="96"/>
      <c r="I434" s="96"/>
      <c r="J434" s="96"/>
      <c r="K434" s="96">
        <f>IFERROR(__xludf.DUMMYFUNCTION("""COMPUTED_VALUE"""),40000.0)</f>
        <v>40000</v>
      </c>
      <c r="L434" s="99">
        <f>IFERROR(__xludf.DUMMYFUNCTION("""COMPUTED_VALUE"""),40000.0)</f>
        <v>40000</v>
      </c>
      <c r="M434" s="96"/>
      <c r="N434" s="96">
        <f>IFERROR(__xludf.DUMMYFUNCTION("""COMPUTED_VALUE"""),0.0)</f>
        <v>0</v>
      </c>
      <c r="O434" s="96">
        <f>IFERROR(__xludf.DUMMYFUNCTION("""COMPUTED_VALUE"""),0.0)</f>
        <v>0</v>
      </c>
      <c r="P434" s="96">
        <f>IFERROR(__xludf.DUMMYFUNCTION("""COMPUTED_VALUE"""),0.0)</f>
        <v>0</v>
      </c>
      <c r="Q434" s="129">
        <f>IFERROR(__xludf.DUMMYFUNCTION("""COMPUTED_VALUE"""),0.0)</f>
        <v>0</v>
      </c>
      <c r="R434" s="99"/>
    </row>
    <row r="435">
      <c r="A435" s="96">
        <f>IFERROR(__xludf.DUMMYFUNCTION("""COMPUTED_VALUE"""),15.0)</f>
        <v>15</v>
      </c>
      <c r="B435" s="98">
        <f>IFERROR(__xludf.DUMMYFUNCTION("""COMPUTED_VALUE"""),44104.0)</f>
        <v>44104</v>
      </c>
      <c r="C435" s="96" t="str">
        <f>IFERROR(__xludf.DUMMYFUNCTION("""COMPUTED_VALUE"""),"ETUK EFFI")</f>
        <v>ETUK EFFI</v>
      </c>
      <c r="D435" s="96" t="str">
        <f>IFERROR(__xludf.DUMMYFUNCTION("""COMPUTED_VALUE"""),"ETUK EFFI15")</f>
        <v>ETUK EFFI15</v>
      </c>
      <c r="E435" s="96"/>
      <c r="F435" s="96"/>
      <c r="G435" s="96"/>
      <c r="H435" s="96"/>
      <c r="I435" s="96"/>
      <c r="J435" s="96"/>
      <c r="K435" s="96">
        <f>IFERROR(__xludf.DUMMYFUNCTION("""COMPUTED_VALUE"""),100000.0)</f>
        <v>100000</v>
      </c>
      <c r="L435" s="99">
        <f>IFERROR(__xludf.DUMMYFUNCTION("""COMPUTED_VALUE"""),100000.0)</f>
        <v>100000</v>
      </c>
      <c r="M435" s="96"/>
      <c r="N435" s="96">
        <f>IFERROR(__xludf.DUMMYFUNCTION("""COMPUTED_VALUE"""),0.0)</f>
        <v>0</v>
      </c>
      <c r="O435" s="96">
        <f>IFERROR(__xludf.DUMMYFUNCTION("""COMPUTED_VALUE"""),0.0)</f>
        <v>0</v>
      </c>
      <c r="P435" s="96">
        <f>IFERROR(__xludf.DUMMYFUNCTION("""COMPUTED_VALUE"""),0.0)</f>
        <v>0</v>
      </c>
      <c r="Q435" s="129">
        <f>IFERROR(__xludf.DUMMYFUNCTION("""COMPUTED_VALUE"""),0.0)</f>
        <v>0</v>
      </c>
      <c r="R435" s="99"/>
    </row>
    <row r="436">
      <c r="A436" s="96">
        <f>IFERROR(__xludf.DUMMYFUNCTION("""COMPUTED_VALUE"""),16.0)</f>
        <v>16</v>
      </c>
      <c r="B436" s="98">
        <f>IFERROR(__xludf.DUMMYFUNCTION("""COMPUTED_VALUE"""),44104.0)</f>
        <v>44104</v>
      </c>
      <c r="C436" s="96" t="str">
        <f>IFERROR(__xludf.DUMMYFUNCTION("""COMPUTED_VALUE"""),"ETUK EFFI")</f>
        <v>ETUK EFFI</v>
      </c>
      <c r="D436" s="96" t="str">
        <f>IFERROR(__xludf.DUMMYFUNCTION("""COMPUTED_VALUE"""),"ETUK EFFI16")</f>
        <v>ETUK EFFI16</v>
      </c>
      <c r="E436" s="96"/>
      <c r="F436" s="96"/>
      <c r="G436" s="96"/>
      <c r="H436" s="96"/>
      <c r="I436" s="96"/>
      <c r="J436" s="96"/>
      <c r="K436" s="96">
        <f>IFERROR(__xludf.DUMMYFUNCTION("""COMPUTED_VALUE"""),304000.0)</f>
        <v>304000</v>
      </c>
      <c r="L436" s="99">
        <f>IFERROR(__xludf.DUMMYFUNCTION("""COMPUTED_VALUE"""),304000.0)</f>
        <v>304000</v>
      </c>
      <c r="M436" s="96"/>
      <c r="N436" s="96">
        <f>IFERROR(__xludf.DUMMYFUNCTION("""COMPUTED_VALUE"""),0.0)</f>
        <v>0</v>
      </c>
      <c r="O436" s="96">
        <f>IFERROR(__xludf.DUMMYFUNCTION("""COMPUTED_VALUE"""),0.0)</f>
        <v>0</v>
      </c>
      <c r="P436" s="96">
        <f>IFERROR(__xludf.DUMMYFUNCTION("""COMPUTED_VALUE"""),0.0)</f>
        <v>0</v>
      </c>
      <c r="Q436" s="129">
        <f>IFERROR(__xludf.DUMMYFUNCTION("""COMPUTED_VALUE"""),0.0)</f>
        <v>0</v>
      </c>
      <c r="R436" s="99"/>
    </row>
    <row r="437">
      <c r="A437" s="96">
        <f>IFERROR(__xludf.DUMMYFUNCTION("""COMPUTED_VALUE"""),2.0)</f>
        <v>2</v>
      </c>
      <c r="B437" s="98">
        <f>IFERROR(__xludf.DUMMYFUNCTION("""COMPUTED_VALUE"""),44104.0)</f>
        <v>44104</v>
      </c>
      <c r="C437" s="96" t="str">
        <f>IFERROR(__xludf.DUMMYFUNCTION("""COMPUTED_VALUE"""),"PRIN M. BOSURU")</f>
        <v>PRIN M. BOSURU</v>
      </c>
      <c r="D437" s="96" t="str">
        <f>IFERROR(__xludf.DUMMYFUNCTION("""COMPUTED_VALUE"""),"PRIN M. BOSURU2")</f>
        <v>PRIN M. BOSURU2</v>
      </c>
      <c r="E437" s="96"/>
      <c r="F437" s="96"/>
      <c r="G437" s="96"/>
      <c r="H437" s="96"/>
      <c r="I437" s="96"/>
      <c r="J437" s="96"/>
      <c r="K437" s="96">
        <f>IFERROR(__xludf.DUMMYFUNCTION("""COMPUTED_VALUE"""),672000.0)</f>
        <v>672000</v>
      </c>
      <c r="L437" s="99">
        <f>IFERROR(__xludf.DUMMYFUNCTION("""COMPUTED_VALUE"""),672000.0)</f>
        <v>672000</v>
      </c>
      <c r="M437" s="96"/>
      <c r="N437" s="96">
        <f>IFERROR(__xludf.DUMMYFUNCTION("""COMPUTED_VALUE"""),0.0)</f>
        <v>0</v>
      </c>
      <c r="O437" s="96">
        <f>IFERROR(__xludf.DUMMYFUNCTION("""COMPUTED_VALUE"""),0.0)</f>
        <v>0</v>
      </c>
      <c r="P437" s="96">
        <f>IFERROR(__xludf.DUMMYFUNCTION("""COMPUTED_VALUE"""),0.0)</f>
        <v>0</v>
      </c>
      <c r="Q437" s="129">
        <f>IFERROR(__xludf.DUMMYFUNCTION("""COMPUTED_VALUE"""),0.0)</f>
        <v>0</v>
      </c>
      <c r="R437" s="99"/>
    </row>
    <row r="438">
      <c r="A438" s="96">
        <f>IFERROR(__xludf.DUMMYFUNCTION("""COMPUTED_VALUE"""),8.0)</f>
        <v>8</v>
      </c>
      <c r="B438" s="98">
        <f>IFERROR(__xludf.DUMMYFUNCTION("""COMPUTED_VALUE"""),44104.0)</f>
        <v>44104</v>
      </c>
      <c r="C438" s="96" t="str">
        <f>IFERROR(__xludf.DUMMYFUNCTION("""COMPUTED_VALUE"""),"CONFIDENCE")</f>
        <v>CONFIDENCE</v>
      </c>
      <c r="D438" s="96" t="str">
        <f>IFERROR(__xludf.DUMMYFUNCTION("""COMPUTED_VALUE"""),"CONFIDENCE8")</f>
        <v>CONFIDENCE8</v>
      </c>
      <c r="E438" s="96"/>
      <c r="F438" s="96"/>
      <c r="G438" s="96"/>
      <c r="H438" s="96"/>
      <c r="I438" s="96"/>
      <c r="J438" s="96"/>
      <c r="K438" s="96">
        <f>IFERROR(__xludf.DUMMYFUNCTION("""COMPUTED_VALUE"""),302800.0)</f>
        <v>302800</v>
      </c>
      <c r="L438" s="99">
        <f>IFERROR(__xludf.DUMMYFUNCTION("""COMPUTED_VALUE"""),302800.0)</f>
        <v>302800</v>
      </c>
      <c r="M438" s="96"/>
      <c r="N438" s="96">
        <f>IFERROR(__xludf.DUMMYFUNCTION("""COMPUTED_VALUE"""),0.0)</f>
        <v>0</v>
      </c>
      <c r="O438" s="96">
        <f>IFERROR(__xludf.DUMMYFUNCTION("""COMPUTED_VALUE"""),0.0)</f>
        <v>0</v>
      </c>
      <c r="P438" s="96">
        <f>IFERROR(__xludf.DUMMYFUNCTION("""COMPUTED_VALUE"""),0.0)</f>
        <v>0</v>
      </c>
      <c r="Q438" s="129">
        <f>IFERROR(__xludf.DUMMYFUNCTION("""COMPUTED_VALUE"""),0.0)</f>
        <v>0</v>
      </c>
      <c r="R438" s="99"/>
    </row>
    <row r="439">
      <c r="A439" s="96">
        <f>IFERROR(__xludf.DUMMYFUNCTION("""COMPUTED_VALUE"""),9.0)</f>
        <v>9</v>
      </c>
      <c r="B439" s="98">
        <f>IFERROR(__xludf.DUMMYFUNCTION("""COMPUTED_VALUE"""),44104.0)</f>
        <v>44104</v>
      </c>
      <c r="C439" s="96" t="str">
        <f>IFERROR(__xludf.DUMMYFUNCTION("""COMPUTED_VALUE"""),"EMMANUEL OKO ")</f>
        <v>EMMANUEL OKO </v>
      </c>
      <c r="D439" s="96" t="str">
        <f>IFERROR(__xludf.DUMMYFUNCTION("""COMPUTED_VALUE"""),"EMMANUEL OKO 9")</f>
        <v>EMMANUEL OKO 9</v>
      </c>
      <c r="E439" s="96"/>
      <c r="F439" s="96"/>
      <c r="G439" s="96"/>
      <c r="H439" s="96"/>
      <c r="I439" s="96"/>
      <c r="J439" s="96"/>
      <c r="K439" s="96">
        <f>IFERROR(__xludf.DUMMYFUNCTION("""COMPUTED_VALUE"""),450000.0)</f>
        <v>450000</v>
      </c>
      <c r="L439" s="99">
        <f>IFERROR(__xludf.DUMMYFUNCTION("""COMPUTED_VALUE"""),450000.0)</f>
        <v>450000</v>
      </c>
      <c r="M439" s="96"/>
      <c r="N439" s="96">
        <f>IFERROR(__xludf.DUMMYFUNCTION("""COMPUTED_VALUE"""),0.0)</f>
        <v>0</v>
      </c>
      <c r="O439" s="96">
        <f>IFERROR(__xludf.DUMMYFUNCTION("""COMPUTED_VALUE"""),0.0)</f>
        <v>0</v>
      </c>
      <c r="P439" s="96">
        <f>IFERROR(__xludf.DUMMYFUNCTION("""COMPUTED_VALUE"""),0.0)</f>
        <v>0</v>
      </c>
      <c r="Q439" s="129">
        <f>IFERROR(__xludf.DUMMYFUNCTION("""COMPUTED_VALUE"""),0.0)</f>
        <v>0</v>
      </c>
      <c r="R439" s="99"/>
    </row>
    <row r="440">
      <c r="A440" s="96">
        <f>IFERROR(__xludf.DUMMYFUNCTION("""COMPUTED_VALUE"""),2.0)</f>
        <v>2</v>
      </c>
      <c r="B440" s="98">
        <f>IFERROR(__xludf.DUMMYFUNCTION("""COMPUTED_VALUE"""),44104.0)</f>
        <v>44104</v>
      </c>
      <c r="C440" s="96" t="str">
        <f>IFERROR(__xludf.DUMMYFUNCTION("""COMPUTED_VALUE"""),"UNCLE BIGGIE")</f>
        <v>UNCLE BIGGIE</v>
      </c>
      <c r="D440" s="96" t="str">
        <f>IFERROR(__xludf.DUMMYFUNCTION("""COMPUTED_VALUE"""),"UNCLE BIGGIE2")</f>
        <v>UNCLE BIGGIE2</v>
      </c>
      <c r="E440" s="96"/>
      <c r="F440" s="96"/>
      <c r="G440" s="96"/>
      <c r="H440" s="96"/>
      <c r="I440" s="96"/>
      <c r="J440" s="96"/>
      <c r="K440" s="96">
        <f>IFERROR(__xludf.DUMMYFUNCTION("""COMPUTED_VALUE"""),300000.0)</f>
        <v>300000</v>
      </c>
      <c r="L440" s="99">
        <f>IFERROR(__xludf.DUMMYFUNCTION("""COMPUTED_VALUE"""),300000.0)</f>
        <v>300000</v>
      </c>
      <c r="M440" s="96"/>
      <c r="N440" s="96">
        <f>IFERROR(__xludf.DUMMYFUNCTION("""COMPUTED_VALUE"""),0.0)</f>
        <v>0</v>
      </c>
      <c r="O440" s="96">
        <f>IFERROR(__xludf.DUMMYFUNCTION("""COMPUTED_VALUE"""),0.0)</f>
        <v>0</v>
      </c>
      <c r="P440" s="96">
        <f>IFERROR(__xludf.DUMMYFUNCTION("""COMPUTED_VALUE"""),0.0)</f>
        <v>0</v>
      </c>
      <c r="Q440" s="129">
        <f>IFERROR(__xludf.DUMMYFUNCTION("""COMPUTED_VALUE"""),0.0)</f>
        <v>0</v>
      </c>
      <c r="R440" s="99"/>
    </row>
    <row r="441">
      <c r="A441" s="96">
        <f>IFERROR(__xludf.DUMMYFUNCTION("""COMPUTED_VALUE"""),22.0)</f>
        <v>22</v>
      </c>
      <c r="B441" s="98">
        <f>IFERROR(__xludf.DUMMYFUNCTION("""COMPUTED_VALUE"""),44104.0)</f>
        <v>44104</v>
      </c>
      <c r="C441" s="96" t="str">
        <f>IFERROR(__xludf.DUMMYFUNCTION("""COMPUTED_VALUE"""),"CONNECT")</f>
        <v>CONNECT</v>
      </c>
      <c r="D441" s="96" t="str">
        <f>IFERROR(__xludf.DUMMYFUNCTION("""COMPUTED_VALUE"""),"CONNECT22")</f>
        <v>CONNECT22</v>
      </c>
      <c r="E441" s="96"/>
      <c r="F441" s="96"/>
      <c r="G441" s="96"/>
      <c r="H441" s="96"/>
      <c r="I441" s="96"/>
      <c r="J441" s="96"/>
      <c r="K441" s="96">
        <f>IFERROR(__xludf.DUMMYFUNCTION("""COMPUTED_VALUE"""),432400.0)</f>
        <v>432400</v>
      </c>
      <c r="L441" s="99">
        <f>IFERROR(__xludf.DUMMYFUNCTION("""COMPUTED_VALUE"""),432400.0)</f>
        <v>432400</v>
      </c>
      <c r="M441" s="96"/>
      <c r="N441" s="96">
        <f>IFERROR(__xludf.DUMMYFUNCTION("""COMPUTED_VALUE"""),0.0)</f>
        <v>0</v>
      </c>
      <c r="O441" s="96">
        <f>IFERROR(__xludf.DUMMYFUNCTION("""COMPUTED_VALUE"""),0.0)</f>
        <v>0</v>
      </c>
      <c r="P441" s="96">
        <f>IFERROR(__xludf.DUMMYFUNCTION("""COMPUTED_VALUE"""),0.0)</f>
        <v>0</v>
      </c>
      <c r="Q441" s="129">
        <f>IFERROR(__xludf.DUMMYFUNCTION("""COMPUTED_VALUE"""),0.0)</f>
        <v>0</v>
      </c>
      <c r="R441" s="99"/>
    </row>
    <row r="442">
      <c r="A442" s="96">
        <f>IFERROR(__xludf.DUMMYFUNCTION("""COMPUTED_VALUE"""),15.0)</f>
        <v>15</v>
      </c>
      <c r="B442" s="98">
        <f>IFERROR(__xludf.DUMMYFUNCTION("""COMPUTED_VALUE"""),44106.0)</f>
        <v>44106</v>
      </c>
      <c r="C442" s="96" t="str">
        <f>IFERROR(__xludf.DUMMYFUNCTION("""COMPUTED_VALUE"""),"EDWARD OKO")</f>
        <v>EDWARD OKO</v>
      </c>
      <c r="D442" s="96" t="str">
        <f>IFERROR(__xludf.DUMMYFUNCTION("""COMPUTED_VALUE"""),"EDWARD OKO15")</f>
        <v>EDWARD OKO15</v>
      </c>
      <c r="E442" s="96"/>
      <c r="F442" s="96"/>
      <c r="G442" s="96"/>
      <c r="H442" s="96"/>
      <c r="I442" s="96"/>
      <c r="J442" s="96"/>
      <c r="K442" s="96">
        <f>IFERROR(__xludf.DUMMYFUNCTION("""COMPUTED_VALUE"""),3000000.0)</f>
        <v>3000000</v>
      </c>
      <c r="L442" s="99">
        <f>IFERROR(__xludf.DUMMYFUNCTION("""COMPUTED_VALUE"""),3000000.0)</f>
        <v>3000000</v>
      </c>
      <c r="M442" s="96"/>
      <c r="N442" s="96">
        <f>IFERROR(__xludf.DUMMYFUNCTION("""COMPUTED_VALUE"""),0.0)</f>
        <v>0</v>
      </c>
      <c r="O442" s="96">
        <f>IFERROR(__xludf.DUMMYFUNCTION("""COMPUTED_VALUE"""),0.0)</f>
        <v>0</v>
      </c>
      <c r="P442" s="96">
        <f>IFERROR(__xludf.DUMMYFUNCTION("""COMPUTED_VALUE"""),0.0)</f>
        <v>0</v>
      </c>
      <c r="Q442" s="129">
        <f>IFERROR(__xludf.DUMMYFUNCTION("""COMPUTED_VALUE"""),0.0)</f>
        <v>0</v>
      </c>
      <c r="R442" s="99"/>
    </row>
    <row r="443">
      <c r="A443" s="96">
        <f>IFERROR(__xludf.DUMMYFUNCTION("""COMPUTED_VALUE"""),4.0)</f>
        <v>4</v>
      </c>
      <c r="B443" s="98">
        <f>IFERROR(__xludf.DUMMYFUNCTION("""COMPUTED_VALUE"""),44105.0)</f>
        <v>44105</v>
      </c>
      <c r="C443" s="96" t="str">
        <f>IFERROR(__xludf.DUMMYFUNCTION("""COMPUTED_VALUE"""),"UNCLE BIGGIE")</f>
        <v>UNCLE BIGGIE</v>
      </c>
      <c r="D443" s="96" t="str">
        <f>IFERROR(__xludf.DUMMYFUNCTION("""COMPUTED_VALUE"""),"UNCLE BIGGIE4")</f>
        <v>UNCLE BIGGIE4</v>
      </c>
      <c r="E443" s="96"/>
      <c r="F443" s="96"/>
      <c r="G443" s="96"/>
      <c r="H443" s="96"/>
      <c r="I443" s="96"/>
      <c r="J443" s="96"/>
      <c r="K443" s="96">
        <f>IFERROR(__xludf.DUMMYFUNCTION("""COMPUTED_VALUE"""),200000.0)</f>
        <v>200000</v>
      </c>
      <c r="L443" s="99">
        <f>IFERROR(__xludf.DUMMYFUNCTION("""COMPUTED_VALUE"""),200000.0)</f>
        <v>200000</v>
      </c>
      <c r="M443" s="96"/>
      <c r="N443" s="96">
        <f>IFERROR(__xludf.DUMMYFUNCTION("""COMPUTED_VALUE"""),0.0)</f>
        <v>0</v>
      </c>
      <c r="O443" s="96">
        <f>IFERROR(__xludf.DUMMYFUNCTION("""COMPUTED_VALUE"""),0.0)</f>
        <v>0</v>
      </c>
      <c r="P443" s="96">
        <f>IFERROR(__xludf.DUMMYFUNCTION("""COMPUTED_VALUE"""),0.0)</f>
        <v>0</v>
      </c>
      <c r="Q443" s="129">
        <f>IFERROR(__xludf.DUMMYFUNCTION("""COMPUTED_VALUE"""),0.0)</f>
        <v>0</v>
      </c>
      <c r="R443" s="99"/>
    </row>
    <row r="444">
      <c r="A444" s="96">
        <f>IFERROR(__xludf.DUMMYFUNCTION("""COMPUTED_VALUE"""),11.0)</f>
        <v>11</v>
      </c>
      <c r="B444" s="98">
        <f>IFERROR(__xludf.DUMMYFUNCTION("""COMPUTED_VALUE"""),44105.0)</f>
        <v>44105</v>
      </c>
      <c r="C444" s="96" t="str">
        <f>IFERROR(__xludf.DUMMYFUNCTION("""COMPUTED_VALUE"""),"AUGUSTINE IGBA")</f>
        <v>AUGUSTINE IGBA</v>
      </c>
      <c r="D444" s="96" t="str">
        <f>IFERROR(__xludf.DUMMYFUNCTION("""COMPUTED_VALUE"""),"AUGUSTINE IGBA11")</f>
        <v>AUGUSTINE IGBA11</v>
      </c>
      <c r="E444" s="96"/>
      <c r="F444" s="96"/>
      <c r="G444" s="96"/>
      <c r="H444" s="96"/>
      <c r="I444" s="96"/>
      <c r="J444" s="96"/>
      <c r="K444" s="96">
        <f>IFERROR(__xludf.DUMMYFUNCTION("""COMPUTED_VALUE"""),10000.0)</f>
        <v>10000</v>
      </c>
      <c r="L444" s="99">
        <f>IFERROR(__xludf.DUMMYFUNCTION("""COMPUTED_VALUE"""),10000.0)</f>
        <v>10000</v>
      </c>
      <c r="M444" s="96"/>
      <c r="N444" s="96">
        <f>IFERROR(__xludf.DUMMYFUNCTION("""COMPUTED_VALUE"""),0.0)</f>
        <v>0</v>
      </c>
      <c r="O444" s="96">
        <f>IFERROR(__xludf.DUMMYFUNCTION("""COMPUTED_VALUE"""),0.0)</f>
        <v>0</v>
      </c>
      <c r="P444" s="96">
        <f>IFERROR(__xludf.DUMMYFUNCTION("""COMPUTED_VALUE"""),0.0)</f>
        <v>0</v>
      </c>
      <c r="Q444" s="129">
        <f>IFERROR(__xludf.DUMMYFUNCTION("""COMPUTED_VALUE"""),0.0)</f>
        <v>0</v>
      </c>
      <c r="R444" s="99"/>
    </row>
    <row r="445">
      <c r="A445" s="96">
        <f>IFERROR(__xludf.DUMMYFUNCTION("""COMPUTED_VALUE"""),18.0)</f>
        <v>18</v>
      </c>
      <c r="B445" s="98">
        <f>IFERROR(__xludf.DUMMYFUNCTION("""COMPUTED_VALUE"""),44106.0)</f>
        <v>44106</v>
      </c>
      <c r="C445" s="96" t="str">
        <f>IFERROR(__xludf.DUMMYFUNCTION("""COMPUTED_VALUE""")," MAXWELL AGRO")</f>
        <v> MAXWELL AGRO</v>
      </c>
      <c r="D445" s="96" t="str">
        <f>IFERROR(__xludf.DUMMYFUNCTION("""COMPUTED_VALUE""")," MAXWELL AGRO18")</f>
        <v> MAXWELL AGRO18</v>
      </c>
      <c r="E445" s="96"/>
      <c r="F445" s="96"/>
      <c r="G445" s="96"/>
      <c r="H445" s="96"/>
      <c r="I445" s="96"/>
      <c r="J445" s="96"/>
      <c r="K445" s="96">
        <f>IFERROR(__xludf.DUMMYFUNCTION("""COMPUTED_VALUE"""),1000000.0)</f>
        <v>1000000</v>
      </c>
      <c r="L445" s="99">
        <f>IFERROR(__xludf.DUMMYFUNCTION("""COMPUTED_VALUE"""),1000000.0)</f>
        <v>1000000</v>
      </c>
      <c r="M445" s="96"/>
      <c r="N445" s="96">
        <f>IFERROR(__xludf.DUMMYFUNCTION("""COMPUTED_VALUE"""),0.0)</f>
        <v>0</v>
      </c>
      <c r="O445" s="96">
        <f>IFERROR(__xludf.DUMMYFUNCTION("""COMPUTED_VALUE"""),0.0)</f>
        <v>0</v>
      </c>
      <c r="P445" s="96">
        <f>IFERROR(__xludf.DUMMYFUNCTION("""COMPUTED_VALUE"""),0.0)</f>
        <v>0</v>
      </c>
      <c r="Q445" s="129">
        <f>IFERROR(__xludf.DUMMYFUNCTION("""COMPUTED_VALUE"""),0.0)</f>
        <v>0</v>
      </c>
      <c r="R445" s="99"/>
    </row>
    <row r="446">
      <c r="A446" s="96">
        <f>IFERROR(__xludf.DUMMYFUNCTION("""COMPUTED_VALUE"""),17.0)</f>
        <v>17</v>
      </c>
      <c r="B446" s="98">
        <f>IFERROR(__xludf.DUMMYFUNCTION("""COMPUTED_VALUE"""),44106.0)</f>
        <v>44106</v>
      </c>
      <c r="C446" s="96" t="str">
        <f>IFERROR(__xludf.DUMMYFUNCTION("""COMPUTED_VALUE"""),"ETUK EFFI")</f>
        <v>ETUK EFFI</v>
      </c>
      <c r="D446" s="96" t="str">
        <f>IFERROR(__xludf.DUMMYFUNCTION("""COMPUTED_VALUE"""),"ETUK EFFI17")</f>
        <v>ETUK EFFI17</v>
      </c>
      <c r="E446" s="96"/>
      <c r="F446" s="96"/>
      <c r="G446" s="96"/>
      <c r="H446" s="96"/>
      <c r="I446" s="96"/>
      <c r="J446" s="96"/>
      <c r="K446" s="96">
        <f>IFERROR(__xludf.DUMMYFUNCTION("""COMPUTED_VALUE"""),1000000.0)</f>
        <v>1000000</v>
      </c>
      <c r="L446" s="99">
        <f>IFERROR(__xludf.DUMMYFUNCTION("""COMPUTED_VALUE"""),1000000.0)</f>
        <v>1000000</v>
      </c>
      <c r="M446" s="96"/>
      <c r="N446" s="96">
        <f>IFERROR(__xludf.DUMMYFUNCTION("""COMPUTED_VALUE"""),0.0)</f>
        <v>0</v>
      </c>
      <c r="O446" s="96">
        <f>IFERROR(__xludf.DUMMYFUNCTION("""COMPUTED_VALUE"""),0.0)</f>
        <v>0</v>
      </c>
      <c r="P446" s="96">
        <f>IFERROR(__xludf.DUMMYFUNCTION("""COMPUTED_VALUE"""),0.0)</f>
        <v>0</v>
      </c>
      <c r="Q446" s="129">
        <f>IFERROR(__xludf.DUMMYFUNCTION("""COMPUTED_VALUE"""),0.0)</f>
        <v>0</v>
      </c>
      <c r="R446" s="99"/>
    </row>
    <row r="447">
      <c r="A447" s="96">
        <f>IFERROR(__xludf.DUMMYFUNCTION("""COMPUTED_VALUE"""),4.0)</f>
        <v>4</v>
      </c>
      <c r="B447" s="98">
        <f>IFERROR(__xludf.DUMMYFUNCTION("""COMPUTED_VALUE"""),44106.0)</f>
        <v>44106</v>
      </c>
      <c r="C447" s="96" t="str">
        <f>IFERROR(__xludf.DUMMYFUNCTION("""COMPUTED_VALUE"""),"NAOMI")</f>
        <v>NAOMI</v>
      </c>
      <c r="D447" s="96" t="str">
        <f>IFERROR(__xludf.DUMMYFUNCTION("""COMPUTED_VALUE"""),"NAOMI4")</f>
        <v>NAOMI4</v>
      </c>
      <c r="E447" s="96"/>
      <c r="F447" s="96"/>
      <c r="G447" s="96"/>
      <c r="H447" s="96"/>
      <c r="I447" s="96"/>
      <c r="J447" s="96"/>
      <c r="K447" s="96">
        <f>IFERROR(__xludf.DUMMYFUNCTION("""COMPUTED_VALUE"""),20000.0)</f>
        <v>20000</v>
      </c>
      <c r="L447" s="99">
        <f>IFERROR(__xludf.DUMMYFUNCTION("""COMPUTED_VALUE"""),20000.0)</f>
        <v>20000</v>
      </c>
      <c r="M447" s="96"/>
      <c r="N447" s="96">
        <f>IFERROR(__xludf.DUMMYFUNCTION("""COMPUTED_VALUE"""),0.0)</f>
        <v>0</v>
      </c>
      <c r="O447" s="96">
        <f>IFERROR(__xludf.DUMMYFUNCTION("""COMPUTED_VALUE"""),0.0)</f>
        <v>0</v>
      </c>
      <c r="P447" s="96">
        <f>IFERROR(__xludf.DUMMYFUNCTION("""COMPUTED_VALUE"""),0.0)</f>
        <v>0</v>
      </c>
      <c r="Q447" s="129">
        <f>IFERROR(__xludf.DUMMYFUNCTION("""COMPUTED_VALUE"""),0.0)</f>
        <v>0</v>
      </c>
      <c r="R447" s="99"/>
    </row>
    <row r="448">
      <c r="A448" s="96">
        <f>IFERROR(__xludf.DUMMYFUNCTION("""COMPUTED_VALUE"""),2.0)</f>
        <v>2</v>
      </c>
      <c r="B448" s="98">
        <f>IFERROR(__xludf.DUMMYFUNCTION("""COMPUTED_VALUE"""),44106.0)</f>
        <v>44106</v>
      </c>
      <c r="C448" s="96" t="str">
        <f>IFERROR(__xludf.DUMMYFUNCTION("""COMPUTED_VALUE"""),"ABANG. ORU")</f>
        <v>ABANG. ORU</v>
      </c>
      <c r="D448" s="96" t="str">
        <f>IFERROR(__xludf.DUMMYFUNCTION("""COMPUTED_VALUE"""),"ABANG. ORU2")</f>
        <v>ABANG. ORU2</v>
      </c>
      <c r="E448" s="96"/>
      <c r="F448" s="96"/>
      <c r="G448" s="96"/>
      <c r="H448" s="96"/>
      <c r="I448" s="96"/>
      <c r="J448" s="96"/>
      <c r="K448" s="96">
        <f>IFERROR(__xludf.DUMMYFUNCTION("""COMPUTED_VALUE"""),20000.0)</f>
        <v>20000</v>
      </c>
      <c r="L448" s="99">
        <f>IFERROR(__xludf.DUMMYFUNCTION("""COMPUTED_VALUE"""),20000.0)</f>
        <v>20000</v>
      </c>
      <c r="M448" s="96"/>
      <c r="N448" s="96">
        <f>IFERROR(__xludf.DUMMYFUNCTION("""COMPUTED_VALUE"""),0.0)</f>
        <v>0</v>
      </c>
      <c r="O448" s="96">
        <f>IFERROR(__xludf.DUMMYFUNCTION("""COMPUTED_VALUE"""),0.0)</f>
        <v>0</v>
      </c>
      <c r="P448" s="96">
        <f>IFERROR(__xludf.DUMMYFUNCTION("""COMPUTED_VALUE"""),0.0)</f>
        <v>0</v>
      </c>
      <c r="Q448" s="129">
        <f>IFERROR(__xludf.DUMMYFUNCTION("""COMPUTED_VALUE"""),0.0)</f>
        <v>0</v>
      </c>
      <c r="R448" s="99"/>
    </row>
    <row r="449">
      <c r="A449" s="96">
        <f>IFERROR(__xludf.DUMMYFUNCTION("""COMPUTED_VALUE"""),23.0)</f>
        <v>23</v>
      </c>
      <c r="B449" s="98">
        <f>IFERROR(__xludf.DUMMYFUNCTION("""COMPUTED_VALUE"""),44107.0)</f>
        <v>44107</v>
      </c>
      <c r="C449" s="96" t="str">
        <f>IFERROR(__xludf.DUMMYFUNCTION("""COMPUTED_VALUE"""),"CONNECT")</f>
        <v>CONNECT</v>
      </c>
      <c r="D449" s="96" t="str">
        <f>IFERROR(__xludf.DUMMYFUNCTION("""COMPUTED_VALUE"""),"CONNECT23")</f>
        <v>CONNECT23</v>
      </c>
      <c r="E449" s="96"/>
      <c r="F449" s="96"/>
      <c r="G449" s="96"/>
      <c r="H449" s="96"/>
      <c r="I449" s="96"/>
      <c r="J449" s="96"/>
      <c r="K449" s="96">
        <f>IFERROR(__xludf.DUMMYFUNCTION("""COMPUTED_VALUE"""),1000000.0)</f>
        <v>1000000</v>
      </c>
      <c r="L449" s="99">
        <f>IFERROR(__xludf.DUMMYFUNCTION("""COMPUTED_VALUE"""),1000000.0)</f>
        <v>1000000</v>
      </c>
      <c r="M449" s="96"/>
      <c r="N449" s="96">
        <f>IFERROR(__xludf.DUMMYFUNCTION("""COMPUTED_VALUE"""),0.0)</f>
        <v>0</v>
      </c>
      <c r="O449" s="96">
        <f>IFERROR(__xludf.DUMMYFUNCTION("""COMPUTED_VALUE"""),0.0)</f>
        <v>0</v>
      </c>
      <c r="P449" s="96">
        <f>IFERROR(__xludf.DUMMYFUNCTION("""COMPUTED_VALUE"""),0.0)</f>
        <v>0</v>
      </c>
      <c r="Q449" s="129">
        <f>IFERROR(__xludf.DUMMYFUNCTION("""COMPUTED_VALUE"""),0.0)</f>
        <v>0</v>
      </c>
      <c r="R449" s="99"/>
    </row>
    <row r="450">
      <c r="A450" s="96">
        <f>IFERROR(__xludf.DUMMYFUNCTION("""COMPUTED_VALUE"""),28.0)</f>
        <v>28</v>
      </c>
      <c r="B450" s="98">
        <f>IFERROR(__xludf.DUMMYFUNCTION("""COMPUTED_VALUE"""),44107.0)</f>
        <v>44107</v>
      </c>
      <c r="C450" s="96" t="str">
        <f>IFERROR(__xludf.DUMMYFUNCTION("""COMPUTED_VALUE"""),"LYDIA HNSON ")</f>
        <v>LYDIA HNSON </v>
      </c>
      <c r="D450" s="96" t="str">
        <f>IFERROR(__xludf.DUMMYFUNCTION("""COMPUTED_VALUE"""),"LYDIA HNSON 28")</f>
        <v>LYDIA HNSON 28</v>
      </c>
      <c r="E450" s="96"/>
      <c r="F450" s="96"/>
      <c r="G450" s="96"/>
      <c r="H450" s="96"/>
      <c r="I450" s="96"/>
      <c r="J450" s="96"/>
      <c r="K450" s="96">
        <f>IFERROR(__xludf.DUMMYFUNCTION("""COMPUTED_VALUE"""),400000.0)</f>
        <v>400000</v>
      </c>
      <c r="L450" s="99">
        <f>IFERROR(__xludf.DUMMYFUNCTION("""COMPUTED_VALUE"""),400000.0)</f>
        <v>400000</v>
      </c>
      <c r="M450" s="96"/>
      <c r="N450" s="96">
        <f>IFERROR(__xludf.DUMMYFUNCTION("""COMPUTED_VALUE"""),0.0)</f>
        <v>0</v>
      </c>
      <c r="O450" s="96">
        <f>IFERROR(__xludf.DUMMYFUNCTION("""COMPUTED_VALUE"""),0.0)</f>
        <v>0</v>
      </c>
      <c r="P450" s="96">
        <f>IFERROR(__xludf.DUMMYFUNCTION("""COMPUTED_VALUE"""),0.0)</f>
        <v>0</v>
      </c>
      <c r="Q450" s="129">
        <f>IFERROR(__xludf.DUMMYFUNCTION("""COMPUTED_VALUE"""),0.0)</f>
        <v>0</v>
      </c>
      <c r="R450" s="99"/>
    </row>
    <row r="451">
      <c r="A451" s="96">
        <f>IFERROR(__xludf.DUMMYFUNCTION("""COMPUTED_VALUE"""),24.0)</f>
        <v>24</v>
      </c>
      <c r="B451" s="98">
        <f>IFERROR(__xludf.DUMMYFUNCTION("""COMPUTED_VALUE"""),44109.0)</f>
        <v>44109</v>
      </c>
      <c r="C451" s="96" t="str">
        <f>IFERROR(__xludf.DUMMYFUNCTION("""COMPUTED_VALUE"""),"CONNECT")</f>
        <v>CONNECT</v>
      </c>
      <c r="D451" s="96" t="str">
        <f>IFERROR(__xludf.DUMMYFUNCTION("""COMPUTED_VALUE"""),"CONNECT24")</f>
        <v>CONNECT24</v>
      </c>
      <c r="E451" s="96">
        <f>IFERROR(__xludf.DUMMYFUNCTION("""COMPUTED_VALUE"""),6468.0)</f>
        <v>6468</v>
      </c>
      <c r="F451" s="96">
        <f>IFERROR(__xludf.DUMMYFUNCTION("""COMPUTED_VALUE"""),999.5)</f>
        <v>999.5</v>
      </c>
      <c r="G451" s="96"/>
      <c r="H451" s="96">
        <f>IFERROR(__xludf.DUMMYFUNCTION("""COMPUTED_VALUE"""),100.0)</f>
        <v>100</v>
      </c>
      <c r="I451" s="96"/>
      <c r="J451" s="96">
        <f>IFERROR(__xludf.DUMMYFUNCTION("""COMPUTED_VALUE"""),960.0)</f>
        <v>960</v>
      </c>
      <c r="K451" s="96"/>
      <c r="L451" s="99">
        <f>IFERROR(__xludf.DUMMYFUNCTION("""COMPUTED_VALUE"""),-5991360.0)</f>
        <v>-5991360</v>
      </c>
      <c r="M451" s="96">
        <f>IFERROR(__xludf.DUMMYFUNCTION("""COMPUTED_VALUE"""),10.0)</f>
        <v>10</v>
      </c>
      <c r="N451" s="96">
        <f>IFERROR(__xludf.DUMMYFUNCTION("""COMPUTED_VALUE"""),127.0)</f>
        <v>127</v>
      </c>
      <c r="O451" s="96">
        <f>IFERROR(__xludf.DUMMYFUNCTION("""COMPUTED_VALUE"""),99.0)</f>
        <v>99</v>
      </c>
      <c r="P451" s="96">
        <f>IFERROR(__xludf.DUMMYFUNCTION("""COMPUTED_VALUE"""),3.0)</f>
        <v>3</v>
      </c>
      <c r="Q451" s="129">
        <f>IFERROR(__xludf.DUMMYFUNCTION("""COMPUTED_VALUE"""),6241.0)</f>
        <v>6241</v>
      </c>
      <c r="R451" s="99">
        <f>IFERROR(__xludf.DUMMYFUNCTION("""COMPUTED_VALUE"""),5991360.0)</f>
        <v>5991360</v>
      </c>
    </row>
    <row r="452">
      <c r="A452" s="96">
        <f>IFERROR(__xludf.DUMMYFUNCTION("""COMPUTED_VALUE"""),15.0)</f>
        <v>15</v>
      </c>
      <c r="B452" s="98">
        <f>IFERROR(__xludf.DUMMYFUNCTION("""COMPUTED_VALUE"""),44109.0)</f>
        <v>44109</v>
      </c>
      <c r="C452" s="96" t="str">
        <f>IFERROR(__xludf.DUMMYFUNCTION("""COMPUTED_VALUE"""),"ANDRDEW GREAT")</f>
        <v>ANDRDEW GREAT</v>
      </c>
      <c r="D452" s="96" t="str">
        <f>IFERROR(__xludf.DUMMYFUNCTION("""COMPUTED_VALUE"""),"ANDRDEW GREAT15")</f>
        <v>ANDRDEW GREAT15</v>
      </c>
      <c r="E452" s="96"/>
      <c r="F452" s="96"/>
      <c r="G452" s="96"/>
      <c r="H452" s="96"/>
      <c r="I452" s="96"/>
      <c r="J452" s="96"/>
      <c r="K452" s="96">
        <f>IFERROR(__xludf.DUMMYFUNCTION("""COMPUTED_VALUE"""),200000.0)</f>
        <v>200000</v>
      </c>
      <c r="L452" s="99">
        <f>IFERROR(__xludf.DUMMYFUNCTION("""COMPUTED_VALUE"""),200000.0)</f>
        <v>200000</v>
      </c>
      <c r="M452" s="96"/>
      <c r="N452" s="96">
        <f>IFERROR(__xludf.DUMMYFUNCTION("""COMPUTED_VALUE"""),0.0)</f>
        <v>0</v>
      </c>
      <c r="O452" s="96">
        <f>IFERROR(__xludf.DUMMYFUNCTION("""COMPUTED_VALUE"""),0.0)</f>
        <v>0</v>
      </c>
      <c r="P452" s="96">
        <f>IFERROR(__xludf.DUMMYFUNCTION("""COMPUTED_VALUE"""),0.0)</f>
        <v>0</v>
      </c>
      <c r="Q452" s="129">
        <f>IFERROR(__xludf.DUMMYFUNCTION("""COMPUTED_VALUE"""),0.0)</f>
        <v>0</v>
      </c>
      <c r="R452" s="99"/>
    </row>
    <row r="453">
      <c r="A453" s="96">
        <f>IFERROR(__xludf.DUMMYFUNCTION("""COMPUTED_VALUE"""),18.0)</f>
        <v>18</v>
      </c>
      <c r="B453" s="98">
        <f>IFERROR(__xludf.DUMMYFUNCTION("""COMPUTED_VALUE"""),44109.0)</f>
        <v>44109</v>
      </c>
      <c r="C453" s="96" t="str">
        <f>IFERROR(__xludf.DUMMYFUNCTION("""COMPUTED_VALUE"""),"ETUK EFFI")</f>
        <v>ETUK EFFI</v>
      </c>
      <c r="D453" s="96" t="str">
        <f>IFERROR(__xludf.DUMMYFUNCTION("""COMPUTED_VALUE"""),"ETUK EFFI18")</f>
        <v>ETUK EFFI18</v>
      </c>
      <c r="E453" s="96"/>
      <c r="F453" s="96"/>
      <c r="G453" s="96"/>
      <c r="H453" s="96"/>
      <c r="I453" s="96"/>
      <c r="J453" s="96"/>
      <c r="K453" s="96">
        <f>IFERROR(__xludf.DUMMYFUNCTION("""COMPUTED_VALUE"""),1000000.0)</f>
        <v>1000000</v>
      </c>
      <c r="L453" s="99">
        <f>IFERROR(__xludf.DUMMYFUNCTION("""COMPUTED_VALUE"""),1000000.0)</f>
        <v>1000000</v>
      </c>
      <c r="M453" s="96"/>
      <c r="N453" s="96">
        <f>IFERROR(__xludf.DUMMYFUNCTION("""COMPUTED_VALUE"""),0.0)</f>
        <v>0</v>
      </c>
      <c r="O453" s="96">
        <f>IFERROR(__xludf.DUMMYFUNCTION("""COMPUTED_VALUE"""),0.0)</f>
        <v>0</v>
      </c>
      <c r="P453" s="96">
        <f>IFERROR(__xludf.DUMMYFUNCTION("""COMPUTED_VALUE"""),0.0)</f>
        <v>0</v>
      </c>
      <c r="Q453" s="129">
        <f>IFERROR(__xludf.DUMMYFUNCTION("""COMPUTED_VALUE"""),0.0)</f>
        <v>0</v>
      </c>
      <c r="R453" s="99"/>
    </row>
    <row r="454">
      <c r="A454" s="96">
        <f>IFERROR(__xludf.DUMMYFUNCTION("""COMPUTED_VALUE"""),1.0)</f>
        <v>1</v>
      </c>
      <c r="B454" s="98">
        <f>IFERROR(__xludf.DUMMYFUNCTION("""COMPUTED_VALUE"""),44109.0)</f>
        <v>44109</v>
      </c>
      <c r="C454" s="96" t="str">
        <f>IFERROR(__xludf.DUMMYFUNCTION("""COMPUTED_VALUE"""),"GIFT GABRIEL")</f>
        <v>GIFT GABRIEL</v>
      </c>
      <c r="D454" s="96" t="str">
        <f>IFERROR(__xludf.DUMMYFUNCTION("""COMPUTED_VALUE"""),"GIFT GABRIEL1")</f>
        <v>GIFT GABRIEL1</v>
      </c>
      <c r="E454" s="96"/>
      <c r="F454" s="96"/>
      <c r="G454" s="96"/>
      <c r="H454" s="96"/>
      <c r="I454" s="96"/>
      <c r="J454" s="96"/>
      <c r="K454" s="96">
        <f>IFERROR(__xludf.DUMMYFUNCTION("""COMPUTED_VALUE"""),1000000.0)</f>
        <v>1000000</v>
      </c>
      <c r="L454" s="99">
        <f>IFERROR(__xludf.DUMMYFUNCTION("""COMPUTED_VALUE"""),1000000.0)</f>
        <v>1000000</v>
      </c>
      <c r="M454" s="96"/>
      <c r="N454" s="96">
        <f>IFERROR(__xludf.DUMMYFUNCTION("""COMPUTED_VALUE"""),0.0)</f>
        <v>0</v>
      </c>
      <c r="O454" s="96">
        <f>IFERROR(__xludf.DUMMYFUNCTION("""COMPUTED_VALUE"""),0.0)</f>
        <v>0</v>
      </c>
      <c r="P454" s="96">
        <f>IFERROR(__xludf.DUMMYFUNCTION("""COMPUTED_VALUE"""),0.0)</f>
        <v>0</v>
      </c>
      <c r="Q454" s="129">
        <f>IFERROR(__xludf.DUMMYFUNCTION("""COMPUTED_VALUE"""),0.0)</f>
        <v>0</v>
      </c>
      <c r="R454" s="99"/>
    </row>
    <row r="455">
      <c r="A455" s="96">
        <f>IFERROR(__xludf.DUMMYFUNCTION("""COMPUTED_VALUE"""),19.0)</f>
        <v>19</v>
      </c>
      <c r="B455" s="98">
        <f>IFERROR(__xludf.DUMMYFUNCTION("""COMPUTED_VALUE"""),44109.0)</f>
        <v>44109</v>
      </c>
      <c r="C455" s="96" t="str">
        <f>IFERROR(__xludf.DUMMYFUNCTION("""COMPUTED_VALUE""")," MAXWELL AGRO")</f>
        <v> MAXWELL AGRO</v>
      </c>
      <c r="D455" s="96" t="str">
        <f>IFERROR(__xludf.DUMMYFUNCTION("""COMPUTED_VALUE""")," MAXWELL AGRO19")</f>
        <v> MAXWELL AGRO19</v>
      </c>
      <c r="E455" s="96"/>
      <c r="F455" s="96"/>
      <c r="G455" s="96"/>
      <c r="H455" s="96"/>
      <c r="I455" s="96"/>
      <c r="J455" s="96"/>
      <c r="K455" s="96">
        <f>IFERROR(__xludf.DUMMYFUNCTION("""COMPUTED_VALUE"""),900000.0)</f>
        <v>900000</v>
      </c>
      <c r="L455" s="99">
        <f>IFERROR(__xludf.DUMMYFUNCTION("""COMPUTED_VALUE"""),900000.0)</f>
        <v>900000</v>
      </c>
      <c r="M455" s="96"/>
      <c r="N455" s="96">
        <f>IFERROR(__xludf.DUMMYFUNCTION("""COMPUTED_VALUE"""),0.0)</f>
        <v>0</v>
      </c>
      <c r="O455" s="96">
        <f>IFERROR(__xludf.DUMMYFUNCTION("""COMPUTED_VALUE"""),0.0)</f>
        <v>0</v>
      </c>
      <c r="P455" s="96">
        <f>IFERROR(__xludf.DUMMYFUNCTION("""COMPUTED_VALUE"""),0.0)</f>
        <v>0</v>
      </c>
      <c r="Q455" s="129">
        <f>IFERROR(__xludf.DUMMYFUNCTION("""COMPUTED_VALUE"""),0.0)</f>
        <v>0</v>
      </c>
      <c r="R455" s="99"/>
    </row>
    <row r="456">
      <c r="A456" s="96">
        <f>IFERROR(__xludf.DUMMYFUNCTION("""COMPUTED_VALUE"""),5.0)</f>
        <v>5</v>
      </c>
      <c r="B456" s="98">
        <f>IFERROR(__xludf.DUMMYFUNCTION("""COMPUTED_VALUE"""),44109.0)</f>
        <v>44109</v>
      </c>
      <c r="C456" s="96" t="str">
        <f>IFERROR(__xludf.DUMMYFUNCTION("""COMPUTED_VALUE"""),"OSIM MARIAM")</f>
        <v>OSIM MARIAM</v>
      </c>
      <c r="D456" s="96" t="str">
        <f>IFERROR(__xludf.DUMMYFUNCTION("""COMPUTED_VALUE"""),"OSIM MARIAM5")</f>
        <v>OSIM MARIAM5</v>
      </c>
      <c r="E456" s="96"/>
      <c r="F456" s="96"/>
      <c r="G456" s="96"/>
      <c r="H456" s="96"/>
      <c r="I456" s="96"/>
      <c r="J456" s="96"/>
      <c r="K456" s="96">
        <f>IFERROR(__xludf.DUMMYFUNCTION("""COMPUTED_VALUE"""),50000.0)</f>
        <v>50000</v>
      </c>
      <c r="L456" s="99">
        <f>IFERROR(__xludf.DUMMYFUNCTION("""COMPUTED_VALUE"""),50000.0)</f>
        <v>50000</v>
      </c>
      <c r="M456" s="96"/>
      <c r="N456" s="96">
        <f>IFERROR(__xludf.DUMMYFUNCTION("""COMPUTED_VALUE"""),0.0)</f>
        <v>0</v>
      </c>
      <c r="O456" s="96">
        <f>IFERROR(__xludf.DUMMYFUNCTION("""COMPUTED_VALUE"""),0.0)</f>
        <v>0</v>
      </c>
      <c r="P456" s="96">
        <f>IFERROR(__xludf.DUMMYFUNCTION("""COMPUTED_VALUE"""),0.0)</f>
        <v>0</v>
      </c>
      <c r="Q456" s="129">
        <f>IFERROR(__xludf.DUMMYFUNCTION("""COMPUTED_VALUE"""),0.0)</f>
        <v>0</v>
      </c>
      <c r="R456" s="99"/>
    </row>
    <row r="457">
      <c r="A457" s="96">
        <f>IFERROR(__xludf.DUMMYFUNCTION("""COMPUTED_VALUE"""),16.0)</f>
        <v>16</v>
      </c>
      <c r="B457" s="98">
        <f>IFERROR(__xludf.DUMMYFUNCTION("""COMPUTED_VALUE"""),44112.0)</f>
        <v>44112</v>
      </c>
      <c r="C457" s="96" t="str">
        <f>IFERROR(__xludf.DUMMYFUNCTION("""COMPUTED_VALUE"""),"NDOMA BODE I.D")</f>
        <v>NDOMA BODE I.D</v>
      </c>
      <c r="D457" s="96" t="str">
        <f>IFERROR(__xludf.DUMMYFUNCTION("""COMPUTED_VALUE"""),"NDOMA BODE I.D16")</f>
        <v>NDOMA BODE I.D16</v>
      </c>
      <c r="E457" s="96">
        <f>IFERROR(__xludf.DUMMYFUNCTION("""COMPUTED_VALUE"""),1583.0)</f>
        <v>1583</v>
      </c>
      <c r="F457" s="96">
        <f>IFERROR(__xludf.DUMMYFUNCTION("""COMPUTED_VALUE"""),200.0)</f>
        <v>200</v>
      </c>
      <c r="G457" s="96"/>
      <c r="H457" s="96">
        <f>IFERROR(__xludf.DUMMYFUNCTION("""COMPUTED_VALUE"""),25.0)</f>
        <v>25</v>
      </c>
      <c r="I457" s="96">
        <f>IFERROR(__xludf.DUMMYFUNCTION("""COMPUTED_VALUE"""),0.0)</f>
        <v>0</v>
      </c>
      <c r="J457" s="96">
        <f>IFERROR(__xludf.DUMMYFUNCTION("""COMPUTED_VALUE"""),950.0)</f>
        <v>950</v>
      </c>
      <c r="K457" s="96"/>
      <c r="L457" s="99">
        <f>IFERROR(__xludf.DUMMYFUNCTION("""COMPUTED_VALUE"""),-1480100.0)</f>
        <v>-1480100</v>
      </c>
      <c r="M457" s="96">
        <f>IFERROR(__xludf.DUMMYFUNCTION("""COMPUTED_VALUE"""),8.0)</f>
        <v>8</v>
      </c>
      <c r="N457" s="96">
        <f>IFERROR(__xludf.DUMMYFUNCTION("""COMPUTED_VALUE"""),0.0)</f>
        <v>0</v>
      </c>
      <c r="O457" s="96">
        <f>IFERROR(__xludf.DUMMYFUNCTION("""COMPUTED_VALUE"""),24.0)</f>
        <v>24</v>
      </c>
      <c r="P457" s="96">
        <f>IFERROR(__xludf.DUMMYFUNCTION("""COMPUTED_VALUE"""),46.0)</f>
        <v>46</v>
      </c>
      <c r="Q457" s="129">
        <f>IFERROR(__xludf.DUMMYFUNCTION("""COMPUTED_VALUE"""),1558.0)</f>
        <v>1558</v>
      </c>
      <c r="R457" s="99">
        <f>IFERROR(__xludf.DUMMYFUNCTION("""COMPUTED_VALUE"""),1480100.0)</f>
        <v>1480100</v>
      </c>
    </row>
    <row r="458">
      <c r="A458" s="96">
        <f>IFERROR(__xludf.DUMMYFUNCTION("""COMPUTED_VALUE"""),3.0)</f>
        <v>3</v>
      </c>
      <c r="B458" s="98">
        <f>IFERROR(__xludf.DUMMYFUNCTION("""COMPUTED_VALUE"""),44112.0)</f>
        <v>44112</v>
      </c>
      <c r="C458" s="96" t="str">
        <f>IFERROR(__xludf.DUMMYFUNCTION("""COMPUTED_VALUE"""),"ABANG. ORU")</f>
        <v>ABANG. ORU</v>
      </c>
      <c r="D458" s="96" t="str">
        <f>IFERROR(__xludf.DUMMYFUNCTION("""COMPUTED_VALUE"""),"ABANG. ORU3")</f>
        <v>ABANG. ORU3</v>
      </c>
      <c r="E458" s="96">
        <f>IFERROR(__xludf.DUMMYFUNCTION("""COMPUTED_VALUE"""),74.0)</f>
        <v>74</v>
      </c>
      <c r="F458" s="96">
        <f>IFERROR(__xludf.DUMMYFUNCTION("""COMPUTED_VALUE"""),11.5)</f>
        <v>11.5</v>
      </c>
      <c r="G458" s="96"/>
      <c r="H458" s="96">
        <f>IFERROR(__xludf.DUMMYFUNCTION("""COMPUTED_VALUE"""),1.0)</f>
        <v>1</v>
      </c>
      <c r="I458" s="96"/>
      <c r="J458" s="96">
        <f>IFERROR(__xludf.DUMMYFUNCTION("""COMPUTED_VALUE"""),950.0)</f>
        <v>950</v>
      </c>
      <c r="K458" s="96"/>
      <c r="L458" s="99">
        <f>IFERROR(__xludf.DUMMYFUNCTION("""COMPUTED_VALUE"""),-66500.0)</f>
        <v>-66500</v>
      </c>
      <c r="M458" s="96">
        <f>IFERROR(__xludf.DUMMYFUNCTION("""COMPUTED_VALUE"""),11.5)</f>
        <v>11.5</v>
      </c>
      <c r="N458" s="96">
        <f>IFERROR(__xludf.DUMMYFUNCTION("""COMPUTED_VALUE"""),3.0)</f>
        <v>3</v>
      </c>
      <c r="O458" s="96">
        <f>IFERROR(__xludf.DUMMYFUNCTION("""COMPUTED_VALUE"""),1.0)</f>
        <v>1</v>
      </c>
      <c r="P458" s="96">
        <f>IFERROR(__xludf.DUMMYFUNCTION("""COMPUTED_VALUE"""),7.0)</f>
        <v>7</v>
      </c>
      <c r="Q458" s="129">
        <f>IFERROR(__xludf.DUMMYFUNCTION("""COMPUTED_VALUE"""),70.0)</f>
        <v>70</v>
      </c>
      <c r="R458" s="99">
        <f>IFERROR(__xludf.DUMMYFUNCTION("""COMPUTED_VALUE"""),66500.0)</f>
        <v>66500</v>
      </c>
    </row>
    <row r="459">
      <c r="A459" s="96">
        <f>IFERROR(__xludf.DUMMYFUNCTION("""COMPUTED_VALUE"""),1.0)</f>
        <v>1</v>
      </c>
      <c r="B459" s="98">
        <f>IFERROR(__xludf.DUMMYFUNCTION("""COMPUTED_VALUE"""),44100.0)</f>
        <v>44100</v>
      </c>
      <c r="C459" s="96" t="str">
        <f>IFERROR(__xludf.DUMMYFUNCTION("""COMPUTED_VALUE"""),"BLESSING CHAPMAN")</f>
        <v>BLESSING CHAPMAN</v>
      </c>
      <c r="D459" s="96" t="str">
        <f>IFERROR(__xludf.DUMMYFUNCTION("""COMPUTED_VALUE"""),"BLESSING CHAPMAN1")</f>
        <v>BLESSING CHAPMAN1</v>
      </c>
      <c r="E459" s="96"/>
      <c r="F459" s="96"/>
      <c r="G459" s="96"/>
      <c r="H459" s="96"/>
      <c r="I459" s="96"/>
      <c r="J459" s="96"/>
      <c r="K459" s="96">
        <f>IFERROR(__xludf.DUMMYFUNCTION("""COMPUTED_VALUE"""),-1040700.0)</f>
        <v>-1040700</v>
      </c>
      <c r="L459" s="99">
        <f>IFERROR(__xludf.DUMMYFUNCTION("""COMPUTED_VALUE"""),-1040700.0)</f>
        <v>-1040700</v>
      </c>
      <c r="M459" s="96"/>
      <c r="N459" s="96">
        <f>IFERROR(__xludf.DUMMYFUNCTION("""COMPUTED_VALUE"""),0.0)</f>
        <v>0</v>
      </c>
      <c r="O459" s="96">
        <f>IFERROR(__xludf.DUMMYFUNCTION("""COMPUTED_VALUE"""),0.0)</f>
        <v>0</v>
      </c>
      <c r="P459" s="96">
        <f>IFERROR(__xludf.DUMMYFUNCTION("""COMPUTED_VALUE"""),0.0)</f>
        <v>0</v>
      </c>
      <c r="Q459" s="129">
        <f>IFERROR(__xludf.DUMMYFUNCTION("""COMPUTED_VALUE"""),0.0)</f>
        <v>0</v>
      </c>
      <c r="R459" s="99"/>
    </row>
    <row r="460">
      <c r="A460" s="96">
        <f>IFERROR(__xludf.DUMMYFUNCTION("""COMPUTED_VALUE"""),13.0)</f>
        <v>13</v>
      </c>
      <c r="B460" s="98">
        <f>IFERROR(__xludf.DUMMYFUNCTION("""COMPUTED_VALUE"""),44110.0)</f>
        <v>44110</v>
      </c>
      <c r="C460" s="96" t="str">
        <f>IFERROR(__xludf.DUMMYFUNCTION("""COMPUTED_VALUE"""),"OTU KOKO KEIBO")</f>
        <v>OTU KOKO KEIBO</v>
      </c>
      <c r="D460" s="96" t="str">
        <f>IFERROR(__xludf.DUMMYFUNCTION("""COMPUTED_VALUE"""),"OTU KOKO KEIBO13")</f>
        <v>OTU KOKO KEIBO13</v>
      </c>
      <c r="E460" s="96"/>
      <c r="F460" s="96"/>
      <c r="G460" s="96"/>
      <c r="H460" s="96"/>
      <c r="I460" s="96"/>
      <c r="J460" s="96"/>
      <c r="K460" s="96">
        <f>IFERROR(__xludf.DUMMYFUNCTION("""COMPUTED_VALUE"""),112000.0)</f>
        <v>112000</v>
      </c>
      <c r="L460" s="99">
        <f>IFERROR(__xludf.DUMMYFUNCTION("""COMPUTED_VALUE"""),112000.0)</f>
        <v>112000</v>
      </c>
      <c r="M460" s="96"/>
      <c r="N460" s="96">
        <f>IFERROR(__xludf.DUMMYFUNCTION("""COMPUTED_VALUE"""),0.0)</f>
        <v>0</v>
      </c>
      <c r="O460" s="96">
        <f>IFERROR(__xludf.DUMMYFUNCTION("""COMPUTED_VALUE"""),0.0)</f>
        <v>0</v>
      </c>
      <c r="P460" s="96">
        <f>IFERROR(__xludf.DUMMYFUNCTION("""COMPUTED_VALUE"""),0.0)</f>
        <v>0</v>
      </c>
      <c r="Q460" s="129">
        <f>IFERROR(__xludf.DUMMYFUNCTION("""COMPUTED_VALUE"""),0.0)</f>
        <v>0</v>
      </c>
      <c r="R460" s="99"/>
    </row>
    <row r="461">
      <c r="A461" s="96">
        <f>IFERROR(__xludf.DUMMYFUNCTION("""COMPUTED_VALUE"""),9.0)</f>
        <v>9</v>
      </c>
      <c r="B461" s="98">
        <f>IFERROR(__xludf.DUMMYFUNCTION("""COMPUTED_VALUE"""),44110.0)</f>
        <v>44110</v>
      </c>
      <c r="C461" s="96" t="str">
        <f>IFERROR(__xludf.DUMMYFUNCTION("""COMPUTED_VALUE"""),"NDOMA PETER")</f>
        <v>NDOMA PETER</v>
      </c>
      <c r="D461" s="96" t="str">
        <f>IFERROR(__xludf.DUMMYFUNCTION("""COMPUTED_VALUE"""),"NDOMA PETER9")</f>
        <v>NDOMA PETER9</v>
      </c>
      <c r="E461" s="96"/>
      <c r="F461" s="96"/>
      <c r="G461" s="96"/>
      <c r="H461" s="96"/>
      <c r="I461" s="96"/>
      <c r="J461" s="96"/>
      <c r="K461" s="96">
        <f>IFERROR(__xludf.DUMMYFUNCTION("""COMPUTED_VALUE"""),500000.0)</f>
        <v>500000</v>
      </c>
      <c r="L461" s="99">
        <f>IFERROR(__xludf.DUMMYFUNCTION("""COMPUTED_VALUE"""),500000.0)</f>
        <v>500000</v>
      </c>
      <c r="M461" s="96"/>
      <c r="N461" s="96">
        <f>IFERROR(__xludf.DUMMYFUNCTION("""COMPUTED_VALUE"""),0.0)</f>
        <v>0</v>
      </c>
      <c r="O461" s="96">
        <f>IFERROR(__xludf.DUMMYFUNCTION("""COMPUTED_VALUE"""),0.0)</f>
        <v>0</v>
      </c>
      <c r="P461" s="96">
        <f>IFERROR(__xludf.DUMMYFUNCTION("""COMPUTED_VALUE"""),0.0)</f>
        <v>0</v>
      </c>
      <c r="Q461" s="129">
        <f>IFERROR(__xludf.DUMMYFUNCTION("""COMPUTED_VALUE"""),0.0)</f>
        <v>0</v>
      </c>
      <c r="R461" s="99"/>
    </row>
    <row r="462">
      <c r="A462" s="96">
        <f>IFERROR(__xludf.DUMMYFUNCTION("""COMPUTED_VALUE"""),17.0)</f>
        <v>17</v>
      </c>
      <c r="B462" s="98">
        <f>IFERROR(__xludf.DUMMYFUNCTION("""COMPUTED_VALUE"""),44110.0)</f>
        <v>44110</v>
      </c>
      <c r="C462" s="96" t="str">
        <f>IFERROR(__xludf.DUMMYFUNCTION("""COMPUTED_VALUE"""),"NDOMA BODE I.D")</f>
        <v>NDOMA BODE I.D</v>
      </c>
      <c r="D462" s="96" t="str">
        <f>IFERROR(__xludf.DUMMYFUNCTION("""COMPUTED_VALUE"""),"NDOMA BODE I.D17")</f>
        <v>NDOMA BODE I.D17</v>
      </c>
      <c r="E462" s="96"/>
      <c r="F462" s="96"/>
      <c r="G462" s="96"/>
      <c r="H462" s="96"/>
      <c r="I462" s="96"/>
      <c r="J462" s="96"/>
      <c r="K462" s="96">
        <f>IFERROR(__xludf.DUMMYFUNCTION("""COMPUTED_VALUE"""),780000.0)</f>
        <v>780000</v>
      </c>
      <c r="L462" s="99">
        <f>IFERROR(__xludf.DUMMYFUNCTION("""COMPUTED_VALUE"""),780000.0)</f>
        <v>780000</v>
      </c>
      <c r="M462" s="96"/>
      <c r="N462" s="96">
        <f>IFERROR(__xludf.DUMMYFUNCTION("""COMPUTED_VALUE"""),0.0)</f>
        <v>0</v>
      </c>
      <c r="O462" s="96">
        <f>IFERROR(__xludf.DUMMYFUNCTION("""COMPUTED_VALUE"""),0.0)</f>
        <v>0</v>
      </c>
      <c r="P462" s="96">
        <f>IFERROR(__xludf.DUMMYFUNCTION("""COMPUTED_VALUE"""),0.0)</f>
        <v>0</v>
      </c>
      <c r="Q462" s="129">
        <f>IFERROR(__xludf.DUMMYFUNCTION("""COMPUTED_VALUE"""),0.0)</f>
        <v>0</v>
      </c>
      <c r="R462" s="99"/>
    </row>
    <row r="463">
      <c r="A463" s="96">
        <f>IFERROR(__xludf.DUMMYFUNCTION("""COMPUTED_VALUE"""),10.0)</f>
        <v>10</v>
      </c>
      <c r="B463" s="98">
        <f>IFERROR(__xludf.DUMMYFUNCTION("""COMPUTED_VALUE"""),44110.0)</f>
        <v>44110</v>
      </c>
      <c r="C463" s="96" t="str">
        <f>IFERROR(__xludf.DUMMYFUNCTION("""COMPUTED_VALUE"""),"EMMANUEL OKO ")</f>
        <v>EMMANUEL OKO </v>
      </c>
      <c r="D463" s="96" t="str">
        <f>IFERROR(__xludf.DUMMYFUNCTION("""COMPUTED_VALUE"""),"EMMANUEL OKO 10")</f>
        <v>EMMANUEL OKO 10</v>
      </c>
      <c r="E463" s="96"/>
      <c r="F463" s="96"/>
      <c r="G463" s="96"/>
      <c r="H463" s="96"/>
      <c r="I463" s="96"/>
      <c r="J463" s="96"/>
      <c r="K463" s="96">
        <f>IFERROR(__xludf.DUMMYFUNCTION("""COMPUTED_VALUE"""),500000.0)</f>
        <v>500000</v>
      </c>
      <c r="L463" s="99">
        <f>IFERROR(__xludf.DUMMYFUNCTION("""COMPUTED_VALUE"""),500000.0)</f>
        <v>500000</v>
      </c>
      <c r="M463" s="96"/>
      <c r="N463" s="96">
        <f>IFERROR(__xludf.DUMMYFUNCTION("""COMPUTED_VALUE"""),0.0)</f>
        <v>0</v>
      </c>
      <c r="O463" s="96">
        <f>IFERROR(__xludf.DUMMYFUNCTION("""COMPUTED_VALUE"""),0.0)</f>
        <v>0</v>
      </c>
      <c r="P463" s="96">
        <f>IFERROR(__xludf.DUMMYFUNCTION("""COMPUTED_VALUE"""),0.0)</f>
        <v>0</v>
      </c>
      <c r="Q463" s="129">
        <f>IFERROR(__xludf.DUMMYFUNCTION("""COMPUTED_VALUE"""),0.0)</f>
        <v>0</v>
      </c>
      <c r="R463" s="99"/>
    </row>
    <row r="464">
      <c r="A464" s="96">
        <f>IFERROR(__xludf.DUMMYFUNCTION("""COMPUTED_VALUE"""),12.0)</f>
        <v>12</v>
      </c>
      <c r="B464" s="98">
        <f>IFERROR(__xludf.DUMMYFUNCTION("""COMPUTED_VALUE"""),44110.0)</f>
        <v>44110</v>
      </c>
      <c r="C464" s="96" t="str">
        <f>IFERROR(__xludf.DUMMYFUNCTION("""COMPUTED_VALUE"""),"A. D. FREDERICK")</f>
        <v>A. D. FREDERICK</v>
      </c>
      <c r="D464" s="96" t="str">
        <f>IFERROR(__xludf.DUMMYFUNCTION("""COMPUTED_VALUE"""),"A. D. FREDERICK12")</f>
        <v>A. D. FREDERICK12</v>
      </c>
      <c r="E464" s="96"/>
      <c r="F464" s="96"/>
      <c r="G464" s="96"/>
      <c r="H464" s="96"/>
      <c r="I464" s="96"/>
      <c r="J464" s="96"/>
      <c r="K464" s="96">
        <f>IFERROR(__xludf.DUMMYFUNCTION("""COMPUTED_VALUE"""),500000.0)</f>
        <v>500000</v>
      </c>
      <c r="L464" s="99">
        <f>IFERROR(__xludf.DUMMYFUNCTION("""COMPUTED_VALUE"""),500000.0)</f>
        <v>500000</v>
      </c>
      <c r="M464" s="96"/>
      <c r="N464" s="96">
        <f>IFERROR(__xludf.DUMMYFUNCTION("""COMPUTED_VALUE"""),0.0)</f>
        <v>0</v>
      </c>
      <c r="O464" s="96">
        <f>IFERROR(__xludf.DUMMYFUNCTION("""COMPUTED_VALUE"""),0.0)</f>
        <v>0</v>
      </c>
      <c r="P464" s="96">
        <f>IFERROR(__xludf.DUMMYFUNCTION("""COMPUTED_VALUE"""),0.0)</f>
        <v>0</v>
      </c>
      <c r="Q464" s="129">
        <f>IFERROR(__xludf.DUMMYFUNCTION("""COMPUTED_VALUE"""),0.0)</f>
        <v>0</v>
      </c>
      <c r="R464" s="99"/>
    </row>
    <row r="465">
      <c r="A465" s="96">
        <f>IFERROR(__xludf.DUMMYFUNCTION("""COMPUTED_VALUE"""),10.0)</f>
        <v>10</v>
      </c>
      <c r="B465" s="98">
        <f>IFERROR(__xludf.DUMMYFUNCTION("""COMPUTED_VALUE"""),44110.0)</f>
        <v>44110</v>
      </c>
      <c r="C465" s="96" t="str">
        <f>IFERROR(__xludf.DUMMYFUNCTION("""COMPUTED_VALUE"""),"REMMY BODES")</f>
        <v>REMMY BODES</v>
      </c>
      <c r="D465" s="96" t="str">
        <f>IFERROR(__xludf.DUMMYFUNCTION("""COMPUTED_VALUE"""),"REMMY BODES10")</f>
        <v>REMMY BODES10</v>
      </c>
      <c r="E465" s="96"/>
      <c r="F465" s="96"/>
      <c r="G465" s="96"/>
      <c r="H465" s="96"/>
      <c r="I465" s="96"/>
      <c r="J465" s="96"/>
      <c r="K465" s="96">
        <f>IFERROR(__xludf.DUMMYFUNCTION("""COMPUTED_VALUE"""),400000.0)</f>
        <v>400000</v>
      </c>
      <c r="L465" s="99">
        <f>IFERROR(__xludf.DUMMYFUNCTION("""COMPUTED_VALUE"""),400000.0)</f>
        <v>400000</v>
      </c>
      <c r="M465" s="96"/>
      <c r="N465" s="96">
        <f>IFERROR(__xludf.DUMMYFUNCTION("""COMPUTED_VALUE"""),0.0)</f>
        <v>0</v>
      </c>
      <c r="O465" s="96">
        <f>IFERROR(__xludf.DUMMYFUNCTION("""COMPUTED_VALUE"""),0.0)</f>
        <v>0</v>
      </c>
      <c r="P465" s="96">
        <f>IFERROR(__xludf.DUMMYFUNCTION("""COMPUTED_VALUE"""),0.0)</f>
        <v>0</v>
      </c>
      <c r="Q465" s="129">
        <f>IFERROR(__xludf.DUMMYFUNCTION("""COMPUTED_VALUE"""),0.0)</f>
        <v>0</v>
      </c>
      <c r="R465" s="99"/>
    </row>
    <row r="466">
      <c r="A466" s="96">
        <f>IFERROR(__xludf.DUMMYFUNCTION("""COMPUTED_VALUE"""),1.0)</f>
        <v>1</v>
      </c>
      <c r="B466" s="98">
        <f>IFERROR(__xludf.DUMMYFUNCTION("""COMPUTED_VALUE"""),44110.0)</f>
        <v>44110</v>
      </c>
      <c r="C466" s="96" t="str">
        <f>IFERROR(__xludf.DUMMYFUNCTION("""COMPUTED_VALUE"""),"NELSON &amp; PALUS")</f>
        <v>NELSON &amp; PALUS</v>
      </c>
      <c r="D466" s="96" t="str">
        <f>IFERROR(__xludf.DUMMYFUNCTION("""COMPUTED_VALUE"""),"NELSON &amp; PALUS1")</f>
        <v>NELSON &amp; PALUS1</v>
      </c>
      <c r="E466" s="96"/>
      <c r="F466" s="96"/>
      <c r="G466" s="96"/>
      <c r="H466" s="96"/>
      <c r="I466" s="96"/>
      <c r="J466" s="96"/>
      <c r="K466" s="96">
        <f>IFERROR(__xludf.DUMMYFUNCTION("""COMPUTED_VALUE"""),23000.0)</f>
        <v>23000</v>
      </c>
      <c r="L466" s="99">
        <f>IFERROR(__xludf.DUMMYFUNCTION("""COMPUTED_VALUE"""),23000.0)</f>
        <v>23000</v>
      </c>
      <c r="M466" s="96"/>
      <c r="N466" s="96">
        <f>IFERROR(__xludf.DUMMYFUNCTION("""COMPUTED_VALUE"""),0.0)</f>
        <v>0</v>
      </c>
      <c r="O466" s="96">
        <f>IFERROR(__xludf.DUMMYFUNCTION("""COMPUTED_VALUE"""),0.0)</f>
        <v>0</v>
      </c>
      <c r="P466" s="96">
        <f>IFERROR(__xludf.DUMMYFUNCTION("""COMPUTED_VALUE"""),0.0)</f>
        <v>0</v>
      </c>
      <c r="Q466" s="129">
        <f>IFERROR(__xludf.DUMMYFUNCTION("""COMPUTED_VALUE"""),0.0)</f>
        <v>0</v>
      </c>
      <c r="R466" s="99"/>
    </row>
    <row r="467">
      <c r="A467" s="96">
        <f>IFERROR(__xludf.DUMMYFUNCTION("""COMPUTED_VALUE"""),14.0)</f>
        <v>14</v>
      </c>
      <c r="B467" s="98">
        <f>IFERROR(__xludf.DUMMYFUNCTION("""COMPUTED_VALUE"""),44111.0)</f>
        <v>44111</v>
      </c>
      <c r="C467" s="96" t="str">
        <f>IFERROR(__xludf.DUMMYFUNCTION("""COMPUTED_VALUE"""),"OTU KOKO KEIBO")</f>
        <v>OTU KOKO KEIBO</v>
      </c>
      <c r="D467" s="96" t="str">
        <f>IFERROR(__xludf.DUMMYFUNCTION("""COMPUTED_VALUE"""),"OTU KOKO KEIBO14")</f>
        <v>OTU KOKO KEIBO14</v>
      </c>
      <c r="E467" s="96"/>
      <c r="F467" s="96"/>
      <c r="G467" s="96"/>
      <c r="H467" s="96"/>
      <c r="I467" s="96"/>
      <c r="J467" s="96"/>
      <c r="K467" s="96">
        <f>IFERROR(__xludf.DUMMYFUNCTION("""COMPUTED_VALUE"""),50000.0)</f>
        <v>50000</v>
      </c>
      <c r="L467" s="99">
        <f>IFERROR(__xludf.DUMMYFUNCTION("""COMPUTED_VALUE"""),50000.0)</f>
        <v>50000</v>
      </c>
      <c r="M467" s="96"/>
      <c r="N467" s="96">
        <f>IFERROR(__xludf.DUMMYFUNCTION("""COMPUTED_VALUE"""),0.0)</f>
        <v>0</v>
      </c>
      <c r="O467" s="96">
        <f>IFERROR(__xludf.DUMMYFUNCTION("""COMPUTED_VALUE"""),0.0)</f>
        <v>0</v>
      </c>
      <c r="P467" s="96">
        <f>IFERROR(__xludf.DUMMYFUNCTION("""COMPUTED_VALUE"""),0.0)</f>
        <v>0</v>
      </c>
      <c r="Q467" s="129">
        <f>IFERROR(__xludf.DUMMYFUNCTION("""COMPUTED_VALUE"""),0.0)</f>
        <v>0</v>
      </c>
      <c r="R467" s="99"/>
    </row>
    <row r="468">
      <c r="A468" s="96">
        <f>IFERROR(__xludf.DUMMYFUNCTION("""COMPUTED_VALUE"""),1.0)</f>
        <v>1</v>
      </c>
      <c r="B468" s="98">
        <f>IFERROR(__xludf.DUMMYFUNCTION("""COMPUTED_VALUE"""),44111.0)</f>
        <v>44111</v>
      </c>
      <c r="C468" s="96" t="str">
        <f>IFERROR(__xludf.DUMMYFUNCTION("""COMPUTED_VALUE"""),"COPPA NKU")</f>
        <v>COPPA NKU</v>
      </c>
      <c r="D468" s="96" t="str">
        <f>IFERROR(__xludf.DUMMYFUNCTION("""COMPUTED_VALUE"""),"COPPA NKU1")</f>
        <v>COPPA NKU1</v>
      </c>
      <c r="E468" s="96"/>
      <c r="F468" s="96"/>
      <c r="G468" s="96"/>
      <c r="H468" s="96"/>
      <c r="I468" s="96"/>
      <c r="J468" s="96"/>
      <c r="K468" s="96">
        <f>IFERROR(__xludf.DUMMYFUNCTION("""COMPUTED_VALUE"""),300000.0)</f>
        <v>300000</v>
      </c>
      <c r="L468" s="99">
        <f>IFERROR(__xludf.DUMMYFUNCTION("""COMPUTED_VALUE"""),300000.0)</f>
        <v>300000</v>
      </c>
      <c r="M468" s="96"/>
      <c r="N468" s="96">
        <f>IFERROR(__xludf.DUMMYFUNCTION("""COMPUTED_VALUE"""),0.0)</f>
        <v>0</v>
      </c>
      <c r="O468" s="96">
        <f>IFERROR(__xludf.DUMMYFUNCTION("""COMPUTED_VALUE"""),0.0)</f>
        <v>0</v>
      </c>
      <c r="P468" s="96">
        <f>IFERROR(__xludf.DUMMYFUNCTION("""COMPUTED_VALUE"""),0.0)</f>
        <v>0</v>
      </c>
      <c r="Q468" s="129">
        <f>IFERROR(__xludf.DUMMYFUNCTION("""COMPUTED_VALUE"""),0.0)</f>
        <v>0</v>
      </c>
      <c r="R468" s="99"/>
    </row>
    <row r="469">
      <c r="A469" s="96">
        <f>IFERROR(__xludf.DUMMYFUNCTION("""COMPUTED_VALUE"""),12.0)</f>
        <v>12</v>
      </c>
      <c r="B469" s="98">
        <f>IFERROR(__xludf.DUMMYFUNCTION("""COMPUTED_VALUE"""),44111.0)</f>
        <v>44111</v>
      </c>
      <c r="C469" s="96" t="str">
        <f>IFERROR(__xludf.DUMMYFUNCTION("""COMPUTED_VALUE"""),"AUGUSTINE IGBA")</f>
        <v>AUGUSTINE IGBA</v>
      </c>
      <c r="D469" s="96" t="str">
        <f>IFERROR(__xludf.DUMMYFUNCTION("""COMPUTED_VALUE"""),"AUGUSTINE IGBA12")</f>
        <v>AUGUSTINE IGBA12</v>
      </c>
      <c r="E469" s="96"/>
      <c r="F469" s="96"/>
      <c r="G469" s="96"/>
      <c r="H469" s="96"/>
      <c r="I469" s="96"/>
      <c r="J469" s="96"/>
      <c r="K469" s="96">
        <f>IFERROR(__xludf.DUMMYFUNCTION("""COMPUTED_VALUE"""),4000000.0)</f>
        <v>4000000</v>
      </c>
      <c r="L469" s="99">
        <f>IFERROR(__xludf.DUMMYFUNCTION("""COMPUTED_VALUE"""),4000000.0)</f>
        <v>4000000</v>
      </c>
      <c r="M469" s="96"/>
      <c r="N469" s="96">
        <f>IFERROR(__xludf.DUMMYFUNCTION("""COMPUTED_VALUE"""),0.0)</f>
        <v>0</v>
      </c>
      <c r="O469" s="96">
        <f>IFERROR(__xludf.DUMMYFUNCTION("""COMPUTED_VALUE"""),0.0)</f>
        <v>0</v>
      </c>
      <c r="P469" s="96">
        <f>IFERROR(__xludf.DUMMYFUNCTION("""COMPUTED_VALUE"""),0.0)</f>
        <v>0</v>
      </c>
      <c r="Q469" s="129">
        <f>IFERROR(__xludf.DUMMYFUNCTION("""COMPUTED_VALUE"""),0.0)</f>
        <v>0</v>
      </c>
      <c r="R469" s="99"/>
    </row>
    <row r="470">
      <c r="A470" s="96">
        <f>IFERROR(__xludf.DUMMYFUNCTION("""COMPUTED_VALUE"""),19.0)</f>
        <v>19</v>
      </c>
      <c r="B470" s="98">
        <f>IFERROR(__xludf.DUMMYFUNCTION("""COMPUTED_VALUE"""),44111.0)</f>
        <v>44111</v>
      </c>
      <c r="C470" s="96" t="str">
        <f>IFERROR(__xludf.DUMMYFUNCTION("""COMPUTED_VALUE"""),"LIVINUS")</f>
        <v>LIVINUS</v>
      </c>
      <c r="D470" s="96" t="str">
        <f>IFERROR(__xludf.DUMMYFUNCTION("""COMPUTED_VALUE"""),"LIVINUS19")</f>
        <v>LIVINUS19</v>
      </c>
      <c r="E470" s="96"/>
      <c r="F470" s="96"/>
      <c r="G470" s="96"/>
      <c r="H470" s="96"/>
      <c r="I470" s="96"/>
      <c r="J470" s="96"/>
      <c r="K470" s="96">
        <f>IFERROR(__xludf.DUMMYFUNCTION("""COMPUTED_VALUE"""),620000.0)</f>
        <v>620000</v>
      </c>
      <c r="L470" s="99">
        <f>IFERROR(__xludf.DUMMYFUNCTION("""COMPUTED_VALUE"""),620000.0)</f>
        <v>620000</v>
      </c>
      <c r="M470" s="96"/>
      <c r="N470" s="96">
        <f>IFERROR(__xludf.DUMMYFUNCTION("""COMPUTED_VALUE"""),0.0)</f>
        <v>0</v>
      </c>
      <c r="O470" s="96">
        <f>IFERROR(__xludf.DUMMYFUNCTION("""COMPUTED_VALUE"""),0.0)</f>
        <v>0</v>
      </c>
      <c r="P470" s="96">
        <f>IFERROR(__xludf.DUMMYFUNCTION("""COMPUTED_VALUE"""),0.0)</f>
        <v>0</v>
      </c>
      <c r="Q470" s="129">
        <f>IFERROR(__xludf.DUMMYFUNCTION("""COMPUTED_VALUE"""),0.0)</f>
        <v>0</v>
      </c>
      <c r="R470" s="99"/>
    </row>
    <row r="471">
      <c r="A471" s="96">
        <f>IFERROR(__xludf.DUMMYFUNCTION("""COMPUTED_VALUE"""),18.0)</f>
        <v>18</v>
      </c>
      <c r="B471" s="98">
        <f>IFERROR(__xludf.DUMMYFUNCTION("""COMPUTED_VALUE"""),44111.0)</f>
        <v>44111</v>
      </c>
      <c r="C471" s="96" t="str">
        <f>IFERROR(__xludf.DUMMYFUNCTION("""COMPUTED_VALUE"""),"NDOMA BODE I.D")</f>
        <v>NDOMA BODE I.D</v>
      </c>
      <c r="D471" s="96" t="str">
        <f>IFERROR(__xludf.DUMMYFUNCTION("""COMPUTED_VALUE"""),"NDOMA BODE I.D18")</f>
        <v>NDOMA BODE I.D18</v>
      </c>
      <c r="E471" s="96"/>
      <c r="F471" s="96"/>
      <c r="G471" s="96"/>
      <c r="H471" s="96"/>
      <c r="I471" s="96"/>
      <c r="J471" s="96"/>
      <c r="K471" s="96">
        <f>IFERROR(__xludf.DUMMYFUNCTION("""COMPUTED_VALUE"""),1200000.0)</f>
        <v>1200000</v>
      </c>
      <c r="L471" s="99">
        <f>IFERROR(__xludf.DUMMYFUNCTION("""COMPUTED_VALUE"""),1200000.0)</f>
        <v>1200000</v>
      </c>
      <c r="M471" s="96"/>
      <c r="N471" s="96">
        <f>IFERROR(__xludf.DUMMYFUNCTION("""COMPUTED_VALUE"""),0.0)</f>
        <v>0</v>
      </c>
      <c r="O471" s="96">
        <f>IFERROR(__xludf.DUMMYFUNCTION("""COMPUTED_VALUE"""),0.0)</f>
        <v>0</v>
      </c>
      <c r="P471" s="96">
        <f>IFERROR(__xludf.DUMMYFUNCTION("""COMPUTED_VALUE"""),0.0)</f>
        <v>0</v>
      </c>
      <c r="Q471" s="129">
        <f>IFERROR(__xludf.DUMMYFUNCTION("""COMPUTED_VALUE"""),0.0)</f>
        <v>0</v>
      </c>
      <c r="R471" s="99"/>
    </row>
    <row r="472">
      <c r="A472" s="96">
        <f>IFERROR(__xludf.DUMMYFUNCTION("""COMPUTED_VALUE"""),10.0)</f>
        <v>10</v>
      </c>
      <c r="B472" s="98">
        <f>IFERROR(__xludf.DUMMYFUNCTION("""COMPUTED_VALUE"""),44111.0)</f>
        <v>44111</v>
      </c>
      <c r="C472" s="96" t="str">
        <f>IFERROR(__xludf.DUMMYFUNCTION("""COMPUTED_VALUE"""),"NDOMA PETER")</f>
        <v>NDOMA PETER</v>
      </c>
      <c r="D472" s="96" t="str">
        <f>IFERROR(__xludf.DUMMYFUNCTION("""COMPUTED_VALUE"""),"NDOMA PETER10")</f>
        <v>NDOMA PETER10</v>
      </c>
      <c r="E472" s="96"/>
      <c r="F472" s="96"/>
      <c r="G472" s="96"/>
      <c r="H472" s="96"/>
      <c r="I472" s="96"/>
      <c r="J472" s="96"/>
      <c r="K472" s="96">
        <f>IFERROR(__xludf.DUMMYFUNCTION("""COMPUTED_VALUE"""),900000.0)</f>
        <v>900000</v>
      </c>
      <c r="L472" s="99">
        <f>IFERROR(__xludf.DUMMYFUNCTION("""COMPUTED_VALUE"""),900000.0)</f>
        <v>900000</v>
      </c>
      <c r="M472" s="96"/>
      <c r="N472" s="96">
        <f>IFERROR(__xludf.DUMMYFUNCTION("""COMPUTED_VALUE"""),0.0)</f>
        <v>0</v>
      </c>
      <c r="O472" s="96">
        <f>IFERROR(__xludf.DUMMYFUNCTION("""COMPUTED_VALUE"""),0.0)</f>
        <v>0</v>
      </c>
      <c r="P472" s="96">
        <f>IFERROR(__xludf.DUMMYFUNCTION("""COMPUTED_VALUE"""),0.0)</f>
        <v>0</v>
      </c>
      <c r="Q472" s="129">
        <f>IFERROR(__xludf.DUMMYFUNCTION("""COMPUTED_VALUE"""),0.0)</f>
        <v>0</v>
      </c>
      <c r="R472" s="99"/>
    </row>
    <row r="473">
      <c r="A473" s="96">
        <f>IFERROR(__xludf.DUMMYFUNCTION("""COMPUTED_VALUE"""),4.0)</f>
        <v>4</v>
      </c>
      <c r="B473" s="98">
        <f>IFERROR(__xludf.DUMMYFUNCTION("""COMPUTED_VALUE"""),44111.0)</f>
        <v>44111</v>
      </c>
      <c r="C473" s="96" t="str">
        <f>IFERROR(__xludf.DUMMYFUNCTION("""COMPUTED_VALUE"""),"RI SAMP")</f>
        <v>RI SAMP</v>
      </c>
      <c r="D473" s="96" t="str">
        <f>IFERROR(__xludf.DUMMYFUNCTION("""COMPUTED_VALUE"""),"RI SAMP4")</f>
        <v>RI SAMP4</v>
      </c>
      <c r="E473" s="96"/>
      <c r="F473" s="96"/>
      <c r="G473" s="96"/>
      <c r="H473" s="96"/>
      <c r="I473" s="96"/>
      <c r="J473" s="96"/>
      <c r="K473" s="96">
        <f>IFERROR(__xludf.DUMMYFUNCTION("""COMPUTED_VALUE"""),670000.0)</f>
        <v>670000</v>
      </c>
      <c r="L473" s="99">
        <f>IFERROR(__xludf.DUMMYFUNCTION("""COMPUTED_VALUE"""),670000.0)</f>
        <v>670000</v>
      </c>
      <c r="M473" s="96"/>
      <c r="N473" s="96">
        <f>IFERROR(__xludf.DUMMYFUNCTION("""COMPUTED_VALUE"""),0.0)</f>
        <v>0</v>
      </c>
      <c r="O473" s="96">
        <f>IFERROR(__xludf.DUMMYFUNCTION("""COMPUTED_VALUE"""),0.0)</f>
        <v>0</v>
      </c>
      <c r="P473" s="96">
        <f>IFERROR(__xludf.DUMMYFUNCTION("""COMPUTED_VALUE"""),0.0)</f>
        <v>0</v>
      </c>
      <c r="Q473" s="129">
        <f>IFERROR(__xludf.DUMMYFUNCTION("""COMPUTED_VALUE"""),0.0)</f>
        <v>0</v>
      </c>
      <c r="R473" s="99"/>
    </row>
    <row r="474">
      <c r="A474" s="96">
        <f>IFERROR(__xludf.DUMMYFUNCTION("""COMPUTED_VALUE"""),3.0)</f>
        <v>3</v>
      </c>
      <c r="B474" s="98">
        <f>IFERROR(__xludf.DUMMYFUNCTION("""COMPUTED_VALUE"""),44111.0)</f>
        <v>44111</v>
      </c>
      <c r="C474" s="96" t="str">
        <f>IFERROR(__xludf.DUMMYFUNCTION("""COMPUTED_VALUE"""),"PRIN M. BOSURU")</f>
        <v>PRIN M. BOSURU</v>
      </c>
      <c r="D474" s="96" t="str">
        <f>IFERROR(__xludf.DUMMYFUNCTION("""COMPUTED_VALUE"""),"PRIN M. BOSURU3")</f>
        <v>PRIN M. BOSURU3</v>
      </c>
      <c r="E474" s="96"/>
      <c r="F474" s="96"/>
      <c r="G474" s="96"/>
      <c r="H474" s="96"/>
      <c r="I474" s="96"/>
      <c r="J474" s="96"/>
      <c r="K474" s="96">
        <f>IFERROR(__xludf.DUMMYFUNCTION("""COMPUTED_VALUE"""),620000.0)</f>
        <v>620000</v>
      </c>
      <c r="L474" s="99">
        <f>IFERROR(__xludf.DUMMYFUNCTION("""COMPUTED_VALUE"""),620000.0)</f>
        <v>620000</v>
      </c>
      <c r="M474" s="96"/>
      <c r="N474" s="96">
        <f>IFERROR(__xludf.DUMMYFUNCTION("""COMPUTED_VALUE"""),0.0)</f>
        <v>0</v>
      </c>
      <c r="O474" s="96">
        <f>IFERROR(__xludf.DUMMYFUNCTION("""COMPUTED_VALUE"""),0.0)</f>
        <v>0</v>
      </c>
      <c r="P474" s="96">
        <f>IFERROR(__xludf.DUMMYFUNCTION("""COMPUTED_VALUE"""),0.0)</f>
        <v>0</v>
      </c>
      <c r="Q474" s="129">
        <f>IFERROR(__xludf.DUMMYFUNCTION("""COMPUTED_VALUE"""),0.0)</f>
        <v>0</v>
      </c>
      <c r="R474" s="99"/>
    </row>
    <row r="475">
      <c r="A475" s="96">
        <f>IFERROR(__xludf.DUMMYFUNCTION("""COMPUTED_VALUE"""),8.0)</f>
        <v>8</v>
      </c>
      <c r="B475" s="98">
        <f>IFERROR(__xludf.DUMMYFUNCTION("""COMPUTED_VALUE"""),44111.0)</f>
        <v>44111</v>
      </c>
      <c r="C475" s="96" t="str">
        <f>IFERROR(__xludf.DUMMYFUNCTION("""COMPUTED_VALUE"""),"EUGENE")</f>
        <v>EUGENE</v>
      </c>
      <c r="D475" s="96" t="str">
        <f>IFERROR(__xludf.DUMMYFUNCTION("""COMPUTED_VALUE"""),"EUGENE8")</f>
        <v>EUGENE8</v>
      </c>
      <c r="E475" s="96"/>
      <c r="F475" s="96"/>
      <c r="G475" s="96"/>
      <c r="H475" s="96"/>
      <c r="I475" s="96"/>
      <c r="J475" s="96"/>
      <c r="K475" s="96">
        <f>IFERROR(__xludf.DUMMYFUNCTION("""COMPUTED_VALUE"""),1645900.0)</f>
        <v>1645900</v>
      </c>
      <c r="L475" s="99">
        <f>IFERROR(__xludf.DUMMYFUNCTION("""COMPUTED_VALUE"""),1645900.0)</f>
        <v>1645900</v>
      </c>
      <c r="M475" s="96"/>
      <c r="N475" s="96">
        <f>IFERROR(__xludf.DUMMYFUNCTION("""COMPUTED_VALUE"""),0.0)</f>
        <v>0</v>
      </c>
      <c r="O475" s="96">
        <f>IFERROR(__xludf.DUMMYFUNCTION("""COMPUTED_VALUE"""),0.0)</f>
        <v>0</v>
      </c>
      <c r="P475" s="96">
        <f>IFERROR(__xludf.DUMMYFUNCTION("""COMPUTED_VALUE"""),0.0)</f>
        <v>0</v>
      </c>
      <c r="Q475" s="129">
        <f>IFERROR(__xludf.DUMMYFUNCTION("""COMPUTED_VALUE"""),0.0)</f>
        <v>0</v>
      </c>
      <c r="R475" s="99"/>
    </row>
    <row r="476">
      <c r="A476" s="96">
        <f>IFERROR(__xludf.DUMMYFUNCTION("""COMPUTED_VALUE"""),19.0)</f>
        <v>19</v>
      </c>
      <c r="B476" s="98">
        <f>IFERROR(__xludf.DUMMYFUNCTION("""COMPUTED_VALUE"""),44111.0)</f>
        <v>44111</v>
      </c>
      <c r="C476" s="96" t="str">
        <f>IFERROR(__xludf.DUMMYFUNCTION("""COMPUTED_VALUE"""),"ETUK EFFI")</f>
        <v>ETUK EFFI</v>
      </c>
      <c r="D476" s="96" t="str">
        <f>IFERROR(__xludf.DUMMYFUNCTION("""COMPUTED_VALUE"""),"ETUK EFFI19")</f>
        <v>ETUK EFFI19</v>
      </c>
      <c r="E476" s="96"/>
      <c r="F476" s="96"/>
      <c r="G476" s="96"/>
      <c r="H476" s="96"/>
      <c r="I476" s="96"/>
      <c r="J476" s="96"/>
      <c r="K476" s="96">
        <f>IFERROR(__xludf.DUMMYFUNCTION("""COMPUTED_VALUE"""),1520000.0)</f>
        <v>1520000</v>
      </c>
      <c r="L476" s="99">
        <f>IFERROR(__xludf.DUMMYFUNCTION("""COMPUTED_VALUE"""),1520000.0)</f>
        <v>1520000</v>
      </c>
      <c r="M476" s="96"/>
      <c r="N476" s="96">
        <f>IFERROR(__xludf.DUMMYFUNCTION("""COMPUTED_VALUE"""),0.0)</f>
        <v>0</v>
      </c>
      <c r="O476" s="96">
        <f>IFERROR(__xludf.DUMMYFUNCTION("""COMPUTED_VALUE"""),0.0)</f>
        <v>0</v>
      </c>
      <c r="P476" s="96">
        <f>IFERROR(__xludf.DUMMYFUNCTION("""COMPUTED_VALUE"""),0.0)</f>
        <v>0</v>
      </c>
      <c r="Q476" s="129">
        <f>IFERROR(__xludf.DUMMYFUNCTION("""COMPUTED_VALUE"""),0.0)</f>
        <v>0</v>
      </c>
      <c r="R476" s="99"/>
    </row>
    <row r="477">
      <c r="A477" s="96">
        <f>IFERROR(__xludf.DUMMYFUNCTION("""COMPUTED_VALUE"""),29.0)</f>
        <v>29</v>
      </c>
      <c r="B477" s="98">
        <f>IFERROR(__xludf.DUMMYFUNCTION("""COMPUTED_VALUE"""),44111.0)</f>
        <v>44111</v>
      </c>
      <c r="C477" s="96" t="str">
        <f>IFERROR(__xludf.DUMMYFUNCTION("""COMPUTED_VALUE"""),"LYDIA HNSON ")</f>
        <v>LYDIA HNSON </v>
      </c>
      <c r="D477" s="96" t="str">
        <f>IFERROR(__xludf.DUMMYFUNCTION("""COMPUTED_VALUE"""),"LYDIA HNSON 29")</f>
        <v>LYDIA HNSON 29</v>
      </c>
      <c r="E477" s="96"/>
      <c r="F477" s="96"/>
      <c r="G477" s="96"/>
      <c r="H477" s="96"/>
      <c r="I477" s="96"/>
      <c r="J477" s="96"/>
      <c r="K477" s="96">
        <f>IFERROR(__xludf.DUMMYFUNCTION("""COMPUTED_VALUE"""),1800000.0)</f>
        <v>1800000</v>
      </c>
      <c r="L477" s="99">
        <f>IFERROR(__xludf.DUMMYFUNCTION("""COMPUTED_VALUE"""),1800000.0)</f>
        <v>1800000</v>
      </c>
      <c r="M477" s="96"/>
      <c r="N477" s="96">
        <f>IFERROR(__xludf.DUMMYFUNCTION("""COMPUTED_VALUE"""),0.0)</f>
        <v>0</v>
      </c>
      <c r="O477" s="96">
        <f>IFERROR(__xludf.DUMMYFUNCTION("""COMPUTED_VALUE"""),0.0)</f>
        <v>0</v>
      </c>
      <c r="P477" s="96">
        <f>IFERROR(__xludf.DUMMYFUNCTION("""COMPUTED_VALUE"""),0.0)</f>
        <v>0</v>
      </c>
      <c r="Q477" s="129">
        <f>IFERROR(__xludf.DUMMYFUNCTION("""COMPUTED_VALUE"""),0.0)</f>
        <v>0</v>
      </c>
      <c r="R477" s="99"/>
    </row>
    <row r="478">
      <c r="A478" s="96">
        <f>IFERROR(__xludf.DUMMYFUNCTION("""COMPUTED_VALUE"""),11.0)</f>
        <v>11</v>
      </c>
      <c r="B478" s="98">
        <f>IFERROR(__xludf.DUMMYFUNCTION("""COMPUTED_VALUE"""),44111.0)</f>
        <v>44111</v>
      </c>
      <c r="C478" s="96" t="str">
        <f>IFERROR(__xludf.DUMMYFUNCTION("""COMPUTED_VALUE"""),"REMMY BODES")</f>
        <v>REMMY BODES</v>
      </c>
      <c r="D478" s="96" t="str">
        <f>IFERROR(__xludf.DUMMYFUNCTION("""COMPUTED_VALUE"""),"REMMY BODES11")</f>
        <v>REMMY BODES11</v>
      </c>
      <c r="E478" s="96"/>
      <c r="F478" s="96"/>
      <c r="G478" s="96"/>
      <c r="H478" s="96"/>
      <c r="I478" s="96"/>
      <c r="J478" s="96"/>
      <c r="K478" s="96">
        <f>IFERROR(__xludf.DUMMYFUNCTION("""COMPUTED_VALUE"""),661500.0)</f>
        <v>661500</v>
      </c>
      <c r="L478" s="99">
        <f>IFERROR(__xludf.DUMMYFUNCTION("""COMPUTED_VALUE"""),661500.0)</f>
        <v>661500</v>
      </c>
      <c r="M478" s="96"/>
      <c r="N478" s="96">
        <f>IFERROR(__xludf.DUMMYFUNCTION("""COMPUTED_VALUE"""),0.0)</f>
        <v>0</v>
      </c>
      <c r="O478" s="96">
        <f>IFERROR(__xludf.DUMMYFUNCTION("""COMPUTED_VALUE"""),0.0)</f>
        <v>0</v>
      </c>
      <c r="P478" s="96">
        <f>IFERROR(__xludf.DUMMYFUNCTION("""COMPUTED_VALUE"""),0.0)</f>
        <v>0</v>
      </c>
      <c r="Q478" s="129">
        <f>IFERROR(__xludf.DUMMYFUNCTION("""COMPUTED_VALUE"""),0.0)</f>
        <v>0</v>
      </c>
      <c r="R478" s="99"/>
    </row>
    <row r="479">
      <c r="A479" s="96">
        <f>IFERROR(__xludf.DUMMYFUNCTION("""COMPUTED_VALUE"""),4.0)</f>
        <v>4</v>
      </c>
      <c r="B479" s="98">
        <f>IFERROR(__xludf.DUMMYFUNCTION("""COMPUTED_VALUE"""),44111.0)</f>
        <v>44111</v>
      </c>
      <c r="C479" s="96" t="str">
        <f>IFERROR(__xludf.DUMMYFUNCTION("""COMPUTED_VALUE"""),"FRANCIS KEIBO")</f>
        <v>FRANCIS KEIBO</v>
      </c>
      <c r="D479" s="96" t="str">
        <f>IFERROR(__xludf.DUMMYFUNCTION("""COMPUTED_VALUE"""),"FRANCIS KEIBO4")</f>
        <v>FRANCIS KEIBO4</v>
      </c>
      <c r="E479" s="96"/>
      <c r="F479" s="96"/>
      <c r="G479" s="96"/>
      <c r="H479" s="96"/>
      <c r="I479" s="96"/>
      <c r="J479" s="96"/>
      <c r="K479" s="96">
        <f>IFERROR(__xludf.DUMMYFUNCTION("""COMPUTED_VALUE"""),200000.0)</f>
        <v>200000</v>
      </c>
      <c r="L479" s="99">
        <f>IFERROR(__xludf.DUMMYFUNCTION("""COMPUTED_VALUE"""),200000.0)</f>
        <v>200000</v>
      </c>
      <c r="M479" s="96"/>
      <c r="N479" s="96">
        <f>IFERROR(__xludf.DUMMYFUNCTION("""COMPUTED_VALUE"""),0.0)</f>
        <v>0</v>
      </c>
      <c r="O479" s="96">
        <f>IFERROR(__xludf.DUMMYFUNCTION("""COMPUTED_VALUE"""),0.0)</f>
        <v>0</v>
      </c>
      <c r="P479" s="96">
        <f>IFERROR(__xludf.DUMMYFUNCTION("""COMPUTED_VALUE"""),0.0)</f>
        <v>0</v>
      </c>
      <c r="Q479" s="129">
        <f>IFERROR(__xludf.DUMMYFUNCTION("""COMPUTED_VALUE"""),0.0)</f>
        <v>0</v>
      </c>
      <c r="R479" s="99"/>
    </row>
    <row r="480">
      <c r="A480" s="96">
        <f>IFERROR(__xludf.DUMMYFUNCTION("""COMPUTED_VALUE"""),13.0)</f>
        <v>13</v>
      </c>
      <c r="B480" s="98">
        <f>IFERROR(__xludf.DUMMYFUNCTION("""COMPUTED_VALUE"""),44111.0)</f>
        <v>44111</v>
      </c>
      <c r="C480" s="96" t="str">
        <f>IFERROR(__xludf.DUMMYFUNCTION("""COMPUTED_VALUE"""),"AUGUSTINE IGBA")</f>
        <v>AUGUSTINE IGBA</v>
      </c>
      <c r="D480" s="96" t="str">
        <f>IFERROR(__xludf.DUMMYFUNCTION("""COMPUTED_VALUE"""),"AUGUSTINE IGBA13")</f>
        <v>AUGUSTINE IGBA13</v>
      </c>
      <c r="E480" s="96"/>
      <c r="F480" s="96"/>
      <c r="G480" s="96"/>
      <c r="H480" s="96"/>
      <c r="I480" s="96"/>
      <c r="J480" s="96"/>
      <c r="K480" s="96">
        <f>IFERROR(__xludf.DUMMYFUNCTION("""COMPUTED_VALUE"""),5000.0)</f>
        <v>5000</v>
      </c>
      <c r="L480" s="99">
        <f>IFERROR(__xludf.DUMMYFUNCTION("""COMPUTED_VALUE"""),5000.0)</f>
        <v>5000</v>
      </c>
      <c r="M480" s="96"/>
      <c r="N480" s="96">
        <f>IFERROR(__xludf.DUMMYFUNCTION("""COMPUTED_VALUE"""),0.0)</f>
        <v>0</v>
      </c>
      <c r="O480" s="96">
        <f>IFERROR(__xludf.DUMMYFUNCTION("""COMPUTED_VALUE"""),0.0)</f>
        <v>0</v>
      </c>
      <c r="P480" s="96">
        <f>IFERROR(__xludf.DUMMYFUNCTION("""COMPUTED_VALUE"""),0.0)</f>
        <v>0</v>
      </c>
      <c r="Q480" s="129">
        <f>IFERROR(__xludf.DUMMYFUNCTION("""COMPUTED_VALUE"""),0.0)</f>
        <v>0</v>
      </c>
      <c r="R480" s="99"/>
    </row>
    <row r="481">
      <c r="A481" s="96">
        <f>IFERROR(__xludf.DUMMYFUNCTION("""COMPUTED_VALUE"""),25.0)</f>
        <v>25</v>
      </c>
      <c r="B481" s="98">
        <f>IFERROR(__xludf.DUMMYFUNCTION("""COMPUTED_VALUE"""),44111.0)</f>
        <v>44111</v>
      </c>
      <c r="C481" s="96" t="str">
        <f>IFERROR(__xludf.DUMMYFUNCTION("""COMPUTED_VALUE"""),"CONNECT")</f>
        <v>CONNECT</v>
      </c>
      <c r="D481" s="96" t="str">
        <f>IFERROR(__xludf.DUMMYFUNCTION("""COMPUTED_VALUE"""),"CONNECT25")</f>
        <v>CONNECT25</v>
      </c>
      <c r="E481" s="96"/>
      <c r="F481" s="96"/>
      <c r="G481" s="96"/>
      <c r="H481" s="96"/>
      <c r="I481" s="96"/>
      <c r="J481" s="96"/>
      <c r="K481" s="96">
        <f>IFERROR(__xludf.DUMMYFUNCTION("""COMPUTED_VALUE"""),3000000.0)</f>
        <v>3000000</v>
      </c>
      <c r="L481" s="99">
        <f>IFERROR(__xludf.DUMMYFUNCTION("""COMPUTED_VALUE"""),3000000.0)</f>
        <v>3000000</v>
      </c>
      <c r="M481" s="96"/>
      <c r="N481" s="96">
        <f>IFERROR(__xludf.DUMMYFUNCTION("""COMPUTED_VALUE"""),0.0)</f>
        <v>0</v>
      </c>
      <c r="O481" s="96">
        <f>IFERROR(__xludf.DUMMYFUNCTION("""COMPUTED_VALUE"""),0.0)</f>
        <v>0</v>
      </c>
      <c r="P481" s="96">
        <f>IFERROR(__xludf.DUMMYFUNCTION("""COMPUTED_VALUE"""),0.0)</f>
        <v>0</v>
      </c>
      <c r="Q481" s="129">
        <f>IFERROR(__xludf.DUMMYFUNCTION("""COMPUTED_VALUE"""),0.0)</f>
        <v>0</v>
      </c>
      <c r="R481" s="99"/>
    </row>
    <row r="482">
      <c r="A482" s="96">
        <f>IFERROR(__xludf.DUMMYFUNCTION("""COMPUTED_VALUE"""),1.0)</f>
        <v>1</v>
      </c>
      <c r="B482" s="98">
        <f>IFERROR(__xludf.DUMMYFUNCTION("""COMPUTED_VALUE"""),44112.0)</f>
        <v>44112</v>
      </c>
      <c r="C482" s="96" t="str">
        <f>IFERROR(__xludf.DUMMYFUNCTION("""COMPUTED_VALUE"""),"ETIM SUNDAY")</f>
        <v>ETIM SUNDAY</v>
      </c>
      <c r="D482" s="96" t="str">
        <f>IFERROR(__xludf.DUMMYFUNCTION("""COMPUTED_VALUE"""),"ETIM SUNDAY1")</f>
        <v>ETIM SUNDAY1</v>
      </c>
      <c r="E482" s="96"/>
      <c r="F482" s="96"/>
      <c r="G482" s="96"/>
      <c r="H482" s="96"/>
      <c r="I482" s="96"/>
      <c r="J482" s="96"/>
      <c r="K482" s="96">
        <f>IFERROR(__xludf.DUMMYFUNCTION("""COMPUTED_VALUE"""),200000.0)</f>
        <v>200000</v>
      </c>
      <c r="L482" s="99">
        <f>IFERROR(__xludf.DUMMYFUNCTION("""COMPUTED_VALUE"""),200000.0)</f>
        <v>200000</v>
      </c>
      <c r="M482" s="96"/>
      <c r="N482" s="96">
        <f>IFERROR(__xludf.DUMMYFUNCTION("""COMPUTED_VALUE"""),0.0)</f>
        <v>0</v>
      </c>
      <c r="O482" s="96">
        <f>IFERROR(__xludf.DUMMYFUNCTION("""COMPUTED_VALUE"""),0.0)</f>
        <v>0</v>
      </c>
      <c r="P482" s="96">
        <f>IFERROR(__xludf.DUMMYFUNCTION("""COMPUTED_VALUE"""),0.0)</f>
        <v>0</v>
      </c>
      <c r="Q482" s="129">
        <f>IFERROR(__xludf.DUMMYFUNCTION("""COMPUTED_VALUE"""),0.0)</f>
        <v>0</v>
      </c>
      <c r="R482" s="99"/>
    </row>
    <row r="483">
      <c r="A483" s="96">
        <f>IFERROR(__xludf.DUMMYFUNCTION("""COMPUTED_VALUE"""),4.0)</f>
        <v>4</v>
      </c>
      <c r="B483" s="98">
        <f>IFERROR(__xludf.DUMMYFUNCTION("""COMPUTED_VALUE"""),44112.0)</f>
        <v>44112</v>
      </c>
      <c r="C483" s="96" t="str">
        <f>IFERROR(__xludf.DUMMYFUNCTION("""COMPUTED_VALUE"""),"ABANG. ORU")</f>
        <v>ABANG. ORU</v>
      </c>
      <c r="D483" s="96" t="str">
        <f>IFERROR(__xludf.DUMMYFUNCTION("""COMPUTED_VALUE"""),"ABANG. ORU4")</f>
        <v>ABANG. ORU4</v>
      </c>
      <c r="E483" s="96"/>
      <c r="F483" s="96"/>
      <c r="G483" s="96"/>
      <c r="H483" s="96"/>
      <c r="I483" s="96"/>
      <c r="J483" s="96"/>
      <c r="K483" s="96">
        <f>IFERROR(__xludf.DUMMYFUNCTION("""COMPUTED_VALUE"""),16500.0)</f>
        <v>16500</v>
      </c>
      <c r="L483" s="99">
        <f>IFERROR(__xludf.DUMMYFUNCTION("""COMPUTED_VALUE"""),16500.0)</f>
        <v>16500</v>
      </c>
      <c r="M483" s="96"/>
      <c r="N483" s="96">
        <f>IFERROR(__xludf.DUMMYFUNCTION("""COMPUTED_VALUE"""),0.0)</f>
        <v>0</v>
      </c>
      <c r="O483" s="96">
        <f>IFERROR(__xludf.DUMMYFUNCTION("""COMPUTED_VALUE"""),0.0)</f>
        <v>0</v>
      </c>
      <c r="P483" s="96">
        <f>IFERROR(__xludf.DUMMYFUNCTION("""COMPUTED_VALUE"""),0.0)</f>
        <v>0</v>
      </c>
      <c r="Q483" s="129">
        <f>IFERROR(__xludf.DUMMYFUNCTION("""COMPUTED_VALUE"""),0.0)</f>
        <v>0</v>
      </c>
      <c r="R483" s="99"/>
    </row>
    <row r="484">
      <c r="A484" s="96">
        <f>IFERROR(__xludf.DUMMYFUNCTION("""COMPUTED_VALUE"""),6.0)</f>
        <v>6</v>
      </c>
      <c r="B484" s="98">
        <f>IFERROR(__xludf.DUMMYFUNCTION("""COMPUTED_VALUE"""),44112.0)</f>
        <v>44112</v>
      </c>
      <c r="C484" s="96" t="str">
        <f>IFERROR(__xludf.DUMMYFUNCTION("""COMPUTED_VALUE"""),"AGEGE BOY")</f>
        <v>AGEGE BOY</v>
      </c>
      <c r="D484" s="96" t="str">
        <f>IFERROR(__xludf.DUMMYFUNCTION("""COMPUTED_VALUE"""),"AGEGE BOY6")</f>
        <v>AGEGE BOY6</v>
      </c>
      <c r="E484" s="96"/>
      <c r="F484" s="96"/>
      <c r="G484" s="96"/>
      <c r="H484" s="96"/>
      <c r="I484" s="96"/>
      <c r="J484" s="96"/>
      <c r="K484" s="96">
        <f>IFERROR(__xludf.DUMMYFUNCTION("""COMPUTED_VALUE"""),10000.0)</f>
        <v>10000</v>
      </c>
      <c r="L484" s="99">
        <f>IFERROR(__xludf.DUMMYFUNCTION("""COMPUTED_VALUE"""),10000.0)</f>
        <v>10000</v>
      </c>
      <c r="M484" s="96"/>
      <c r="N484" s="96">
        <f>IFERROR(__xludf.DUMMYFUNCTION("""COMPUTED_VALUE"""),0.0)</f>
        <v>0</v>
      </c>
      <c r="O484" s="96">
        <f>IFERROR(__xludf.DUMMYFUNCTION("""COMPUTED_VALUE"""),0.0)</f>
        <v>0</v>
      </c>
      <c r="P484" s="96">
        <f>IFERROR(__xludf.DUMMYFUNCTION("""COMPUTED_VALUE"""),0.0)</f>
        <v>0</v>
      </c>
      <c r="Q484" s="129">
        <f>IFERROR(__xludf.DUMMYFUNCTION("""COMPUTED_VALUE"""),0.0)</f>
        <v>0</v>
      </c>
      <c r="R484" s="99"/>
    </row>
    <row r="485">
      <c r="A485" s="96">
        <f>IFERROR(__xludf.DUMMYFUNCTION("""COMPUTED_VALUE"""),4.0)</f>
        <v>4</v>
      </c>
      <c r="B485" s="98">
        <f>IFERROR(__xludf.DUMMYFUNCTION("""COMPUTED_VALUE"""),44112.0)</f>
        <v>44112</v>
      </c>
      <c r="C485" s="96" t="str">
        <f>IFERROR(__xludf.DUMMYFUNCTION("""COMPUTED_VALUE"""),"CHINWE CHIDI")</f>
        <v>CHINWE CHIDI</v>
      </c>
      <c r="D485" s="96" t="str">
        <f>IFERROR(__xludf.DUMMYFUNCTION("""COMPUTED_VALUE"""),"CHINWE CHIDI4")</f>
        <v>CHINWE CHIDI4</v>
      </c>
      <c r="E485" s="96"/>
      <c r="F485" s="96"/>
      <c r="G485" s="96"/>
      <c r="H485" s="96"/>
      <c r="I485" s="96"/>
      <c r="J485" s="96"/>
      <c r="K485" s="96">
        <f>IFERROR(__xludf.DUMMYFUNCTION("""COMPUTED_VALUE"""),1439300.0)</f>
        <v>1439300</v>
      </c>
      <c r="L485" s="99">
        <f>IFERROR(__xludf.DUMMYFUNCTION("""COMPUTED_VALUE"""),1439300.0)</f>
        <v>1439300</v>
      </c>
      <c r="M485" s="96"/>
      <c r="N485" s="96">
        <f>IFERROR(__xludf.DUMMYFUNCTION("""COMPUTED_VALUE"""),0.0)</f>
        <v>0</v>
      </c>
      <c r="O485" s="96">
        <f>IFERROR(__xludf.DUMMYFUNCTION("""COMPUTED_VALUE"""),0.0)</f>
        <v>0</v>
      </c>
      <c r="P485" s="96">
        <f>IFERROR(__xludf.DUMMYFUNCTION("""COMPUTED_VALUE"""),0.0)</f>
        <v>0</v>
      </c>
      <c r="Q485" s="129">
        <f>IFERROR(__xludf.DUMMYFUNCTION("""COMPUTED_VALUE"""),0.0)</f>
        <v>0</v>
      </c>
      <c r="R485" s="99"/>
    </row>
    <row r="486">
      <c r="A486" s="96">
        <f>IFERROR(__xludf.DUMMYFUNCTION("""COMPUTED_VALUE"""),5.0)</f>
        <v>5</v>
      </c>
      <c r="B486" s="98">
        <f>IFERROR(__xludf.DUMMYFUNCTION("""COMPUTED_VALUE"""),44112.0)</f>
        <v>44112</v>
      </c>
      <c r="C486" s="96" t="str">
        <f>IFERROR(__xludf.DUMMYFUNCTION("""COMPUTED_VALUE"""),"R.  MAXWELL AGRO")</f>
        <v>R.  MAXWELL AGRO</v>
      </c>
      <c r="D486" s="96" t="str">
        <f>IFERROR(__xludf.DUMMYFUNCTION("""COMPUTED_VALUE"""),"R.  MAXWELL AGRO5")</f>
        <v>R.  MAXWELL AGRO5</v>
      </c>
      <c r="E486" s="96"/>
      <c r="F486" s="96"/>
      <c r="G486" s="96"/>
      <c r="H486" s="96"/>
      <c r="I486" s="96"/>
      <c r="J486" s="96"/>
      <c r="K486" s="96">
        <f>IFERROR(__xludf.DUMMYFUNCTION("""COMPUTED_VALUE"""),5000.0)</f>
        <v>5000</v>
      </c>
      <c r="L486" s="99">
        <f>IFERROR(__xludf.DUMMYFUNCTION("""COMPUTED_VALUE"""),5000.0)</f>
        <v>5000</v>
      </c>
      <c r="M486" s="96"/>
      <c r="N486" s="96">
        <f>IFERROR(__xludf.DUMMYFUNCTION("""COMPUTED_VALUE"""),0.0)</f>
        <v>0</v>
      </c>
      <c r="O486" s="96">
        <f>IFERROR(__xludf.DUMMYFUNCTION("""COMPUTED_VALUE"""),0.0)</f>
        <v>0</v>
      </c>
      <c r="P486" s="96">
        <f>IFERROR(__xludf.DUMMYFUNCTION("""COMPUTED_VALUE"""),0.0)</f>
        <v>0</v>
      </c>
      <c r="Q486" s="129">
        <f>IFERROR(__xludf.DUMMYFUNCTION("""COMPUTED_VALUE"""),0.0)</f>
        <v>0</v>
      </c>
      <c r="R486" s="99"/>
    </row>
    <row r="487">
      <c r="A487" s="96">
        <f>IFERROR(__xludf.DUMMYFUNCTION("""COMPUTED_VALUE"""),8.0)</f>
        <v>8</v>
      </c>
      <c r="B487" s="98">
        <f>IFERROR(__xludf.DUMMYFUNCTION("""COMPUTED_VALUE"""),44113.0)</f>
        <v>44113</v>
      </c>
      <c r="C487" s="96" t="str">
        <f>IFERROR(__xludf.DUMMYFUNCTION("""COMPUTED_VALUE"""),"PRINNESS")</f>
        <v>PRINNESS</v>
      </c>
      <c r="D487" s="96" t="str">
        <f>IFERROR(__xludf.DUMMYFUNCTION("""COMPUTED_VALUE"""),"PRINNESS8")</f>
        <v>PRINNESS8</v>
      </c>
      <c r="E487" s="96"/>
      <c r="F487" s="96"/>
      <c r="G487" s="96"/>
      <c r="H487" s="96"/>
      <c r="I487" s="96"/>
      <c r="J487" s="96"/>
      <c r="K487" s="96">
        <f>IFERROR(__xludf.DUMMYFUNCTION("""COMPUTED_VALUE"""),400000.0)</f>
        <v>400000</v>
      </c>
      <c r="L487" s="99">
        <f>IFERROR(__xludf.DUMMYFUNCTION("""COMPUTED_VALUE"""),400000.0)</f>
        <v>400000</v>
      </c>
      <c r="M487" s="96"/>
      <c r="N487" s="96">
        <f>IFERROR(__xludf.DUMMYFUNCTION("""COMPUTED_VALUE"""),0.0)</f>
        <v>0</v>
      </c>
      <c r="O487" s="96">
        <f>IFERROR(__xludf.DUMMYFUNCTION("""COMPUTED_VALUE"""),0.0)</f>
        <v>0</v>
      </c>
      <c r="P487" s="96">
        <f>IFERROR(__xludf.DUMMYFUNCTION("""COMPUTED_VALUE"""),0.0)</f>
        <v>0</v>
      </c>
      <c r="Q487" s="129">
        <f>IFERROR(__xludf.DUMMYFUNCTION("""COMPUTED_VALUE"""),0.0)</f>
        <v>0</v>
      </c>
      <c r="R487" s="99"/>
    </row>
    <row r="488">
      <c r="A488" s="96">
        <f>IFERROR(__xludf.DUMMYFUNCTION("""COMPUTED_VALUE"""),20.0)</f>
        <v>20</v>
      </c>
      <c r="B488" s="98">
        <f>IFERROR(__xludf.DUMMYFUNCTION("""COMPUTED_VALUE"""),44113.0)</f>
        <v>44113</v>
      </c>
      <c r="C488" s="96" t="str">
        <f>IFERROR(__xludf.DUMMYFUNCTION("""COMPUTED_VALUE"""),"LIVINUS")</f>
        <v>LIVINUS</v>
      </c>
      <c r="D488" s="96" t="str">
        <f>IFERROR(__xludf.DUMMYFUNCTION("""COMPUTED_VALUE"""),"LIVINUS20")</f>
        <v>LIVINUS20</v>
      </c>
      <c r="E488" s="96"/>
      <c r="F488" s="96"/>
      <c r="G488" s="96"/>
      <c r="H488" s="96"/>
      <c r="I488" s="96"/>
      <c r="J488" s="96"/>
      <c r="K488" s="96">
        <f>IFERROR(__xludf.DUMMYFUNCTION("""COMPUTED_VALUE"""),300000.0)</f>
        <v>300000</v>
      </c>
      <c r="L488" s="99">
        <f>IFERROR(__xludf.DUMMYFUNCTION("""COMPUTED_VALUE"""),300000.0)</f>
        <v>300000</v>
      </c>
      <c r="M488" s="96"/>
      <c r="N488" s="96">
        <f>IFERROR(__xludf.DUMMYFUNCTION("""COMPUTED_VALUE"""),0.0)</f>
        <v>0</v>
      </c>
      <c r="O488" s="96">
        <f>IFERROR(__xludf.DUMMYFUNCTION("""COMPUTED_VALUE"""),0.0)</f>
        <v>0</v>
      </c>
      <c r="P488" s="96">
        <f>IFERROR(__xludf.DUMMYFUNCTION("""COMPUTED_VALUE"""),0.0)</f>
        <v>0</v>
      </c>
      <c r="Q488" s="129">
        <f>IFERROR(__xludf.DUMMYFUNCTION("""COMPUTED_VALUE"""),0.0)</f>
        <v>0</v>
      </c>
      <c r="R488" s="99"/>
    </row>
    <row r="489">
      <c r="A489" s="96">
        <f>IFERROR(__xludf.DUMMYFUNCTION("""COMPUTED_VALUE"""),6.0)</f>
        <v>6</v>
      </c>
      <c r="B489" s="98">
        <f>IFERROR(__xludf.DUMMYFUNCTION("""COMPUTED_VALUE"""),44113.0)</f>
        <v>44113</v>
      </c>
      <c r="C489" s="96" t="str">
        <f>IFERROR(__xludf.DUMMYFUNCTION("""COMPUTED_VALUE"""),"NDOMA PRIN")</f>
        <v>NDOMA PRIN</v>
      </c>
      <c r="D489" s="96" t="str">
        <f>IFERROR(__xludf.DUMMYFUNCTION("""COMPUTED_VALUE"""),"NDOMA PRIN6")</f>
        <v>NDOMA PRIN6</v>
      </c>
      <c r="E489" s="96"/>
      <c r="F489" s="96"/>
      <c r="G489" s="96"/>
      <c r="H489" s="96"/>
      <c r="I489" s="96"/>
      <c r="J489" s="96"/>
      <c r="K489" s="96">
        <f>IFERROR(__xludf.DUMMYFUNCTION("""COMPUTED_VALUE"""),300000.0)</f>
        <v>300000</v>
      </c>
      <c r="L489" s="99">
        <f>IFERROR(__xludf.DUMMYFUNCTION("""COMPUTED_VALUE"""),300000.0)</f>
        <v>300000</v>
      </c>
      <c r="M489" s="96"/>
      <c r="N489" s="96">
        <f>IFERROR(__xludf.DUMMYFUNCTION("""COMPUTED_VALUE"""),0.0)</f>
        <v>0</v>
      </c>
      <c r="O489" s="96">
        <f>IFERROR(__xludf.DUMMYFUNCTION("""COMPUTED_VALUE"""),0.0)</f>
        <v>0</v>
      </c>
      <c r="P489" s="96">
        <f>IFERROR(__xludf.DUMMYFUNCTION("""COMPUTED_VALUE"""),0.0)</f>
        <v>0</v>
      </c>
      <c r="Q489" s="129">
        <f>IFERROR(__xludf.DUMMYFUNCTION("""COMPUTED_VALUE"""),0.0)</f>
        <v>0</v>
      </c>
      <c r="R489" s="99"/>
    </row>
    <row r="490">
      <c r="A490" s="96">
        <f>IFERROR(__xludf.DUMMYFUNCTION("""COMPUTED_VALUE"""),21.0)</f>
        <v>21</v>
      </c>
      <c r="B490" s="98">
        <f>IFERROR(__xludf.DUMMYFUNCTION("""COMPUTED_VALUE"""),44113.0)</f>
        <v>44113</v>
      </c>
      <c r="C490" s="96" t="str">
        <f>IFERROR(__xludf.DUMMYFUNCTION("""COMPUTED_VALUE"""),"BOSURU  BOSURU")</f>
        <v>BOSURU  BOSURU</v>
      </c>
      <c r="D490" s="96" t="str">
        <f>IFERROR(__xludf.DUMMYFUNCTION("""COMPUTED_VALUE"""),"BOSURU  BOSURU21")</f>
        <v>BOSURU  BOSURU21</v>
      </c>
      <c r="E490" s="96"/>
      <c r="F490" s="96"/>
      <c r="G490" s="96"/>
      <c r="H490" s="96"/>
      <c r="I490" s="96"/>
      <c r="J490" s="96"/>
      <c r="K490" s="96">
        <f>IFERROR(__xludf.DUMMYFUNCTION("""COMPUTED_VALUE"""),250000.0)</f>
        <v>250000</v>
      </c>
      <c r="L490" s="99">
        <f>IFERROR(__xludf.DUMMYFUNCTION("""COMPUTED_VALUE"""),250000.0)</f>
        <v>250000</v>
      </c>
      <c r="M490" s="96"/>
      <c r="N490" s="96">
        <f>IFERROR(__xludf.DUMMYFUNCTION("""COMPUTED_VALUE"""),0.0)</f>
        <v>0</v>
      </c>
      <c r="O490" s="96">
        <f>IFERROR(__xludf.DUMMYFUNCTION("""COMPUTED_VALUE"""),0.0)</f>
        <v>0</v>
      </c>
      <c r="P490" s="96">
        <f>IFERROR(__xludf.DUMMYFUNCTION("""COMPUTED_VALUE"""),0.0)</f>
        <v>0</v>
      </c>
      <c r="Q490" s="129">
        <f>IFERROR(__xludf.DUMMYFUNCTION("""COMPUTED_VALUE"""),0.0)</f>
        <v>0</v>
      </c>
      <c r="R490" s="99"/>
    </row>
    <row r="491">
      <c r="A491" s="96">
        <f>IFERROR(__xludf.DUMMYFUNCTION("""COMPUTED_VALUE"""),1.0)</f>
        <v>1</v>
      </c>
      <c r="B491" s="98">
        <f>IFERROR(__xludf.DUMMYFUNCTION("""COMPUTED_VALUE"""),44113.0)</f>
        <v>44113</v>
      </c>
      <c r="C491" s="96" t="str">
        <f>IFERROR(__xludf.DUMMYFUNCTION("""COMPUTED_VALUE"""),"MATIAT Y")</f>
        <v>MATIAT Y</v>
      </c>
      <c r="D491" s="96" t="str">
        <f>IFERROR(__xludf.DUMMYFUNCTION("""COMPUTED_VALUE"""),"MATIAT Y1")</f>
        <v>MATIAT Y1</v>
      </c>
      <c r="E491" s="96"/>
      <c r="F491" s="96"/>
      <c r="G491" s="96"/>
      <c r="H491" s="96"/>
      <c r="I491" s="96"/>
      <c r="J491" s="96"/>
      <c r="K491" s="96">
        <f>IFERROR(__xludf.DUMMYFUNCTION("""COMPUTED_VALUE"""),1200000.0)</f>
        <v>1200000</v>
      </c>
      <c r="L491" s="99">
        <f>IFERROR(__xludf.DUMMYFUNCTION("""COMPUTED_VALUE"""),1200000.0)</f>
        <v>1200000</v>
      </c>
      <c r="M491" s="96"/>
      <c r="N491" s="96">
        <f>IFERROR(__xludf.DUMMYFUNCTION("""COMPUTED_VALUE"""),0.0)</f>
        <v>0</v>
      </c>
      <c r="O491" s="96">
        <f>IFERROR(__xludf.DUMMYFUNCTION("""COMPUTED_VALUE"""),0.0)</f>
        <v>0</v>
      </c>
      <c r="P491" s="96">
        <f>IFERROR(__xludf.DUMMYFUNCTION("""COMPUTED_VALUE"""),0.0)</f>
        <v>0</v>
      </c>
      <c r="Q491" s="129">
        <f>IFERROR(__xludf.DUMMYFUNCTION("""COMPUTED_VALUE"""),0.0)</f>
        <v>0</v>
      </c>
      <c r="R491" s="99"/>
    </row>
    <row r="492">
      <c r="A492" s="96">
        <f>IFERROR(__xludf.DUMMYFUNCTION("""COMPUTED_VALUE"""),13.0)</f>
        <v>13</v>
      </c>
      <c r="B492" s="98">
        <f>IFERROR(__xludf.DUMMYFUNCTION("""COMPUTED_VALUE"""),44113.0)</f>
        <v>44113</v>
      </c>
      <c r="C492" s="96" t="str">
        <f>IFERROR(__xludf.DUMMYFUNCTION("""COMPUTED_VALUE"""),"ALFRED ALABI")</f>
        <v>ALFRED ALABI</v>
      </c>
      <c r="D492" s="96" t="str">
        <f>IFERROR(__xludf.DUMMYFUNCTION("""COMPUTED_VALUE"""),"ALFRED ALABI13")</f>
        <v>ALFRED ALABI13</v>
      </c>
      <c r="E492" s="96"/>
      <c r="F492" s="96"/>
      <c r="G492" s="96"/>
      <c r="H492" s="96"/>
      <c r="I492" s="96"/>
      <c r="J492" s="96"/>
      <c r="K492" s="96">
        <f>IFERROR(__xludf.DUMMYFUNCTION("""COMPUTED_VALUE"""),6000.0)</f>
        <v>6000</v>
      </c>
      <c r="L492" s="99">
        <f>IFERROR(__xludf.DUMMYFUNCTION("""COMPUTED_VALUE"""),6000.0)</f>
        <v>6000</v>
      </c>
      <c r="M492" s="96"/>
      <c r="N492" s="96">
        <f>IFERROR(__xludf.DUMMYFUNCTION("""COMPUTED_VALUE"""),0.0)</f>
        <v>0</v>
      </c>
      <c r="O492" s="96">
        <f>IFERROR(__xludf.DUMMYFUNCTION("""COMPUTED_VALUE"""),0.0)</f>
        <v>0</v>
      </c>
      <c r="P492" s="96">
        <f>IFERROR(__xludf.DUMMYFUNCTION("""COMPUTED_VALUE"""),0.0)</f>
        <v>0</v>
      </c>
      <c r="Q492" s="129">
        <f>IFERROR(__xludf.DUMMYFUNCTION("""COMPUTED_VALUE"""),0.0)</f>
        <v>0</v>
      </c>
      <c r="R492" s="99"/>
    </row>
    <row r="493">
      <c r="A493" s="96">
        <f>IFERROR(__xludf.DUMMYFUNCTION("""COMPUTED_VALUE"""),22.0)</f>
        <v>22</v>
      </c>
      <c r="B493" s="98">
        <f>IFERROR(__xludf.DUMMYFUNCTION("""COMPUTED_VALUE"""),44113.0)</f>
        <v>44113</v>
      </c>
      <c r="C493" s="96" t="str">
        <f>IFERROR(__xludf.DUMMYFUNCTION("""COMPUTED_VALUE"""),"BOSURU  BOSURU")</f>
        <v>BOSURU  BOSURU</v>
      </c>
      <c r="D493" s="96" t="str">
        <f>IFERROR(__xludf.DUMMYFUNCTION("""COMPUTED_VALUE"""),"BOSURU  BOSURU22")</f>
        <v>BOSURU  BOSURU22</v>
      </c>
      <c r="E493" s="96"/>
      <c r="F493" s="96"/>
      <c r="G493" s="96"/>
      <c r="H493" s="96"/>
      <c r="I493" s="96"/>
      <c r="J493" s="96"/>
      <c r="K493" s="96">
        <f>IFERROR(__xludf.DUMMYFUNCTION("""COMPUTED_VALUE"""),1661000.0)</f>
        <v>1661000</v>
      </c>
      <c r="L493" s="99">
        <f>IFERROR(__xludf.DUMMYFUNCTION("""COMPUTED_VALUE"""),1661000.0)</f>
        <v>1661000</v>
      </c>
      <c r="M493" s="96"/>
      <c r="N493" s="96">
        <f>IFERROR(__xludf.DUMMYFUNCTION("""COMPUTED_VALUE"""),0.0)</f>
        <v>0</v>
      </c>
      <c r="O493" s="96">
        <f>IFERROR(__xludf.DUMMYFUNCTION("""COMPUTED_VALUE"""),0.0)</f>
        <v>0</v>
      </c>
      <c r="P493" s="96">
        <f>IFERROR(__xludf.DUMMYFUNCTION("""COMPUTED_VALUE"""),0.0)</f>
        <v>0</v>
      </c>
      <c r="Q493" s="129">
        <f>IFERROR(__xludf.DUMMYFUNCTION("""COMPUTED_VALUE"""),0.0)</f>
        <v>0</v>
      </c>
      <c r="R493" s="99"/>
    </row>
    <row r="494">
      <c r="A494" s="96">
        <f>IFERROR(__xludf.DUMMYFUNCTION("""COMPUTED_VALUE"""),1.0)</f>
        <v>1</v>
      </c>
      <c r="B494" s="98">
        <f>IFERROR(__xludf.DUMMYFUNCTION("""COMPUTED_VALUE"""),44113.0)</f>
        <v>44113</v>
      </c>
      <c r="C494" s="96" t="str">
        <f>IFERROR(__xludf.DUMMYFUNCTION("""COMPUTED_VALUE"""),"SAMUEL KEIBO")</f>
        <v>SAMUEL KEIBO</v>
      </c>
      <c r="D494" s="96" t="str">
        <f>IFERROR(__xludf.DUMMYFUNCTION("""COMPUTED_VALUE"""),"SAMUEL KEIBO1")</f>
        <v>SAMUEL KEIBO1</v>
      </c>
      <c r="E494" s="96"/>
      <c r="F494" s="96"/>
      <c r="G494" s="96"/>
      <c r="H494" s="96"/>
      <c r="I494" s="96"/>
      <c r="J494" s="96"/>
      <c r="K494" s="96">
        <f>IFERROR(__xludf.DUMMYFUNCTION("""COMPUTED_VALUE"""),570000.0)</f>
        <v>570000</v>
      </c>
      <c r="L494" s="99">
        <f>IFERROR(__xludf.DUMMYFUNCTION("""COMPUTED_VALUE"""),570000.0)</f>
        <v>570000</v>
      </c>
      <c r="M494" s="96"/>
      <c r="N494" s="96">
        <f>IFERROR(__xludf.DUMMYFUNCTION("""COMPUTED_VALUE"""),0.0)</f>
        <v>0</v>
      </c>
      <c r="O494" s="96">
        <f>IFERROR(__xludf.DUMMYFUNCTION("""COMPUTED_VALUE"""),0.0)</f>
        <v>0</v>
      </c>
      <c r="P494" s="96">
        <f>IFERROR(__xludf.DUMMYFUNCTION("""COMPUTED_VALUE"""),0.0)</f>
        <v>0</v>
      </c>
      <c r="Q494" s="129">
        <f>IFERROR(__xludf.DUMMYFUNCTION("""COMPUTED_VALUE"""),0.0)</f>
        <v>0</v>
      </c>
      <c r="R494" s="99"/>
    </row>
    <row r="495">
      <c r="A495" s="96">
        <f>IFERROR(__xludf.DUMMYFUNCTION("""COMPUTED_VALUE"""),7.0)</f>
        <v>7</v>
      </c>
      <c r="B495" s="98">
        <f>IFERROR(__xludf.DUMMYFUNCTION("""COMPUTED_VALUE"""),44113.0)</f>
        <v>44113</v>
      </c>
      <c r="C495" s="96" t="str">
        <f>IFERROR(__xludf.DUMMYFUNCTION("""COMPUTED_VALUE"""),"AGEGE BOY")</f>
        <v>AGEGE BOY</v>
      </c>
      <c r="D495" s="96" t="str">
        <f>IFERROR(__xludf.DUMMYFUNCTION("""COMPUTED_VALUE"""),"AGEGE BOY7")</f>
        <v>AGEGE BOY7</v>
      </c>
      <c r="E495" s="96"/>
      <c r="F495" s="96"/>
      <c r="G495" s="96"/>
      <c r="H495" s="96"/>
      <c r="I495" s="96"/>
      <c r="J495" s="96"/>
      <c r="K495" s="96">
        <f>IFERROR(__xludf.DUMMYFUNCTION("""COMPUTED_VALUE"""),1780700.0)</f>
        <v>1780700</v>
      </c>
      <c r="L495" s="99">
        <f>IFERROR(__xludf.DUMMYFUNCTION("""COMPUTED_VALUE"""),1780700.0)</f>
        <v>1780700</v>
      </c>
      <c r="M495" s="96"/>
      <c r="N495" s="96">
        <f>IFERROR(__xludf.DUMMYFUNCTION("""COMPUTED_VALUE"""),0.0)</f>
        <v>0</v>
      </c>
      <c r="O495" s="96">
        <f>IFERROR(__xludf.DUMMYFUNCTION("""COMPUTED_VALUE"""),0.0)</f>
        <v>0</v>
      </c>
      <c r="P495" s="96">
        <f>IFERROR(__xludf.DUMMYFUNCTION("""COMPUTED_VALUE"""),0.0)</f>
        <v>0</v>
      </c>
      <c r="Q495" s="129">
        <f>IFERROR(__xludf.DUMMYFUNCTION("""COMPUTED_VALUE"""),0.0)</f>
        <v>0</v>
      </c>
      <c r="R495" s="99"/>
    </row>
    <row r="496">
      <c r="A496" s="96">
        <f>IFERROR(__xludf.DUMMYFUNCTION("""COMPUTED_VALUE"""),15.0)</f>
        <v>15</v>
      </c>
      <c r="B496" s="98">
        <f>IFERROR(__xludf.DUMMYFUNCTION("""COMPUTED_VALUE"""),44114.0)</f>
        <v>44114</v>
      </c>
      <c r="C496" s="96" t="str">
        <f>IFERROR(__xludf.DUMMYFUNCTION("""COMPUTED_VALUE"""),"OTU KOKO KEIBO")</f>
        <v>OTU KOKO KEIBO</v>
      </c>
      <c r="D496" s="96" t="str">
        <f>IFERROR(__xludf.DUMMYFUNCTION("""COMPUTED_VALUE"""),"OTU KOKO KEIBO15")</f>
        <v>OTU KOKO KEIBO15</v>
      </c>
      <c r="E496" s="96"/>
      <c r="F496" s="96"/>
      <c r="G496" s="96"/>
      <c r="H496" s="96"/>
      <c r="I496" s="96"/>
      <c r="J496" s="96"/>
      <c r="K496" s="96">
        <f>IFERROR(__xludf.DUMMYFUNCTION("""COMPUTED_VALUE"""),800000.0)</f>
        <v>800000</v>
      </c>
      <c r="L496" s="99">
        <f>IFERROR(__xludf.DUMMYFUNCTION("""COMPUTED_VALUE"""),800000.0)</f>
        <v>800000</v>
      </c>
      <c r="M496" s="96"/>
      <c r="N496" s="96">
        <f>IFERROR(__xludf.DUMMYFUNCTION("""COMPUTED_VALUE"""),0.0)</f>
        <v>0</v>
      </c>
      <c r="O496" s="96">
        <f>IFERROR(__xludf.DUMMYFUNCTION("""COMPUTED_VALUE"""),0.0)</f>
        <v>0</v>
      </c>
      <c r="P496" s="96">
        <f>IFERROR(__xludf.DUMMYFUNCTION("""COMPUTED_VALUE"""),0.0)</f>
        <v>0</v>
      </c>
      <c r="Q496" s="129">
        <f>IFERROR(__xludf.DUMMYFUNCTION("""COMPUTED_VALUE"""),0.0)</f>
        <v>0</v>
      </c>
      <c r="R496" s="99"/>
    </row>
    <row r="497">
      <c r="A497" s="96">
        <f>IFERROR(__xludf.DUMMYFUNCTION("""COMPUTED_VALUE"""),16.0)</f>
        <v>16</v>
      </c>
      <c r="B497" s="98">
        <f>IFERROR(__xludf.DUMMYFUNCTION("""COMPUTED_VALUE"""),44114.0)</f>
        <v>44114</v>
      </c>
      <c r="C497" s="96" t="str">
        <f>IFERROR(__xludf.DUMMYFUNCTION("""COMPUTED_VALUE"""),"OTU KOKO KEIBO")</f>
        <v>OTU KOKO KEIBO</v>
      </c>
      <c r="D497" s="96" t="str">
        <f>IFERROR(__xludf.DUMMYFUNCTION("""COMPUTED_VALUE"""),"OTU KOKO KEIBO16")</f>
        <v>OTU KOKO KEIBO16</v>
      </c>
      <c r="E497" s="96"/>
      <c r="F497" s="96"/>
      <c r="G497" s="96"/>
      <c r="H497" s="96"/>
      <c r="I497" s="96"/>
      <c r="J497" s="96"/>
      <c r="K497" s="96">
        <f>IFERROR(__xludf.DUMMYFUNCTION("""COMPUTED_VALUE"""),800000.0)</f>
        <v>800000</v>
      </c>
      <c r="L497" s="99">
        <f>IFERROR(__xludf.DUMMYFUNCTION("""COMPUTED_VALUE"""),800000.0)</f>
        <v>800000</v>
      </c>
      <c r="M497" s="96"/>
      <c r="N497" s="96">
        <f>IFERROR(__xludf.DUMMYFUNCTION("""COMPUTED_VALUE"""),0.0)</f>
        <v>0</v>
      </c>
      <c r="O497" s="96">
        <f>IFERROR(__xludf.DUMMYFUNCTION("""COMPUTED_VALUE"""),0.0)</f>
        <v>0</v>
      </c>
      <c r="P497" s="96">
        <f>IFERROR(__xludf.DUMMYFUNCTION("""COMPUTED_VALUE"""),0.0)</f>
        <v>0</v>
      </c>
      <c r="Q497" s="129">
        <f>IFERROR(__xludf.DUMMYFUNCTION("""COMPUTED_VALUE"""),0.0)</f>
        <v>0</v>
      </c>
      <c r="R497" s="99"/>
    </row>
    <row r="498">
      <c r="A498" s="96">
        <f>IFERROR(__xludf.DUMMYFUNCTION("""COMPUTED_VALUE"""),6.0)</f>
        <v>6</v>
      </c>
      <c r="B498" s="98">
        <f>IFERROR(__xludf.DUMMYFUNCTION("""COMPUTED_VALUE"""),44114.0)</f>
        <v>44114</v>
      </c>
      <c r="C498" s="96" t="str">
        <f>IFERROR(__xludf.DUMMYFUNCTION("""COMPUTED_VALUE"""),"R.  MAXWELL AGRO")</f>
        <v>R.  MAXWELL AGRO</v>
      </c>
      <c r="D498" s="96" t="str">
        <f>IFERROR(__xludf.DUMMYFUNCTION("""COMPUTED_VALUE"""),"R.  MAXWELL AGRO6")</f>
        <v>R.  MAXWELL AGRO6</v>
      </c>
      <c r="E498" s="96"/>
      <c r="F498" s="96"/>
      <c r="G498" s="96"/>
      <c r="H498" s="96"/>
      <c r="I498" s="96"/>
      <c r="J498" s="96"/>
      <c r="K498" s="96">
        <f>IFERROR(__xludf.DUMMYFUNCTION("""COMPUTED_VALUE"""),12000.0)</f>
        <v>12000</v>
      </c>
      <c r="L498" s="99">
        <f>IFERROR(__xludf.DUMMYFUNCTION("""COMPUTED_VALUE"""),12000.0)</f>
        <v>12000</v>
      </c>
      <c r="M498" s="96"/>
      <c r="N498" s="96">
        <f>IFERROR(__xludf.DUMMYFUNCTION("""COMPUTED_VALUE"""),0.0)</f>
        <v>0</v>
      </c>
      <c r="O498" s="96">
        <f>IFERROR(__xludf.DUMMYFUNCTION("""COMPUTED_VALUE"""),0.0)</f>
        <v>0</v>
      </c>
      <c r="P498" s="96">
        <f>IFERROR(__xludf.DUMMYFUNCTION("""COMPUTED_VALUE"""),0.0)</f>
        <v>0</v>
      </c>
      <c r="Q498" s="129">
        <f>IFERROR(__xludf.DUMMYFUNCTION("""COMPUTED_VALUE"""),0.0)</f>
        <v>0</v>
      </c>
      <c r="R498" s="99"/>
    </row>
    <row r="499">
      <c r="A499" s="96">
        <f>IFERROR(__xludf.DUMMYFUNCTION("""COMPUTED_VALUE"""),17.0)</f>
        <v>17</v>
      </c>
      <c r="B499" s="98">
        <f>IFERROR(__xludf.DUMMYFUNCTION("""COMPUTED_VALUE"""),44114.0)</f>
        <v>44114</v>
      </c>
      <c r="C499" s="96" t="str">
        <f>IFERROR(__xludf.DUMMYFUNCTION("""COMPUTED_VALUE"""),"OTU KOKO KEIBO")</f>
        <v>OTU KOKO KEIBO</v>
      </c>
      <c r="D499" s="96" t="str">
        <f>IFERROR(__xludf.DUMMYFUNCTION("""COMPUTED_VALUE"""),"OTU KOKO KEIBO17")</f>
        <v>OTU KOKO KEIBO17</v>
      </c>
      <c r="E499" s="96"/>
      <c r="F499" s="96"/>
      <c r="G499" s="96"/>
      <c r="H499" s="96"/>
      <c r="I499" s="96"/>
      <c r="J499" s="96"/>
      <c r="K499" s="96">
        <f>IFERROR(__xludf.DUMMYFUNCTION("""COMPUTED_VALUE"""),800000.0)</f>
        <v>800000</v>
      </c>
      <c r="L499" s="99">
        <f>IFERROR(__xludf.DUMMYFUNCTION("""COMPUTED_VALUE"""),800000.0)</f>
        <v>800000</v>
      </c>
      <c r="M499" s="96"/>
      <c r="N499" s="96">
        <f>IFERROR(__xludf.DUMMYFUNCTION("""COMPUTED_VALUE"""),0.0)</f>
        <v>0</v>
      </c>
      <c r="O499" s="96">
        <f>IFERROR(__xludf.DUMMYFUNCTION("""COMPUTED_VALUE"""),0.0)</f>
        <v>0</v>
      </c>
      <c r="P499" s="96">
        <f>IFERROR(__xludf.DUMMYFUNCTION("""COMPUTED_VALUE"""),0.0)</f>
        <v>0</v>
      </c>
      <c r="Q499" s="129">
        <f>IFERROR(__xludf.DUMMYFUNCTION("""COMPUTED_VALUE"""),0.0)</f>
        <v>0</v>
      </c>
      <c r="R499" s="99"/>
    </row>
    <row r="500">
      <c r="A500" s="96">
        <f>IFERROR(__xludf.DUMMYFUNCTION("""COMPUTED_VALUE"""),2.0)</f>
        <v>2</v>
      </c>
      <c r="B500" s="98">
        <f>IFERROR(__xludf.DUMMYFUNCTION("""COMPUTED_VALUE"""),44114.0)</f>
        <v>44114</v>
      </c>
      <c r="C500" s="96" t="str">
        <f>IFERROR(__xludf.DUMMYFUNCTION("""COMPUTED_VALUE"""),"NELSON &amp; PALUS")</f>
        <v>NELSON &amp; PALUS</v>
      </c>
      <c r="D500" s="96" t="str">
        <f>IFERROR(__xludf.DUMMYFUNCTION("""COMPUTED_VALUE"""),"NELSON &amp; PALUS2")</f>
        <v>NELSON &amp; PALUS2</v>
      </c>
      <c r="E500" s="96"/>
      <c r="F500" s="96"/>
      <c r="G500" s="96"/>
      <c r="H500" s="96"/>
      <c r="I500" s="96"/>
      <c r="J500" s="96"/>
      <c r="K500" s="96">
        <f>IFERROR(__xludf.DUMMYFUNCTION("""COMPUTED_VALUE"""),12000.0)</f>
        <v>12000</v>
      </c>
      <c r="L500" s="99">
        <f>IFERROR(__xludf.DUMMYFUNCTION("""COMPUTED_VALUE"""),12000.0)</f>
        <v>12000</v>
      </c>
      <c r="M500" s="96"/>
      <c r="N500" s="96">
        <f>IFERROR(__xludf.DUMMYFUNCTION("""COMPUTED_VALUE"""),0.0)</f>
        <v>0</v>
      </c>
      <c r="O500" s="96">
        <f>IFERROR(__xludf.DUMMYFUNCTION("""COMPUTED_VALUE"""),0.0)</f>
        <v>0</v>
      </c>
      <c r="P500" s="96">
        <f>IFERROR(__xludf.DUMMYFUNCTION("""COMPUTED_VALUE"""),0.0)</f>
        <v>0</v>
      </c>
      <c r="Q500" s="129">
        <f>IFERROR(__xludf.DUMMYFUNCTION("""COMPUTED_VALUE"""),0.0)</f>
        <v>0</v>
      </c>
      <c r="R500" s="99"/>
    </row>
    <row r="501">
      <c r="A501" s="96">
        <f>IFERROR(__xludf.DUMMYFUNCTION("""COMPUTED_VALUE"""),16.0)</f>
        <v>16</v>
      </c>
      <c r="B501" s="98">
        <f>IFERROR(__xludf.DUMMYFUNCTION("""COMPUTED_VALUE"""),44109.0)</f>
        <v>44109</v>
      </c>
      <c r="C501" s="96" t="str">
        <f>IFERROR(__xludf.DUMMYFUNCTION("""COMPUTED_VALUE"""),"ANDRDEW GREAT")</f>
        <v>ANDRDEW GREAT</v>
      </c>
      <c r="D501" s="96" t="str">
        <f>IFERROR(__xludf.DUMMYFUNCTION("""COMPUTED_VALUE"""),"ANDRDEW GREAT16")</f>
        <v>ANDRDEW GREAT16</v>
      </c>
      <c r="E501" s="96">
        <f>IFERROR(__xludf.DUMMYFUNCTION("""COMPUTED_VALUE"""),2220.0)</f>
        <v>2220</v>
      </c>
      <c r="F501" s="96">
        <f>IFERROR(__xludf.DUMMYFUNCTION("""COMPUTED_VALUE"""),331.0)</f>
        <v>331</v>
      </c>
      <c r="G501" s="96"/>
      <c r="H501" s="96">
        <f>IFERROR(__xludf.DUMMYFUNCTION("""COMPUTED_VALUE"""),32.0)</f>
        <v>32</v>
      </c>
      <c r="I501" s="96"/>
      <c r="J501" s="96">
        <f>IFERROR(__xludf.DUMMYFUNCTION("""COMPUTED_VALUE"""),946.6)</f>
        <v>946.6</v>
      </c>
      <c r="K501" s="96"/>
      <c r="L501" s="99">
        <f>IFERROR(__xludf.DUMMYFUNCTION("""COMPUTED_VALUE"""),-2022890.0)</f>
        <v>-2022890</v>
      </c>
      <c r="M501" s="96">
        <f>IFERROR(__xludf.DUMMYFUNCTION("""COMPUTED_VALUE"""),10.34)</f>
        <v>10.34</v>
      </c>
      <c r="N501" s="96">
        <f>IFERROR(__xludf.DUMMYFUNCTION("""COMPUTED_VALUE"""),51.0)</f>
        <v>51</v>
      </c>
      <c r="O501" s="96">
        <f>IFERROR(__xludf.DUMMYFUNCTION("""COMPUTED_VALUE"""),33.0)</f>
        <v>33</v>
      </c>
      <c r="P501" s="96">
        <f>IFERROR(__xludf.DUMMYFUNCTION("""COMPUTED_VALUE"""),57.0)</f>
        <v>57</v>
      </c>
      <c r="Q501" s="129">
        <f>IFERROR(__xludf.DUMMYFUNCTION("""COMPUTED_VALUE"""),2137.0)</f>
        <v>2137</v>
      </c>
      <c r="R501" s="99">
        <f>IFERROR(__xludf.DUMMYFUNCTION("""COMPUTED_VALUE"""),2022890.0)</f>
        <v>2022890</v>
      </c>
    </row>
    <row r="502">
      <c r="A502" s="96">
        <f>IFERROR(__xludf.DUMMYFUNCTION("""COMPUTED_VALUE"""),23.0)</f>
        <v>23</v>
      </c>
      <c r="B502" s="98">
        <f>IFERROR(__xludf.DUMMYFUNCTION("""COMPUTED_VALUE"""),44107.0)</f>
        <v>44107</v>
      </c>
      <c r="C502" s="96" t="str">
        <f>IFERROR(__xludf.DUMMYFUNCTION("""COMPUTED_VALUE"""),"BOSURU  BOSURU")</f>
        <v>BOSURU  BOSURU</v>
      </c>
      <c r="D502" s="96" t="str">
        <f>IFERROR(__xludf.DUMMYFUNCTION("""COMPUTED_VALUE"""),"BOSURU  BOSURU23")</f>
        <v>BOSURU  BOSURU23</v>
      </c>
      <c r="E502" s="96">
        <f>IFERROR(__xludf.DUMMYFUNCTION("""COMPUTED_VALUE"""),2253.0)</f>
        <v>2253</v>
      </c>
      <c r="F502" s="96">
        <f>IFERROR(__xludf.DUMMYFUNCTION("""COMPUTED_VALUE"""),278.0)</f>
        <v>278</v>
      </c>
      <c r="G502" s="96"/>
      <c r="H502" s="96">
        <f>IFERROR(__xludf.DUMMYFUNCTION("""COMPUTED_VALUE"""),28.0)</f>
        <v>28</v>
      </c>
      <c r="I502" s="96"/>
      <c r="J502" s="96">
        <f>IFERROR(__xludf.DUMMYFUNCTION("""COMPUTED_VALUE"""),1334.3)</f>
        <v>1334.3</v>
      </c>
      <c r="K502" s="96"/>
      <c r="L502" s="99">
        <f>IFERROR(__xludf.DUMMYFUNCTION("""COMPUTED_VALUE"""),-2911450.0)</f>
        <v>-2911450</v>
      </c>
      <c r="M502" s="96">
        <f>IFERROR(__xludf.DUMMYFUNCTION("""COMPUTED_VALUE"""),9.93)</f>
        <v>9.93</v>
      </c>
      <c r="N502" s="96">
        <f>IFERROR(__xludf.DUMMYFUNCTION("""COMPUTED_VALUE"""),43.0)</f>
        <v>43</v>
      </c>
      <c r="O502" s="96">
        <f>IFERROR(__xludf.DUMMYFUNCTION("""COMPUTED_VALUE"""),34.0)</f>
        <v>34</v>
      </c>
      <c r="P502" s="96">
        <f>IFERROR(__xludf.DUMMYFUNCTION("""COMPUTED_VALUE"""),39.0)</f>
        <v>39</v>
      </c>
      <c r="Q502" s="129">
        <f>IFERROR(__xludf.DUMMYFUNCTION("""COMPUTED_VALUE"""),2182.0)</f>
        <v>2182</v>
      </c>
      <c r="R502" s="99">
        <f>IFERROR(__xludf.DUMMYFUNCTION("""COMPUTED_VALUE"""),2911450.0)</f>
        <v>2911450</v>
      </c>
    </row>
    <row r="503">
      <c r="A503" s="96">
        <f>IFERROR(__xludf.DUMMYFUNCTION("""COMPUTED_VALUE"""),5.0)</f>
        <v>5</v>
      </c>
      <c r="B503" s="98">
        <f>IFERROR(__xludf.DUMMYFUNCTION("""COMPUTED_VALUE"""),44112.0)</f>
        <v>44112</v>
      </c>
      <c r="C503" s="96" t="str">
        <f>IFERROR(__xludf.DUMMYFUNCTION("""COMPUTED_VALUE"""),"CHINWE CHIDI")</f>
        <v>CHINWE CHIDI</v>
      </c>
      <c r="D503" s="96" t="str">
        <f>IFERROR(__xludf.DUMMYFUNCTION("""COMPUTED_VALUE"""),"CHINWE CHIDI5")</f>
        <v>CHINWE CHIDI5</v>
      </c>
      <c r="E503" s="96">
        <f>IFERROR(__xludf.DUMMYFUNCTION("""COMPUTED_VALUE"""),1553.0)</f>
        <v>1553</v>
      </c>
      <c r="F503" s="96">
        <f>IFERROR(__xludf.DUMMYFUNCTION("""COMPUTED_VALUE"""),206.5)</f>
        <v>206.5</v>
      </c>
      <c r="G503" s="96"/>
      <c r="H503" s="96">
        <f>IFERROR(__xludf.DUMMYFUNCTION("""COMPUTED_VALUE"""),19.0)</f>
        <v>19</v>
      </c>
      <c r="I503" s="96"/>
      <c r="J503" s="96">
        <f>IFERROR(__xludf.DUMMYFUNCTION("""COMPUTED_VALUE"""),965.97)</f>
        <v>965.97</v>
      </c>
      <c r="K503" s="96"/>
      <c r="L503" s="99">
        <f>IFERROR(__xludf.DUMMYFUNCTION("""COMPUTED_VALUE"""),-1439300.0)</f>
        <v>-1439300</v>
      </c>
      <c r="M503" s="96">
        <f>IFERROR(__xludf.DUMMYFUNCTION("""COMPUTED_VALUE"""),10.87)</f>
        <v>10.87</v>
      </c>
      <c r="N503" s="96">
        <f>IFERROR(__xludf.DUMMYFUNCTION("""COMPUTED_VALUE"""),44.0)</f>
        <v>44</v>
      </c>
      <c r="O503" s="96">
        <f>IFERROR(__xludf.DUMMYFUNCTION("""COMPUTED_VALUE"""),23.0)</f>
        <v>23</v>
      </c>
      <c r="P503" s="96">
        <f>IFERROR(__xludf.DUMMYFUNCTION("""COMPUTED_VALUE"""),41.0)</f>
        <v>41</v>
      </c>
      <c r="Q503" s="129">
        <f>IFERROR(__xludf.DUMMYFUNCTION("""COMPUTED_VALUE"""),1490.0)</f>
        <v>1490</v>
      </c>
      <c r="R503" s="99">
        <f>IFERROR(__xludf.DUMMYFUNCTION("""COMPUTED_VALUE"""),1439300.0)</f>
        <v>1439300</v>
      </c>
    </row>
    <row r="504">
      <c r="A504" s="96">
        <f>IFERROR(__xludf.DUMMYFUNCTION("""COMPUTED_VALUE"""),20.0)</f>
        <v>20</v>
      </c>
      <c r="B504" s="98">
        <f>IFERROR(__xludf.DUMMYFUNCTION("""COMPUTED_VALUE"""),44109.0)</f>
        <v>44109</v>
      </c>
      <c r="C504" s="96" t="str">
        <f>IFERROR(__xludf.DUMMYFUNCTION("""COMPUTED_VALUE"""),"ETUK EFFI")</f>
        <v>ETUK EFFI</v>
      </c>
      <c r="D504" s="96" t="str">
        <f>IFERROR(__xludf.DUMMYFUNCTION("""COMPUTED_VALUE"""),"ETUK EFFI20")</f>
        <v>ETUK EFFI20</v>
      </c>
      <c r="E504" s="96">
        <f>IFERROR(__xludf.DUMMYFUNCTION("""COMPUTED_VALUE"""),2661.0)</f>
        <v>2661</v>
      </c>
      <c r="F504" s="96">
        <f>IFERROR(__xludf.DUMMYFUNCTION("""COMPUTED_VALUE"""),320.0)</f>
        <v>320</v>
      </c>
      <c r="G504" s="96"/>
      <c r="H504" s="96">
        <f>IFERROR(__xludf.DUMMYFUNCTION("""COMPUTED_VALUE"""),40.0)</f>
        <v>40</v>
      </c>
      <c r="I504" s="96"/>
      <c r="J504" s="96">
        <f>IFERROR(__xludf.DUMMYFUNCTION("""COMPUTED_VALUE"""),961.47)</f>
        <v>961.47</v>
      </c>
      <c r="K504" s="96"/>
      <c r="L504" s="99">
        <f>IFERROR(__xludf.DUMMYFUNCTION("""COMPUTED_VALUE"""),-2520000.0)</f>
        <v>-2520000</v>
      </c>
      <c r="M504" s="96">
        <f>IFERROR(__xludf.DUMMYFUNCTION("""COMPUTED_VALUE"""),8.0)</f>
        <v>8</v>
      </c>
      <c r="N504" s="96">
        <f>IFERROR(__xludf.DUMMYFUNCTION("""COMPUTED_VALUE"""),0.0)</f>
        <v>0</v>
      </c>
      <c r="O504" s="96">
        <f>IFERROR(__xludf.DUMMYFUNCTION("""COMPUTED_VALUE"""),41.0)</f>
        <v>41</v>
      </c>
      <c r="P504" s="96">
        <f>IFERROR(__xludf.DUMMYFUNCTION("""COMPUTED_VALUE"""),37.0)</f>
        <v>37</v>
      </c>
      <c r="Q504" s="129">
        <f>IFERROR(__xludf.DUMMYFUNCTION("""COMPUTED_VALUE"""),2621.0)</f>
        <v>2621</v>
      </c>
      <c r="R504" s="99">
        <f>IFERROR(__xludf.DUMMYFUNCTION("""COMPUTED_VALUE"""),2520000.0)</f>
        <v>2520000</v>
      </c>
    </row>
    <row r="505">
      <c r="A505" s="96">
        <f>IFERROR(__xludf.DUMMYFUNCTION("""COMPUTED_VALUE"""),8.0)</f>
        <v>8</v>
      </c>
      <c r="B505" s="98">
        <f>IFERROR(__xludf.DUMMYFUNCTION("""COMPUTED_VALUE"""),44113.0)</f>
        <v>44113</v>
      </c>
      <c r="C505" s="96" t="str">
        <f>IFERROR(__xludf.DUMMYFUNCTION("""COMPUTED_VALUE"""),"AGEGE BOY")</f>
        <v>AGEGE BOY</v>
      </c>
      <c r="D505" s="96" t="str">
        <f>IFERROR(__xludf.DUMMYFUNCTION("""COMPUTED_VALUE"""),"AGEGE BOY8")</f>
        <v>AGEGE BOY8</v>
      </c>
      <c r="E505" s="96">
        <f>IFERROR(__xludf.DUMMYFUNCTION("""COMPUTED_VALUE"""),1943.0)</f>
        <v>1943</v>
      </c>
      <c r="F505" s="96">
        <f>IFERROR(__xludf.DUMMYFUNCTION("""COMPUTED_VALUE"""),224.0)</f>
        <v>224</v>
      </c>
      <c r="G505" s="96"/>
      <c r="H505" s="96">
        <f>IFERROR(__xludf.DUMMYFUNCTION("""COMPUTED_VALUE"""),28.0)</f>
        <v>28</v>
      </c>
      <c r="I505" s="96"/>
      <c r="J505" s="96">
        <f>IFERROR(__xludf.DUMMYFUNCTION("""COMPUTED_VALUE"""),929.9)</f>
        <v>929.9</v>
      </c>
      <c r="K505" s="96"/>
      <c r="L505" s="99">
        <f>IFERROR(__xludf.DUMMYFUNCTION("""COMPUTED_VALUE"""),-1780750.0)</f>
        <v>-1780750</v>
      </c>
      <c r="M505" s="96">
        <f>IFERROR(__xludf.DUMMYFUNCTION("""COMPUTED_VALUE"""),8.0)</f>
        <v>8</v>
      </c>
      <c r="N505" s="96">
        <f>IFERROR(__xludf.DUMMYFUNCTION("""COMPUTED_VALUE"""),0.0)</f>
        <v>0</v>
      </c>
      <c r="O505" s="96">
        <f>IFERROR(__xludf.DUMMYFUNCTION("""COMPUTED_VALUE"""),30.0)</f>
        <v>30</v>
      </c>
      <c r="P505" s="96">
        <f>IFERROR(__xludf.DUMMYFUNCTION("""COMPUTED_VALUE"""),24.0)</f>
        <v>24</v>
      </c>
      <c r="Q505" s="129">
        <f>IFERROR(__xludf.DUMMYFUNCTION("""COMPUTED_VALUE"""),1915.0)</f>
        <v>1915</v>
      </c>
      <c r="R505" s="99">
        <f>IFERROR(__xludf.DUMMYFUNCTION("""COMPUTED_VALUE"""),1780750.0)</f>
        <v>1780750</v>
      </c>
    </row>
    <row r="506">
      <c r="A506" s="96">
        <f>IFERROR(__xludf.DUMMYFUNCTION("""COMPUTED_VALUE"""),3.0)</f>
        <v>3</v>
      </c>
      <c r="B506" s="98">
        <f>IFERROR(__xludf.DUMMYFUNCTION("""COMPUTED_VALUE"""),44114.0)</f>
        <v>44114</v>
      </c>
      <c r="C506" s="96" t="str">
        <f>IFERROR(__xludf.DUMMYFUNCTION("""COMPUTED_VALUE"""),"NELSON &amp; PALUS")</f>
        <v>NELSON &amp; PALUS</v>
      </c>
      <c r="D506" s="96" t="str">
        <f>IFERROR(__xludf.DUMMYFUNCTION("""COMPUTED_VALUE"""),"NELSON &amp; PALUS3")</f>
        <v>NELSON &amp; PALUS3</v>
      </c>
      <c r="E506" s="96">
        <f>IFERROR(__xludf.DUMMYFUNCTION("""COMPUTED_VALUE"""),456.0)</f>
        <v>456</v>
      </c>
      <c r="F506" s="96">
        <f>IFERROR(__xludf.DUMMYFUNCTION("""COMPUTED_VALUE"""),78.0)</f>
        <v>78</v>
      </c>
      <c r="G506" s="96"/>
      <c r="H506" s="96">
        <f>IFERROR(__xludf.DUMMYFUNCTION("""COMPUTED_VALUE"""),7.0)</f>
        <v>7</v>
      </c>
      <c r="I506" s="96"/>
      <c r="J506" s="96">
        <f>IFERROR(__xludf.DUMMYFUNCTION("""COMPUTED_VALUE"""),966.27)</f>
        <v>966.27</v>
      </c>
      <c r="K506" s="96"/>
      <c r="L506" s="99">
        <f>IFERROR(__xludf.DUMMYFUNCTION("""COMPUTED_VALUE"""),-420328.0)</f>
        <v>-420328</v>
      </c>
      <c r="M506" s="96">
        <f>IFERROR(__xludf.DUMMYFUNCTION("""COMPUTED_VALUE"""),11.14)</f>
        <v>11.14</v>
      </c>
      <c r="N506" s="96">
        <f>IFERROR(__xludf.DUMMYFUNCTION("""COMPUTED_VALUE"""),14.0)</f>
        <v>14</v>
      </c>
      <c r="O506" s="96">
        <f>IFERROR(__xludf.DUMMYFUNCTION("""COMPUTED_VALUE"""),6.0)</f>
        <v>6</v>
      </c>
      <c r="P506" s="96">
        <f>IFERROR(__xludf.DUMMYFUNCTION("""COMPUTED_VALUE"""),57.0)</f>
        <v>57</v>
      </c>
      <c r="Q506" s="129">
        <f>IFERROR(__xludf.DUMMYFUNCTION("""COMPUTED_VALUE"""),435.0)</f>
        <v>435</v>
      </c>
      <c r="R506" s="99">
        <f>IFERROR(__xludf.DUMMYFUNCTION("""COMPUTED_VALUE"""),420328.0)</f>
        <v>420328</v>
      </c>
    </row>
    <row r="507">
      <c r="A507" s="96">
        <f>IFERROR(__xludf.DUMMYFUNCTION("""COMPUTED_VALUE"""),4.0)</f>
        <v>4</v>
      </c>
      <c r="B507" s="98">
        <f>IFERROR(__xludf.DUMMYFUNCTION("""COMPUTED_VALUE"""),44114.0)</f>
        <v>44114</v>
      </c>
      <c r="C507" s="96" t="str">
        <f>IFERROR(__xludf.DUMMYFUNCTION("""COMPUTED_VALUE"""),"NELSON &amp; PALUS")</f>
        <v>NELSON &amp; PALUS</v>
      </c>
      <c r="D507" s="96" t="str">
        <f>IFERROR(__xludf.DUMMYFUNCTION("""COMPUTED_VALUE"""),"NELSON &amp; PALUS4")</f>
        <v>NELSON &amp; PALUS4</v>
      </c>
      <c r="E507" s="96">
        <f>IFERROR(__xludf.DUMMYFUNCTION("""COMPUTED_VALUE"""),626.0)</f>
        <v>626</v>
      </c>
      <c r="F507" s="96">
        <f>IFERROR(__xludf.DUMMYFUNCTION("""COMPUTED_VALUE"""),106.0)</f>
        <v>106</v>
      </c>
      <c r="G507" s="96"/>
      <c r="H507" s="96">
        <f>IFERROR(__xludf.DUMMYFUNCTION("""COMPUTED_VALUE"""),10.0)</f>
        <v>10</v>
      </c>
      <c r="I507" s="96"/>
      <c r="J507" s="96">
        <f>IFERROR(__xludf.DUMMYFUNCTION("""COMPUTED_VALUE"""),970.6)</f>
        <v>970.6</v>
      </c>
      <c r="K507" s="96"/>
      <c r="L507" s="99">
        <f>IFERROR(__xludf.DUMMYFUNCTION("""COMPUTED_VALUE"""),-582359.0)</f>
        <v>-582359</v>
      </c>
      <c r="M507" s="96">
        <f>IFERROR(__xludf.DUMMYFUNCTION("""COMPUTED_VALUE"""),10.6)</f>
        <v>10.6</v>
      </c>
      <c r="N507" s="96">
        <f>IFERROR(__xludf.DUMMYFUNCTION("""COMPUTED_VALUE"""),16.0)</f>
        <v>16</v>
      </c>
      <c r="O507" s="96">
        <f>IFERROR(__xludf.DUMMYFUNCTION("""COMPUTED_VALUE"""),9.0)</f>
        <v>9</v>
      </c>
      <c r="P507" s="96">
        <f>IFERROR(__xludf.DUMMYFUNCTION("""COMPUTED_VALUE"""),33.0)</f>
        <v>33</v>
      </c>
      <c r="Q507" s="129">
        <f>IFERROR(__xludf.DUMMYFUNCTION("""COMPUTED_VALUE"""),600.0)</f>
        <v>600</v>
      </c>
      <c r="R507" s="99">
        <f>IFERROR(__xludf.DUMMYFUNCTION("""COMPUTED_VALUE"""),582359.0)</f>
        <v>582359</v>
      </c>
    </row>
    <row r="508">
      <c r="A508" s="96">
        <f>IFERROR(__xludf.DUMMYFUNCTION("""COMPUTED_VALUE"""),5.0)</f>
        <v>5</v>
      </c>
      <c r="B508" s="98">
        <f>IFERROR(__xludf.DUMMYFUNCTION("""COMPUTED_VALUE"""),44116.0)</f>
        <v>44116</v>
      </c>
      <c r="C508" s="96" t="str">
        <f>IFERROR(__xludf.DUMMYFUNCTION("""COMPUTED_VALUE"""),"UNCLE BIGGIE")</f>
        <v>UNCLE BIGGIE</v>
      </c>
      <c r="D508" s="96" t="str">
        <f>IFERROR(__xludf.DUMMYFUNCTION("""COMPUTED_VALUE"""),"UNCLE BIGGIE5")</f>
        <v>UNCLE BIGGIE5</v>
      </c>
      <c r="E508" s="96"/>
      <c r="F508" s="96"/>
      <c r="G508" s="96"/>
      <c r="H508" s="96"/>
      <c r="I508" s="96"/>
      <c r="J508" s="96"/>
      <c r="K508" s="96">
        <f>IFERROR(__xludf.DUMMYFUNCTION("""COMPUTED_VALUE"""),100000.0)</f>
        <v>100000</v>
      </c>
      <c r="L508" s="99">
        <f>IFERROR(__xludf.DUMMYFUNCTION("""COMPUTED_VALUE"""),100000.0)</f>
        <v>100000</v>
      </c>
      <c r="M508" s="96"/>
      <c r="N508" s="96">
        <f>IFERROR(__xludf.DUMMYFUNCTION("""COMPUTED_VALUE"""),0.0)</f>
        <v>0</v>
      </c>
      <c r="O508" s="96">
        <f>IFERROR(__xludf.DUMMYFUNCTION("""COMPUTED_VALUE"""),0.0)</f>
        <v>0</v>
      </c>
      <c r="P508" s="96">
        <f>IFERROR(__xludf.DUMMYFUNCTION("""COMPUTED_VALUE"""),0.0)</f>
        <v>0</v>
      </c>
      <c r="Q508" s="129">
        <f>IFERROR(__xludf.DUMMYFUNCTION("""COMPUTED_VALUE"""),0.0)</f>
        <v>0</v>
      </c>
      <c r="R508" s="99"/>
    </row>
    <row r="509">
      <c r="A509" s="96">
        <f>IFERROR(__xludf.DUMMYFUNCTION("""COMPUTED_VALUE"""),18.0)</f>
        <v>18</v>
      </c>
      <c r="B509" s="98">
        <f>IFERROR(__xludf.DUMMYFUNCTION("""COMPUTED_VALUE"""),44116.0)</f>
        <v>44116</v>
      </c>
      <c r="C509" s="96" t="str">
        <f>IFERROR(__xludf.DUMMYFUNCTION("""COMPUTED_VALUE"""),"OTU KOKO KEIBO")</f>
        <v>OTU KOKO KEIBO</v>
      </c>
      <c r="D509" s="96" t="str">
        <f>IFERROR(__xludf.DUMMYFUNCTION("""COMPUTED_VALUE"""),"OTU KOKO KEIBO18")</f>
        <v>OTU KOKO KEIBO18</v>
      </c>
      <c r="E509" s="96"/>
      <c r="F509" s="96"/>
      <c r="G509" s="96"/>
      <c r="H509" s="96"/>
      <c r="I509" s="96"/>
      <c r="J509" s="96"/>
      <c r="K509" s="96">
        <f>IFERROR(__xludf.DUMMYFUNCTION("""COMPUTED_VALUE"""),120000.0)</f>
        <v>120000</v>
      </c>
      <c r="L509" s="99">
        <f>IFERROR(__xludf.DUMMYFUNCTION("""COMPUTED_VALUE"""),120000.0)</f>
        <v>120000</v>
      </c>
      <c r="M509" s="96"/>
      <c r="N509" s="96">
        <f>IFERROR(__xludf.DUMMYFUNCTION("""COMPUTED_VALUE"""),0.0)</f>
        <v>0</v>
      </c>
      <c r="O509" s="96">
        <f>IFERROR(__xludf.DUMMYFUNCTION("""COMPUTED_VALUE"""),0.0)</f>
        <v>0</v>
      </c>
      <c r="P509" s="96">
        <f>IFERROR(__xludf.DUMMYFUNCTION("""COMPUTED_VALUE"""),0.0)</f>
        <v>0</v>
      </c>
      <c r="Q509" s="129">
        <f>IFERROR(__xludf.DUMMYFUNCTION("""COMPUTED_VALUE"""),0.0)</f>
        <v>0</v>
      </c>
      <c r="R509" s="99"/>
    </row>
    <row r="510">
      <c r="A510" s="96">
        <f>IFERROR(__xludf.DUMMYFUNCTION("""COMPUTED_VALUE"""),19.0)</f>
        <v>19</v>
      </c>
      <c r="B510" s="98">
        <f>IFERROR(__xludf.DUMMYFUNCTION("""COMPUTED_VALUE"""),44116.0)</f>
        <v>44116</v>
      </c>
      <c r="C510" s="96" t="str">
        <f>IFERROR(__xludf.DUMMYFUNCTION("""COMPUTED_VALUE"""),"OTU KOKO KEIBO")</f>
        <v>OTU KOKO KEIBO</v>
      </c>
      <c r="D510" s="96" t="str">
        <f>IFERROR(__xludf.DUMMYFUNCTION("""COMPUTED_VALUE"""),"OTU KOKO KEIBO19")</f>
        <v>OTU KOKO KEIBO19</v>
      </c>
      <c r="E510" s="96"/>
      <c r="F510" s="96"/>
      <c r="G510" s="96"/>
      <c r="H510" s="96"/>
      <c r="I510" s="96"/>
      <c r="J510" s="96"/>
      <c r="K510" s="96">
        <f>IFERROR(__xludf.DUMMYFUNCTION("""COMPUTED_VALUE"""),160400.0)</f>
        <v>160400</v>
      </c>
      <c r="L510" s="99">
        <f>IFERROR(__xludf.DUMMYFUNCTION("""COMPUTED_VALUE"""),160400.0)</f>
        <v>160400</v>
      </c>
      <c r="M510" s="96"/>
      <c r="N510" s="96">
        <f>IFERROR(__xludf.DUMMYFUNCTION("""COMPUTED_VALUE"""),0.0)</f>
        <v>0</v>
      </c>
      <c r="O510" s="96">
        <f>IFERROR(__xludf.DUMMYFUNCTION("""COMPUTED_VALUE"""),0.0)</f>
        <v>0</v>
      </c>
      <c r="P510" s="96">
        <f>IFERROR(__xludf.DUMMYFUNCTION("""COMPUTED_VALUE"""),0.0)</f>
        <v>0</v>
      </c>
      <c r="Q510" s="129">
        <f>IFERROR(__xludf.DUMMYFUNCTION("""COMPUTED_VALUE"""),0.0)</f>
        <v>0</v>
      </c>
      <c r="R510" s="99"/>
    </row>
    <row r="511">
      <c r="A511" s="96">
        <f>IFERROR(__xludf.DUMMYFUNCTION("""COMPUTED_VALUE"""),20.0)</f>
        <v>20</v>
      </c>
      <c r="B511" s="98">
        <f>IFERROR(__xludf.DUMMYFUNCTION("""COMPUTED_VALUE"""),44116.0)</f>
        <v>44116</v>
      </c>
      <c r="C511" s="96" t="str">
        <f>IFERROR(__xludf.DUMMYFUNCTION("""COMPUTED_VALUE"""),"OTU KOKO KEIBO")</f>
        <v>OTU KOKO KEIBO</v>
      </c>
      <c r="D511" s="96" t="str">
        <f>IFERROR(__xludf.DUMMYFUNCTION("""COMPUTED_VALUE"""),"OTU KOKO KEIBO20")</f>
        <v>OTU KOKO KEIBO20</v>
      </c>
      <c r="E511" s="96"/>
      <c r="F511" s="96"/>
      <c r="G511" s="96"/>
      <c r="H511" s="96"/>
      <c r="I511" s="96"/>
      <c r="J511" s="96"/>
      <c r="K511" s="96">
        <f>IFERROR(__xludf.DUMMYFUNCTION("""COMPUTED_VALUE"""),73500.0)</f>
        <v>73500</v>
      </c>
      <c r="L511" s="99">
        <f>IFERROR(__xludf.DUMMYFUNCTION("""COMPUTED_VALUE"""),73500.0)</f>
        <v>73500</v>
      </c>
      <c r="M511" s="96"/>
      <c r="N511" s="96">
        <f>IFERROR(__xludf.DUMMYFUNCTION("""COMPUTED_VALUE"""),0.0)</f>
        <v>0</v>
      </c>
      <c r="O511" s="96">
        <f>IFERROR(__xludf.DUMMYFUNCTION("""COMPUTED_VALUE"""),0.0)</f>
        <v>0</v>
      </c>
      <c r="P511" s="96">
        <f>IFERROR(__xludf.DUMMYFUNCTION("""COMPUTED_VALUE"""),0.0)</f>
        <v>0</v>
      </c>
      <c r="Q511" s="129">
        <f>IFERROR(__xludf.DUMMYFUNCTION("""COMPUTED_VALUE"""),0.0)</f>
        <v>0</v>
      </c>
      <c r="R511" s="99"/>
    </row>
    <row r="512">
      <c r="A512" s="96">
        <f>IFERROR(__xludf.DUMMYFUNCTION("""COMPUTED_VALUE"""),21.0)</f>
        <v>21</v>
      </c>
      <c r="B512" s="98">
        <f>IFERROR(__xludf.DUMMYFUNCTION("""COMPUTED_VALUE"""),44116.0)</f>
        <v>44116</v>
      </c>
      <c r="C512" s="96" t="str">
        <f>IFERROR(__xludf.DUMMYFUNCTION("""COMPUTED_VALUE"""),"OTU KOKO KEIBO")</f>
        <v>OTU KOKO KEIBO</v>
      </c>
      <c r="D512" s="96" t="str">
        <f>IFERROR(__xludf.DUMMYFUNCTION("""COMPUTED_VALUE"""),"OTU KOKO KEIBO21")</f>
        <v>OTU KOKO KEIBO21</v>
      </c>
      <c r="E512" s="96"/>
      <c r="F512" s="96"/>
      <c r="G512" s="96"/>
      <c r="H512" s="96"/>
      <c r="I512" s="96"/>
      <c r="J512" s="96"/>
      <c r="K512" s="96">
        <f>IFERROR(__xludf.DUMMYFUNCTION("""COMPUTED_VALUE"""),150000.0)</f>
        <v>150000</v>
      </c>
      <c r="L512" s="99">
        <f>IFERROR(__xludf.DUMMYFUNCTION("""COMPUTED_VALUE"""),150000.0)</f>
        <v>150000</v>
      </c>
      <c r="M512" s="96"/>
      <c r="N512" s="96">
        <f>IFERROR(__xludf.DUMMYFUNCTION("""COMPUTED_VALUE"""),0.0)</f>
        <v>0</v>
      </c>
      <c r="O512" s="96">
        <f>IFERROR(__xludf.DUMMYFUNCTION("""COMPUTED_VALUE"""),0.0)</f>
        <v>0</v>
      </c>
      <c r="P512" s="96">
        <f>IFERROR(__xludf.DUMMYFUNCTION("""COMPUTED_VALUE"""),0.0)</f>
        <v>0</v>
      </c>
      <c r="Q512" s="129">
        <f>IFERROR(__xludf.DUMMYFUNCTION("""COMPUTED_VALUE"""),0.0)</f>
        <v>0</v>
      </c>
      <c r="R512" s="99"/>
    </row>
    <row r="513">
      <c r="A513" s="96">
        <f>IFERROR(__xludf.DUMMYFUNCTION("""COMPUTED_VALUE"""),22.0)</f>
        <v>22</v>
      </c>
      <c r="B513" s="98">
        <f>IFERROR(__xludf.DUMMYFUNCTION("""COMPUTED_VALUE"""),44116.0)</f>
        <v>44116</v>
      </c>
      <c r="C513" s="96" t="str">
        <f>IFERROR(__xludf.DUMMYFUNCTION("""COMPUTED_VALUE"""),"OTU KOKO KEIBO")</f>
        <v>OTU KOKO KEIBO</v>
      </c>
      <c r="D513" s="96" t="str">
        <f>IFERROR(__xludf.DUMMYFUNCTION("""COMPUTED_VALUE"""),"OTU KOKO KEIBO22")</f>
        <v>OTU KOKO KEIBO22</v>
      </c>
      <c r="E513" s="96"/>
      <c r="F513" s="96"/>
      <c r="G513" s="96"/>
      <c r="H513" s="96"/>
      <c r="I513" s="96"/>
      <c r="J513" s="96"/>
      <c r="K513" s="96">
        <f>IFERROR(__xludf.DUMMYFUNCTION("""COMPUTED_VALUE"""),234000.0)</f>
        <v>234000</v>
      </c>
      <c r="L513" s="99">
        <f>IFERROR(__xludf.DUMMYFUNCTION("""COMPUTED_VALUE"""),234000.0)</f>
        <v>234000</v>
      </c>
      <c r="M513" s="96"/>
      <c r="N513" s="96">
        <f>IFERROR(__xludf.DUMMYFUNCTION("""COMPUTED_VALUE"""),0.0)</f>
        <v>0</v>
      </c>
      <c r="O513" s="96">
        <f>IFERROR(__xludf.DUMMYFUNCTION("""COMPUTED_VALUE"""),0.0)</f>
        <v>0</v>
      </c>
      <c r="P513" s="96">
        <f>IFERROR(__xludf.DUMMYFUNCTION("""COMPUTED_VALUE"""),0.0)</f>
        <v>0</v>
      </c>
      <c r="Q513" s="129">
        <f>IFERROR(__xludf.DUMMYFUNCTION("""COMPUTED_VALUE"""),0.0)</f>
        <v>0</v>
      </c>
      <c r="R513" s="99"/>
    </row>
    <row r="514">
      <c r="A514" s="96">
        <f>IFERROR(__xludf.DUMMYFUNCTION("""COMPUTED_VALUE"""),4.0)</f>
        <v>4</v>
      </c>
      <c r="B514" s="98">
        <f>IFERROR(__xludf.DUMMYFUNCTION("""COMPUTED_VALUE"""),44116.0)</f>
        <v>44116</v>
      </c>
      <c r="C514" s="96" t="str">
        <f>IFERROR(__xludf.DUMMYFUNCTION("""COMPUTED_VALUE"""),"REIMON ALABA")</f>
        <v>REIMON ALABA</v>
      </c>
      <c r="D514" s="96" t="str">
        <f>IFERROR(__xludf.DUMMYFUNCTION("""COMPUTED_VALUE"""),"REIMON ALABA4")</f>
        <v>REIMON ALABA4</v>
      </c>
      <c r="E514" s="96"/>
      <c r="F514" s="96"/>
      <c r="G514" s="96"/>
      <c r="H514" s="96"/>
      <c r="I514" s="96"/>
      <c r="J514" s="96"/>
      <c r="K514" s="96">
        <f>IFERROR(__xludf.DUMMYFUNCTION("""COMPUTED_VALUE"""),50000.0)</f>
        <v>50000</v>
      </c>
      <c r="L514" s="99">
        <f>IFERROR(__xludf.DUMMYFUNCTION("""COMPUTED_VALUE"""),50000.0)</f>
        <v>50000</v>
      </c>
      <c r="M514" s="96"/>
      <c r="N514" s="96">
        <f>IFERROR(__xludf.DUMMYFUNCTION("""COMPUTED_VALUE"""),0.0)</f>
        <v>0</v>
      </c>
      <c r="O514" s="96">
        <f>IFERROR(__xludf.DUMMYFUNCTION("""COMPUTED_VALUE"""),0.0)</f>
        <v>0</v>
      </c>
      <c r="P514" s="96">
        <f>IFERROR(__xludf.DUMMYFUNCTION("""COMPUTED_VALUE"""),0.0)</f>
        <v>0</v>
      </c>
      <c r="Q514" s="129">
        <f>IFERROR(__xludf.DUMMYFUNCTION("""COMPUTED_VALUE"""),0.0)</f>
        <v>0</v>
      </c>
      <c r="R514" s="99"/>
    </row>
    <row r="515">
      <c r="A515" s="96">
        <f>IFERROR(__xludf.DUMMYFUNCTION("""COMPUTED_VALUE"""),20.0)</f>
        <v>20</v>
      </c>
      <c r="B515" s="98">
        <f>IFERROR(__xludf.DUMMYFUNCTION("""COMPUTED_VALUE"""),44116.0)</f>
        <v>44116</v>
      </c>
      <c r="C515" s="96" t="str">
        <f>IFERROR(__xludf.DUMMYFUNCTION("""COMPUTED_VALUE""")," MAXWELL AGRO")</f>
        <v> MAXWELL AGRO</v>
      </c>
      <c r="D515" s="96" t="str">
        <f>IFERROR(__xludf.DUMMYFUNCTION("""COMPUTED_VALUE""")," MAXWELL AGRO20")</f>
        <v> MAXWELL AGRO20</v>
      </c>
      <c r="E515" s="96"/>
      <c r="F515" s="96"/>
      <c r="G515" s="96"/>
      <c r="H515" s="96"/>
      <c r="I515" s="96"/>
      <c r="J515" s="96"/>
      <c r="K515" s="96">
        <f>IFERROR(__xludf.DUMMYFUNCTION("""COMPUTED_VALUE"""),280000.0)</f>
        <v>280000</v>
      </c>
      <c r="L515" s="99">
        <f>IFERROR(__xludf.DUMMYFUNCTION("""COMPUTED_VALUE"""),280000.0)</f>
        <v>280000</v>
      </c>
      <c r="M515" s="96"/>
      <c r="N515" s="96">
        <f>IFERROR(__xludf.DUMMYFUNCTION("""COMPUTED_VALUE"""),0.0)</f>
        <v>0</v>
      </c>
      <c r="O515" s="96">
        <f>IFERROR(__xludf.DUMMYFUNCTION("""COMPUTED_VALUE"""),0.0)</f>
        <v>0</v>
      </c>
      <c r="P515" s="96">
        <f>IFERROR(__xludf.DUMMYFUNCTION("""COMPUTED_VALUE"""),0.0)</f>
        <v>0</v>
      </c>
      <c r="Q515" s="129">
        <f>IFERROR(__xludf.DUMMYFUNCTION("""COMPUTED_VALUE"""),0.0)</f>
        <v>0</v>
      </c>
      <c r="R515" s="9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0.0"/>
    <col customWidth="1" min="2" max="2" width="24.75"/>
    <col customWidth="1" min="3" max="3" width="22.88"/>
    <col customWidth="1" min="4" max="4" width="12.5"/>
    <col customWidth="1" min="5" max="10" width="15.38"/>
  </cols>
  <sheetData>
    <row r="1" ht="22.5" customHeight="1">
      <c r="A1" s="134" t="s">
        <v>187</v>
      </c>
      <c r="F1" s="135" t="s">
        <v>188</v>
      </c>
      <c r="G1" s="136">
        <f>OFFSET(A1,COUNTA(A:A)-1,0)</f>
        <v>44116</v>
      </c>
      <c r="H1" s="137"/>
      <c r="I1" s="137"/>
      <c r="J1" s="137"/>
    </row>
    <row r="2" ht="25.5" customHeight="1">
      <c r="A2" s="27" t="s">
        <v>189</v>
      </c>
      <c r="D2" s="66"/>
      <c r="E2" s="28"/>
      <c r="F2" s="66"/>
      <c r="G2" s="66"/>
      <c r="H2" s="66"/>
      <c r="I2" s="66"/>
      <c r="J2" s="66"/>
    </row>
    <row r="3" ht="3.0" customHeight="1">
      <c r="A3" s="5"/>
      <c r="B3" s="138"/>
      <c r="C3" s="28"/>
      <c r="D3" s="66"/>
      <c r="E3" s="28"/>
      <c r="F3" s="66"/>
      <c r="G3" s="66"/>
      <c r="H3" s="66"/>
      <c r="I3" s="66"/>
      <c r="J3" s="66"/>
    </row>
    <row r="4">
      <c r="A4" s="59"/>
      <c r="B4" s="28"/>
      <c r="C4" s="28"/>
      <c r="D4" s="66"/>
      <c r="E4" s="28"/>
      <c r="F4" s="66"/>
      <c r="G4" s="66"/>
      <c r="H4" s="66"/>
      <c r="I4" s="66"/>
      <c r="J4" s="66"/>
    </row>
    <row r="5">
      <c r="A5" s="139" t="s">
        <v>190</v>
      </c>
      <c r="B5" s="140" t="s">
        <v>191</v>
      </c>
      <c r="C5" s="140" t="s">
        <v>192</v>
      </c>
      <c r="D5" s="141" t="s">
        <v>193</v>
      </c>
      <c r="E5" s="140" t="s">
        <v>194</v>
      </c>
      <c r="F5" s="142" t="s">
        <v>195</v>
      </c>
      <c r="G5" s="142" t="s">
        <v>196</v>
      </c>
      <c r="H5" s="142" t="s">
        <v>197</v>
      </c>
      <c r="I5" s="142" t="s">
        <v>198</v>
      </c>
      <c r="J5" s="143" t="s">
        <v>199</v>
      </c>
    </row>
    <row r="6">
      <c r="A6" s="144">
        <v>43743.0</v>
      </c>
      <c r="B6" s="145" t="s">
        <v>200</v>
      </c>
      <c r="C6" s="145" t="s">
        <v>200</v>
      </c>
      <c r="D6" s="146">
        <v>6.4600445E7</v>
      </c>
      <c r="E6" s="145" t="s">
        <v>201</v>
      </c>
      <c r="F6" s="147"/>
      <c r="G6" s="148"/>
      <c r="H6" s="146">
        <v>6.4600445E7</v>
      </c>
      <c r="I6" s="148"/>
      <c r="J6" s="149"/>
    </row>
    <row r="7">
      <c r="A7" s="144">
        <v>43743.0</v>
      </c>
      <c r="B7" s="150" t="s">
        <v>98</v>
      </c>
      <c r="C7" s="151" t="s">
        <v>200</v>
      </c>
      <c r="D7" s="148">
        <v>521000.0</v>
      </c>
      <c r="E7" s="150" t="s">
        <v>202</v>
      </c>
      <c r="F7" s="147">
        <v>0.0</v>
      </c>
      <c r="G7" s="148">
        <v>0.0</v>
      </c>
      <c r="H7" s="147">
        <v>0.0</v>
      </c>
      <c r="I7" s="148">
        <v>0.0</v>
      </c>
      <c r="J7" s="149">
        <v>0.0</v>
      </c>
    </row>
    <row r="8">
      <c r="A8" s="144">
        <v>43743.0</v>
      </c>
      <c r="B8" s="145" t="s">
        <v>99</v>
      </c>
      <c r="C8" s="151" t="s">
        <v>200</v>
      </c>
      <c r="D8" s="148">
        <v>555000.0</v>
      </c>
      <c r="E8" s="150" t="s">
        <v>202</v>
      </c>
      <c r="F8" s="147">
        <v>0.0</v>
      </c>
      <c r="G8" s="148">
        <v>0.0</v>
      </c>
      <c r="H8" s="147">
        <v>0.0</v>
      </c>
      <c r="I8" s="148">
        <v>0.0</v>
      </c>
      <c r="J8" s="149">
        <v>0.0</v>
      </c>
    </row>
    <row r="9">
      <c r="A9" s="144">
        <v>43743.0</v>
      </c>
      <c r="B9" s="145" t="s">
        <v>46</v>
      </c>
      <c r="C9" s="150" t="s">
        <v>200</v>
      </c>
      <c r="D9" s="148">
        <v>700000.0</v>
      </c>
      <c r="E9" s="150" t="s">
        <v>202</v>
      </c>
      <c r="F9" s="147">
        <v>0.0</v>
      </c>
      <c r="G9" s="148">
        <v>0.0</v>
      </c>
      <c r="H9" s="147">
        <v>0.0</v>
      </c>
      <c r="I9" s="148">
        <v>0.0</v>
      </c>
      <c r="J9" s="149">
        <v>0.0</v>
      </c>
    </row>
    <row r="10">
      <c r="A10" s="144">
        <v>43743.0</v>
      </c>
      <c r="B10" s="145" t="s">
        <v>100</v>
      </c>
      <c r="C10" s="150" t="s">
        <v>200</v>
      </c>
      <c r="D10" s="148">
        <v>328000.0</v>
      </c>
      <c r="E10" s="150" t="s">
        <v>202</v>
      </c>
      <c r="F10" s="147">
        <v>0.0</v>
      </c>
      <c r="G10" s="148">
        <v>0.0</v>
      </c>
      <c r="H10" s="147">
        <v>0.0</v>
      </c>
      <c r="I10" s="148">
        <v>0.0</v>
      </c>
      <c r="J10" s="149">
        <v>0.0</v>
      </c>
    </row>
    <row r="11">
      <c r="A11" s="144">
        <v>43743.0</v>
      </c>
      <c r="B11" s="145" t="s">
        <v>101</v>
      </c>
      <c r="C11" s="150" t="s">
        <v>200</v>
      </c>
      <c r="D11" s="148">
        <v>497440.0</v>
      </c>
      <c r="E11" s="150" t="s">
        <v>202</v>
      </c>
      <c r="F11" s="147">
        <v>0.0</v>
      </c>
      <c r="G11" s="148">
        <v>0.0</v>
      </c>
      <c r="H11" s="147">
        <v>0.0</v>
      </c>
      <c r="I11" s="148">
        <v>0.0</v>
      </c>
      <c r="J11" s="149">
        <v>0.0</v>
      </c>
    </row>
    <row r="12">
      <c r="A12" s="144">
        <v>43743.0</v>
      </c>
      <c r="B12" s="145" t="s">
        <v>102</v>
      </c>
      <c r="C12" s="150" t="s">
        <v>200</v>
      </c>
      <c r="D12" s="148">
        <v>409300.0</v>
      </c>
      <c r="E12" s="150" t="s">
        <v>202</v>
      </c>
      <c r="F12" s="147">
        <v>0.0</v>
      </c>
      <c r="G12" s="148">
        <v>0.0</v>
      </c>
      <c r="H12" s="147">
        <v>0.0</v>
      </c>
      <c r="I12" s="148">
        <v>0.0</v>
      </c>
      <c r="J12" s="149">
        <v>0.0</v>
      </c>
    </row>
    <row r="13">
      <c r="A13" s="144">
        <v>43743.0</v>
      </c>
      <c r="B13" s="145" t="s">
        <v>103</v>
      </c>
      <c r="C13" s="150" t="s">
        <v>200</v>
      </c>
      <c r="D13" s="148">
        <v>1090000.0</v>
      </c>
      <c r="E13" s="150" t="s">
        <v>202</v>
      </c>
      <c r="F13" s="147">
        <v>0.0</v>
      </c>
      <c r="G13" s="148">
        <v>0.0</v>
      </c>
      <c r="H13" s="147">
        <v>0.0</v>
      </c>
      <c r="I13" s="148">
        <v>0.0</v>
      </c>
      <c r="J13" s="149">
        <v>0.0</v>
      </c>
    </row>
    <row r="14">
      <c r="A14" s="144">
        <v>43743.0</v>
      </c>
      <c r="B14" s="145" t="s">
        <v>104</v>
      </c>
      <c r="C14" s="150" t="s">
        <v>200</v>
      </c>
      <c r="D14" s="148">
        <v>126000.0</v>
      </c>
      <c r="E14" s="150" t="s">
        <v>202</v>
      </c>
      <c r="F14" s="147">
        <v>0.0</v>
      </c>
      <c r="G14" s="148">
        <v>0.0</v>
      </c>
      <c r="H14" s="147">
        <v>0.0</v>
      </c>
      <c r="I14" s="148">
        <v>0.0</v>
      </c>
      <c r="J14" s="149">
        <v>0.0</v>
      </c>
    </row>
    <row r="15">
      <c r="A15" s="144">
        <v>43743.0</v>
      </c>
      <c r="B15" s="145" t="s">
        <v>105</v>
      </c>
      <c r="C15" s="150" t="s">
        <v>200</v>
      </c>
      <c r="D15" s="148">
        <v>400000.0</v>
      </c>
      <c r="E15" s="150" t="s">
        <v>202</v>
      </c>
      <c r="F15" s="147">
        <v>0.0</v>
      </c>
      <c r="G15" s="148">
        <v>0.0</v>
      </c>
      <c r="H15" s="147">
        <v>0.0</v>
      </c>
      <c r="I15" s="148">
        <v>0.0</v>
      </c>
      <c r="J15" s="149">
        <v>0.0</v>
      </c>
    </row>
    <row r="16">
      <c r="A16" s="144">
        <v>43743.0</v>
      </c>
      <c r="B16" s="145" t="s">
        <v>106</v>
      </c>
      <c r="C16" s="151" t="s">
        <v>200</v>
      </c>
      <c r="D16" s="148">
        <v>187000.0</v>
      </c>
      <c r="E16" s="150" t="s">
        <v>202</v>
      </c>
      <c r="F16" s="147">
        <v>0.0</v>
      </c>
      <c r="G16" s="148">
        <v>0.0</v>
      </c>
      <c r="H16" s="147">
        <v>0.0</v>
      </c>
      <c r="I16" s="148">
        <v>0.0</v>
      </c>
      <c r="J16" s="149">
        <v>0.0</v>
      </c>
    </row>
    <row r="17">
      <c r="A17" s="144">
        <v>43743.0</v>
      </c>
      <c r="B17" s="145" t="s">
        <v>107</v>
      </c>
      <c r="C17" s="151" t="s">
        <v>200</v>
      </c>
      <c r="D17" s="148">
        <v>1000000.0</v>
      </c>
      <c r="E17" s="150" t="s">
        <v>202</v>
      </c>
      <c r="F17" s="147">
        <v>0.0</v>
      </c>
      <c r="G17" s="148">
        <v>0.0</v>
      </c>
      <c r="H17" s="147">
        <v>0.0</v>
      </c>
      <c r="I17" s="148">
        <v>0.0</v>
      </c>
      <c r="J17" s="149">
        <v>0.0</v>
      </c>
    </row>
    <row r="18">
      <c r="A18" s="144">
        <v>43743.0</v>
      </c>
      <c r="B18" s="150" t="s">
        <v>108</v>
      </c>
      <c r="C18" s="150" t="s">
        <v>200</v>
      </c>
      <c r="D18" s="148">
        <v>620000.0</v>
      </c>
      <c r="E18" s="150" t="s">
        <v>202</v>
      </c>
      <c r="F18" s="147">
        <v>0.0</v>
      </c>
      <c r="G18" s="148">
        <v>0.0</v>
      </c>
      <c r="H18" s="147">
        <v>0.0</v>
      </c>
      <c r="I18" s="148">
        <v>0.0</v>
      </c>
      <c r="J18" s="149">
        <v>0.0</v>
      </c>
    </row>
    <row r="19">
      <c r="A19" s="144">
        <v>43743.0</v>
      </c>
      <c r="B19" s="145" t="s">
        <v>109</v>
      </c>
      <c r="C19" s="150" t="s">
        <v>200</v>
      </c>
      <c r="D19" s="148">
        <v>2399925.0</v>
      </c>
      <c r="E19" s="150" t="s">
        <v>202</v>
      </c>
      <c r="F19" s="147">
        <v>0.0</v>
      </c>
      <c r="G19" s="148">
        <v>0.0</v>
      </c>
      <c r="H19" s="147">
        <v>0.0</v>
      </c>
      <c r="I19" s="148">
        <v>0.0</v>
      </c>
      <c r="J19" s="149">
        <v>0.0</v>
      </c>
    </row>
    <row r="20">
      <c r="A20" s="144">
        <v>43743.0</v>
      </c>
      <c r="B20" s="150" t="s">
        <v>110</v>
      </c>
      <c r="C20" s="150" t="s">
        <v>200</v>
      </c>
      <c r="D20" s="148">
        <v>2.025962E7</v>
      </c>
      <c r="E20" s="150" t="s">
        <v>202</v>
      </c>
      <c r="F20" s="147">
        <v>0.0</v>
      </c>
      <c r="G20" s="148">
        <v>0.0</v>
      </c>
      <c r="H20" s="147">
        <v>0.0</v>
      </c>
      <c r="I20" s="148">
        <v>0.0</v>
      </c>
      <c r="J20" s="149">
        <v>0.0</v>
      </c>
    </row>
    <row r="21">
      <c r="A21" s="144">
        <v>43743.0</v>
      </c>
      <c r="B21" s="150" t="s">
        <v>111</v>
      </c>
      <c r="C21" s="150" t="s">
        <v>200</v>
      </c>
      <c r="D21" s="148">
        <v>340094.0</v>
      </c>
      <c r="E21" s="150" t="s">
        <v>202</v>
      </c>
      <c r="F21" s="147">
        <v>0.0</v>
      </c>
      <c r="G21" s="148">
        <v>0.0</v>
      </c>
      <c r="H21" s="147">
        <v>0.0</v>
      </c>
      <c r="I21" s="148">
        <v>0.0</v>
      </c>
      <c r="J21" s="149">
        <v>0.0</v>
      </c>
    </row>
    <row r="22">
      <c r="A22" s="144">
        <v>43743.0</v>
      </c>
      <c r="B22" s="150" t="s">
        <v>112</v>
      </c>
      <c r="C22" s="150" t="s">
        <v>200</v>
      </c>
      <c r="D22" s="148">
        <v>120000.0</v>
      </c>
      <c r="E22" s="150" t="s">
        <v>202</v>
      </c>
      <c r="F22" s="147">
        <v>0.0</v>
      </c>
      <c r="G22" s="148">
        <v>0.0</v>
      </c>
      <c r="H22" s="147">
        <v>0.0</v>
      </c>
      <c r="I22" s="148">
        <v>0.0</v>
      </c>
      <c r="J22" s="149">
        <v>0.0</v>
      </c>
    </row>
    <row r="23">
      <c r="A23" s="144">
        <v>43743.0</v>
      </c>
      <c r="B23" s="145" t="s">
        <v>113</v>
      </c>
      <c r="C23" s="150" t="s">
        <v>200</v>
      </c>
      <c r="D23" s="148">
        <v>300000.0</v>
      </c>
      <c r="E23" s="150" t="s">
        <v>202</v>
      </c>
      <c r="F23" s="147">
        <v>0.0</v>
      </c>
      <c r="G23" s="148">
        <v>0.0</v>
      </c>
      <c r="H23" s="147">
        <v>0.0</v>
      </c>
      <c r="I23" s="148">
        <v>0.0</v>
      </c>
      <c r="J23" s="149">
        <v>0.0</v>
      </c>
    </row>
    <row r="24">
      <c r="A24" s="144">
        <v>43743.0</v>
      </c>
      <c r="B24" s="150" t="s">
        <v>114</v>
      </c>
      <c r="C24" s="150" t="s">
        <v>200</v>
      </c>
      <c r="D24" s="148">
        <v>200000.0</v>
      </c>
      <c r="E24" s="150" t="s">
        <v>202</v>
      </c>
      <c r="F24" s="147">
        <v>0.0</v>
      </c>
      <c r="G24" s="148">
        <v>0.0</v>
      </c>
      <c r="H24" s="147">
        <v>0.0</v>
      </c>
      <c r="I24" s="148">
        <v>0.0</v>
      </c>
      <c r="J24" s="149">
        <v>0.0</v>
      </c>
    </row>
    <row r="25">
      <c r="A25" s="144">
        <v>43743.0</v>
      </c>
      <c r="B25" s="150" t="s">
        <v>115</v>
      </c>
      <c r="C25" s="150" t="s">
        <v>200</v>
      </c>
      <c r="D25" s="148">
        <v>1200000.0</v>
      </c>
      <c r="E25" s="150" t="s">
        <v>202</v>
      </c>
      <c r="F25" s="147">
        <v>0.0</v>
      </c>
      <c r="G25" s="148">
        <v>0.0</v>
      </c>
      <c r="H25" s="147">
        <v>0.0</v>
      </c>
      <c r="I25" s="148">
        <v>0.0</v>
      </c>
      <c r="J25" s="149">
        <v>0.0</v>
      </c>
    </row>
    <row r="26">
      <c r="A26" s="144">
        <v>43743.0</v>
      </c>
      <c r="B26" s="150" t="s">
        <v>116</v>
      </c>
      <c r="C26" s="150" t="s">
        <v>200</v>
      </c>
      <c r="D26" s="148">
        <v>323719.0</v>
      </c>
      <c r="E26" s="150" t="s">
        <v>202</v>
      </c>
      <c r="F26" s="147">
        <v>0.0</v>
      </c>
      <c r="G26" s="148">
        <v>0.0</v>
      </c>
      <c r="H26" s="148">
        <v>0.0</v>
      </c>
      <c r="I26" s="148">
        <v>0.0</v>
      </c>
      <c r="J26" s="149">
        <v>0.0</v>
      </c>
    </row>
    <row r="27">
      <c r="A27" s="144">
        <v>43743.0</v>
      </c>
      <c r="B27" s="145" t="s">
        <v>117</v>
      </c>
      <c r="C27" s="150" t="s">
        <v>200</v>
      </c>
      <c r="D27" s="148">
        <v>2600000.0</v>
      </c>
      <c r="E27" s="150" t="s">
        <v>202</v>
      </c>
      <c r="F27" s="147">
        <v>0.0</v>
      </c>
      <c r="G27" s="148">
        <v>0.0</v>
      </c>
      <c r="H27" s="147">
        <v>0.0</v>
      </c>
      <c r="I27" s="148">
        <v>0.0</v>
      </c>
      <c r="J27" s="149">
        <v>0.0</v>
      </c>
    </row>
    <row r="28">
      <c r="A28" s="144">
        <v>43743.0</v>
      </c>
      <c r="B28" s="145" t="s">
        <v>118</v>
      </c>
      <c r="C28" s="150" t="s">
        <v>200</v>
      </c>
      <c r="D28" s="148">
        <v>1.3090265E7</v>
      </c>
      <c r="E28" s="150" t="s">
        <v>202</v>
      </c>
      <c r="F28" s="147">
        <v>0.0</v>
      </c>
      <c r="G28" s="148">
        <v>0.0</v>
      </c>
      <c r="H28" s="147">
        <v>0.0</v>
      </c>
      <c r="I28" s="148">
        <v>0.0</v>
      </c>
      <c r="J28" s="149">
        <v>0.0</v>
      </c>
    </row>
    <row r="29">
      <c r="A29" s="144">
        <v>43743.0</v>
      </c>
      <c r="B29" s="145" t="s">
        <v>119</v>
      </c>
      <c r="C29" s="151" t="s">
        <v>200</v>
      </c>
      <c r="D29" s="148">
        <v>500000.0</v>
      </c>
      <c r="E29" s="150" t="s">
        <v>202</v>
      </c>
      <c r="F29" s="147">
        <v>0.0</v>
      </c>
      <c r="G29" s="148">
        <v>0.0</v>
      </c>
      <c r="H29" s="147">
        <v>0.0</v>
      </c>
      <c r="I29" s="148">
        <v>0.0</v>
      </c>
      <c r="J29" s="149">
        <v>0.0</v>
      </c>
    </row>
    <row r="30">
      <c r="A30" s="144">
        <v>43743.0</v>
      </c>
      <c r="B30" s="145" t="s">
        <v>120</v>
      </c>
      <c r="C30" s="151" t="s">
        <v>200</v>
      </c>
      <c r="D30" s="148">
        <v>840000.0</v>
      </c>
      <c r="E30" s="150" t="s">
        <v>202</v>
      </c>
      <c r="F30" s="147">
        <v>0.0</v>
      </c>
      <c r="G30" s="148">
        <v>0.0</v>
      </c>
      <c r="H30" s="147">
        <v>0.0</v>
      </c>
      <c r="I30" s="148">
        <v>0.0</v>
      </c>
      <c r="J30" s="149">
        <v>0.0</v>
      </c>
    </row>
    <row r="31">
      <c r="A31" s="144">
        <v>43743.0</v>
      </c>
      <c r="B31" s="145" t="s">
        <v>121</v>
      </c>
      <c r="C31" s="150" t="s">
        <v>200</v>
      </c>
      <c r="D31" s="148">
        <v>920000.0</v>
      </c>
      <c r="E31" s="150" t="s">
        <v>202</v>
      </c>
      <c r="F31" s="147">
        <v>0.0</v>
      </c>
      <c r="G31" s="148">
        <v>0.0</v>
      </c>
      <c r="H31" s="147">
        <v>0.0</v>
      </c>
      <c r="I31" s="148">
        <v>0.0</v>
      </c>
      <c r="J31" s="149">
        <v>0.0</v>
      </c>
    </row>
    <row r="32">
      <c r="A32" s="144">
        <v>43743.0</v>
      </c>
      <c r="B32" s="145" t="s">
        <v>122</v>
      </c>
      <c r="C32" s="150" t="s">
        <v>200</v>
      </c>
      <c r="D32" s="148">
        <v>400000.0</v>
      </c>
      <c r="E32" s="150" t="s">
        <v>202</v>
      </c>
      <c r="F32" s="147">
        <v>0.0</v>
      </c>
      <c r="G32" s="148">
        <v>0.0</v>
      </c>
      <c r="H32" s="147">
        <v>0.0</v>
      </c>
      <c r="I32" s="148">
        <v>0.0</v>
      </c>
      <c r="J32" s="149">
        <v>0.0</v>
      </c>
    </row>
    <row r="33">
      <c r="A33" s="144">
        <v>43743.0</v>
      </c>
      <c r="B33" s="145" t="s">
        <v>123</v>
      </c>
      <c r="C33" s="150" t="s">
        <v>200</v>
      </c>
      <c r="D33" s="148">
        <v>1000000.0</v>
      </c>
      <c r="E33" s="150" t="s">
        <v>202</v>
      </c>
      <c r="F33" s="147">
        <v>0.0</v>
      </c>
      <c r="G33" s="148">
        <v>0.0</v>
      </c>
      <c r="H33" s="147">
        <v>0.0</v>
      </c>
      <c r="I33" s="148">
        <v>0.0</v>
      </c>
      <c r="J33" s="149">
        <v>0.0</v>
      </c>
    </row>
    <row r="34">
      <c r="A34" s="144">
        <v>43743.0</v>
      </c>
      <c r="B34" s="145" t="s">
        <v>124</v>
      </c>
      <c r="C34" s="150" t="s">
        <v>200</v>
      </c>
      <c r="D34" s="148">
        <v>510000.0</v>
      </c>
      <c r="E34" s="150" t="s">
        <v>202</v>
      </c>
      <c r="F34" s="147">
        <v>0.0</v>
      </c>
      <c r="G34" s="148">
        <v>0.0</v>
      </c>
      <c r="H34" s="147">
        <v>0.0</v>
      </c>
      <c r="I34" s="148">
        <v>0.0</v>
      </c>
      <c r="J34" s="149">
        <v>0.0</v>
      </c>
    </row>
    <row r="35">
      <c r="A35" s="144">
        <v>43743.0</v>
      </c>
      <c r="B35" s="145" t="s">
        <v>125</v>
      </c>
      <c r="C35" s="150" t="s">
        <v>200</v>
      </c>
      <c r="D35" s="148">
        <v>1517570.0</v>
      </c>
      <c r="E35" s="150" t="s">
        <v>202</v>
      </c>
      <c r="F35" s="147">
        <v>0.0</v>
      </c>
      <c r="G35" s="148">
        <v>0.0</v>
      </c>
      <c r="H35" s="147">
        <v>0.0</v>
      </c>
      <c r="I35" s="148">
        <v>0.0</v>
      </c>
      <c r="J35" s="149">
        <v>0.0</v>
      </c>
    </row>
    <row r="36">
      <c r="A36" s="144">
        <v>43743.0</v>
      </c>
      <c r="B36" s="145" t="s">
        <v>126</v>
      </c>
      <c r="C36" s="150" t="s">
        <v>200</v>
      </c>
      <c r="D36" s="148">
        <v>800000.0</v>
      </c>
      <c r="E36" s="150" t="s">
        <v>202</v>
      </c>
      <c r="F36" s="147">
        <v>0.0</v>
      </c>
      <c r="G36" s="148">
        <v>0.0</v>
      </c>
      <c r="H36" s="147">
        <v>0.0</v>
      </c>
      <c r="I36" s="148">
        <v>0.0</v>
      </c>
      <c r="J36" s="149">
        <v>0.0</v>
      </c>
    </row>
    <row r="37">
      <c r="A37" s="144">
        <v>43743.0</v>
      </c>
      <c r="B37" s="145" t="s">
        <v>127</v>
      </c>
      <c r="C37" s="150" t="s">
        <v>200</v>
      </c>
      <c r="D37" s="148">
        <v>2376910.0</v>
      </c>
      <c r="E37" s="150" t="s">
        <v>202</v>
      </c>
      <c r="F37" s="147">
        <v>0.0</v>
      </c>
      <c r="G37" s="148">
        <v>0.0</v>
      </c>
      <c r="H37" s="147">
        <v>0.0</v>
      </c>
      <c r="I37" s="148">
        <v>0.0</v>
      </c>
      <c r="J37" s="149">
        <v>0.0</v>
      </c>
    </row>
    <row r="38">
      <c r="A38" s="144">
        <v>43743.0</v>
      </c>
      <c r="B38" s="145" t="s">
        <v>128</v>
      </c>
      <c r="C38" s="150" t="s">
        <v>200</v>
      </c>
      <c r="D38" s="148">
        <v>46550.0</v>
      </c>
      <c r="E38" s="150" t="s">
        <v>202</v>
      </c>
      <c r="F38" s="147">
        <v>0.0</v>
      </c>
      <c r="G38" s="148">
        <v>0.0</v>
      </c>
      <c r="H38" s="147">
        <v>0.0</v>
      </c>
      <c r="I38" s="148">
        <v>0.0</v>
      </c>
      <c r="J38" s="149">
        <v>0.0</v>
      </c>
    </row>
    <row r="39">
      <c r="A39" s="144">
        <v>43743.0</v>
      </c>
      <c r="B39" s="145" t="s">
        <v>129</v>
      </c>
      <c r="C39" s="150" t="s">
        <v>200</v>
      </c>
      <c r="D39" s="148">
        <v>249707.0</v>
      </c>
      <c r="E39" s="150" t="s">
        <v>202</v>
      </c>
      <c r="F39" s="147">
        <v>0.0</v>
      </c>
      <c r="G39" s="148">
        <v>0.0</v>
      </c>
      <c r="H39" s="147">
        <v>0.0</v>
      </c>
      <c r="I39" s="148">
        <v>0.0</v>
      </c>
      <c r="J39" s="149">
        <v>0.0</v>
      </c>
    </row>
    <row r="40">
      <c r="A40" s="144">
        <v>43743.0</v>
      </c>
      <c r="B40" s="145" t="s">
        <v>130</v>
      </c>
      <c r="C40" s="151" t="s">
        <v>200</v>
      </c>
      <c r="D40" s="148">
        <v>535525.0</v>
      </c>
      <c r="E40" s="150" t="s">
        <v>202</v>
      </c>
      <c r="F40" s="147">
        <v>0.0</v>
      </c>
      <c r="G40" s="148">
        <v>0.0</v>
      </c>
      <c r="H40" s="147">
        <v>0.0</v>
      </c>
      <c r="I40" s="148">
        <v>0.0</v>
      </c>
      <c r="J40" s="149">
        <v>0.0</v>
      </c>
    </row>
    <row r="41">
      <c r="A41" s="144">
        <v>43743.0</v>
      </c>
      <c r="B41" s="145" t="s">
        <v>131</v>
      </c>
      <c r="C41" s="151" t="s">
        <v>200</v>
      </c>
      <c r="D41" s="148">
        <v>1318980.0</v>
      </c>
      <c r="E41" s="150" t="s">
        <v>202</v>
      </c>
      <c r="F41" s="147">
        <v>0.0</v>
      </c>
      <c r="G41" s="148">
        <v>0.0</v>
      </c>
      <c r="H41" s="147">
        <v>0.0</v>
      </c>
      <c r="I41" s="148">
        <v>0.0</v>
      </c>
      <c r="J41" s="149">
        <v>0.0</v>
      </c>
    </row>
    <row r="42">
      <c r="A42" s="144">
        <v>43743.0</v>
      </c>
      <c r="B42" s="150" t="s">
        <v>132</v>
      </c>
      <c r="C42" s="151" t="s">
        <v>200</v>
      </c>
      <c r="D42" s="148">
        <v>300000.0</v>
      </c>
      <c r="E42" s="150" t="s">
        <v>202</v>
      </c>
      <c r="F42" s="147">
        <v>0.0</v>
      </c>
      <c r="G42" s="148">
        <v>0.0</v>
      </c>
      <c r="H42" s="147">
        <v>0.0</v>
      </c>
      <c r="I42" s="148">
        <v>0.0</v>
      </c>
      <c r="J42" s="149">
        <v>0.0</v>
      </c>
    </row>
    <row r="43">
      <c r="A43" s="144">
        <v>43743.0</v>
      </c>
      <c r="B43" s="145" t="s">
        <v>133</v>
      </c>
      <c r="C43" s="151" t="s">
        <v>200</v>
      </c>
      <c r="D43" s="148">
        <v>200000.0</v>
      </c>
      <c r="E43" s="150" t="s">
        <v>202</v>
      </c>
      <c r="F43" s="147">
        <v>0.0</v>
      </c>
      <c r="G43" s="148">
        <v>0.0</v>
      </c>
      <c r="H43" s="147">
        <v>0.0</v>
      </c>
      <c r="I43" s="148">
        <v>0.0</v>
      </c>
      <c r="J43" s="149">
        <v>0.0</v>
      </c>
    </row>
    <row r="44">
      <c r="A44" s="144">
        <v>43743.0</v>
      </c>
      <c r="B44" s="145" t="s">
        <v>134</v>
      </c>
      <c r="C44" s="150" t="s">
        <v>200</v>
      </c>
      <c r="D44" s="152">
        <v>16000.0</v>
      </c>
      <c r="E44" s="150" t="s">
        <v>202</v>
      </c>
      <c r="F44" s="153">
        <v>0.0</v>
      </c>
      <c r="G44" s="152">
        <v>0.0</v>
      </c>
      <c r="H44" s="153">
        <v>0.0</v>
      </c>
      <c r="I44" s="152">
        <v>0.0</v>
      </c>
      <c r="J44" s="154">
        <v>0.0</v>
      </c>
    </row>
    <row r="45">
      <c r="A45" s="144">
        <v>43743.0</v>
      </c>
      <c r="B45" s="145" t="s">
        <v>135</v>
      </c>
      <c r="C45" s="150" t="s">
        <v>200</v>
      </c>
      <c r="D45" s="148">
        <v>30000.0</v>
      </c>
      <c r="E45" s="150" t="s">
        <v>202</v>
      </c>
      <c r="F45" s="147">
        <v>0.0</v>
      </c>
      <c r="G45" s="148">
        <v>0.0</v>
      </c>
      <c r="H45" s="147">
        <v>0.0</v>
      </c>
      <c r="I45" s="148">
        <v>0.0</v>
      </c>
      <c r="J45" s="149">
        <v>0.0</v>
      </c>
    </row>
    <row r="46">
      <c r="A46" s="144">
        <v>43743.0</v>
      </c>
      <c r="B46" s="145" t="s">
        <v>136</v>
      </c>
      <c r="C46" s="150" t="s">
        <v>200</v>
      </c>
      <c r="D46" s="148">
        <v>215000.0</v>
      </c>
      <c r="E46" s="150" t="s">
        <v>202</v>
      </c>
      <c r="F46" s="147">
        <v>0.0</v>
      </c>
      <c r="G46" s="148">
        <v>0.0</v>
      </c>
      <c r="H46" s="147">
        <v>0.0</v>
      </c>
      <c r="I46" s="148">
        <v>0.0</v>
      </c>
      <c r="J46" s="149">
        <v>0.0</v>
      </c>
    </row>
    <row r="47">
      <c r="A47" s="18">
        <v>44026.0</v>
      </c>
      <c r="B47" s="145" t="s">
        <v>137</v>
      </c>
      <c r="C47" s="150" t="s">
        <v>200</v>
      </c>
      <c r="D47" s="148">
        <v>190000.0</v>
      </c>
      <c r="E47" s="150" t="s">
        <v>202</v>
      </c>
      <c r="F47" s="147">
        <v>0.0</v>
      </c>
      <c r="G47" s="148">
        <v>0.0</v>
      </c>
      <c r="H47" s="147">
        <v>0.0</v>
      </c>
      <c r="I47" s="148">
        <v>0.0</v>
      </c>
      <c r="J47" s="149">
        <v>0.0</v>
      </c>
    </row>
    <row r="48">
      <c r="A48" s="18">
        <v>44026.0</v>
      </c>
      <c r="B48" s="145" t="s">
        <v>138</v>
      </c>
      <c r="C48" s="150" t="s">
        <v>200</v>
      </c>
      <c r="D48" s="148">
        <v>150000.0</v>
      </c>
      <c r="E48" s="150" t="s">
        <v>202</v>
      </c>
      <c r="F48" s="147">
        <v>0.0</v>
      </c>
      <c r="G48" s="148">
        <v>0.0</v>
      </c>
      <c r="H48" s="147">
        <v>0.0</v>
      </c>
      <c r="I48" s="148">
        <v>0.0</v>
      </c>
      <c r="J48" s="149">
        <v>0.0</v>
      </c>
    </row>
    <row r="49">
      <c r="A49" s="18">
        <v>44026.0</v>
      </c>
      <c r="B49" s="145" t="s">
        <v>139</v>
      </c>
      <c r="C49" s="150" t="s">
        <v>200</v>
      </c>
      <c r="D49" s="148">
        <v>300000.0</v>
      </c>
      <c r="E49" s="150" t="s">
        <v>202</v>
      </c>
      <c r="F49" s="147">
        <v>0.0</v>
      </c>
      <c r="G49" s="148">
        <v>0.0</v>
      </c>
      <c r="H49" s="147">
        <v>0.0</v>
      </c>
      <c r="I49" s="148">
        <v>0.0</v>
      </c>
      <c r="J49" s="149">
        <v>0.0</v>
      </c>
    </row>
    <row r="50">
      <c r="A50" s="18">
        <v>44026.0</v>
      </c>
      <c r="B50" s="145" t="s">
        <v>140</v>
      </c>
      <c r="C50" s="150" t="s">
        <v>200</v>
      </c>
      <c r="D50" s="148">
        <v>200000.0</v>
      </c>
      <c r="E50" s="150" t="s">
        <v>202</v>
      </c>
      <c r="F50" s="147">
        <v>0.0</v>
      </c>
      <c r="G50" s="148">
        <v>0.0</v>
      </c>
      <c r="H50" s="147">
        <v>0.0</v>
      </c>
      <c r="I50" s="148">
        <v>0.0</v>
      </c>
      <c r="J50" s="149">
        <v>0.0</v>
      </c>
    </row>
    <row r="51">
      <c r="A51" s="18">
        <v>44026.0</v>
      </c>
      <c r="B51" s="145" t="s">
        <v>141</v>
      </c>
      <c r="C51" s="150" t="s">
        <v>200</v>
      </c>
      <c r="D51" s="148">
        <v>879440.0</v>
      </c>
      <c r="E51" s="150" t="s">
        <v>202</v>
      </c>
      <c r="F51" s="147">
        <v>0.0</v>
      </c>
      <c r="G51" s="148">
        <v>0.0</v>
      </c>
      <c r="H51" s="147">
        <v>0.0</v>
      </c>
      <c r="I51" s="148">
        <v>0.0</v>
      </c>
      <c r="J51" s="149">
        <v>0.0</v>
      </c>
    </row>
    <row r="52">
      <c r="A52" s="18">
        <v>44026.0</v>
      </c>
      <c r="B52" s="145" t="s">
        <v>142</v>
      </c>
      <c r="C52" s="150" t="s">
        <v>200</v>
      </c>
      <c r="D52" s="148">
        <v>30000.0</v>
      </c>
      <c r="E52" s="150" t="s">
        <v>202</v>
      </c>
      <c r="F52" s="147">
        <v>0.0</v>
      </c>
      <c r="G52" s="148">
        <v>0.0</v>
      </c>
      <c r="H52" s="147">
        <v>0.0</v>
      </c>
      <c r="I52" s="148">
        <v>0.0</v>
      </c>
      <c r="J52" s="149">
        <v>0.0</v>
      </c>
    </row>
    <row r="53">
      <c r="A53" s="18">
        <v>44026.0</v>
      </c>
      <c r="B53" s="145" t="s">
        <v>143</v>
      </c>
      <c r="C53" s="150" t="s">
        <v>200</v>
      </c>
      <c r="D53" s="148">
        <v>280000.0</v>
      </c>
      <c r="E53" s="150" t="s">
        <v>202</v>
      </c>
      <c r="F53" s="147">
        <v>0.0</v>
      </c>
      <c r="G53" s="148">
        <v>0.0</v>
      </c>
      <c r="H53" s="147">
        <v>0.0</v>
      </c>
      <c r="I53" s="148">
        <v>0.0</v>
      </c>
      <c r="J53" s="149">
        <v>0.0</v>
      </c>
    </row>
    <row r="54">
      <c r="A54" s="18">
        <v>44026.0</v>
      </c>
      <c r="B54" s="145" t="s">
        <v>144</v>
      </c>
      <c r="C54" s="150" t="s">
        <v>200</v>
      </c>
      <c r="D54" s="148">
        <v>237000.0</v>
      </c>
      <c r="E54" s="150" t="s">
        <v>202</v>
      </c>
      <c r="F54" s="147">
        <v>0.0</v>
      </c>
      <c r="G54" s="148">
        <v>0.0</v>
      </c>
      <c r="H54" s="147">
        <v>0.0</v>
      </c>
      <c r="I54" s="148">
        <v>0.0</v>
      </c>
      <c r="J54" s="149">
        <v>0.0</v>
      </c>
    </row>
    <row r="55">
      <c r="A55" s="18">
        <v>44026.0</v>
      </c>
      <c r="B55" s="145" t="s">
        <v>145</v>
      </c>
      <c r="C55" s="151" t="s">
        <v>200</v>
      </c>
      <c r="D55" s="148">
        <v>220000.0</v>
      </c>
      <c r="E55" s="150" t="s">
        <v>202</v>
      </c>
      <c r="F55" s="147">
        <v>0.0</v>
      </c>
      <c r="G55" s="148">
        <v>0.0</v>
      </c>
      <c r="H55" s="147">
        <v>0.0</v>
      </c>
      <c r="I55" s="148">
        <v>0.0</v>
      </c>
      <c r="J55" s="149">
        <v>0.0</v>
      </c>
    </row>
    <row r="56">
      <c r="A56" s="18">
        <v>44026.0</v>
      </c>
      <c r="B56" s="145" t="s">
        <v>146</v>
      </c>
      <c r="C56" s="151" t="s">
        <v>200</v>
      </c>
      <c r="D56" s="148">
        <v>1200000.0</v>
      </c>
      <c r="E56" s="150" t="s">
        <v>202</v>
      </c>
      <c r="F56" s="147">
        <v>0.0</v>
      </c>
      <c r="G56" s="148">
        <v>0.0</v>
      </c>
      <c r="H56" s="147">
        <v>0.0</v>
      </c>
      <c r="I56" s="148">
        <v>0.0</v>
      </c>
      <c r="J56" s="149">
        <v>0.0</v>
      </c>
    </row>
    <row r="57">
      <c r="A57" s="18">
        <v>44026.0</v>
      </c>
      <c r="B57" s="145" t="s">
        <v>25</v>
      </c>
      <c r="C57" s="151" t="s">
        <v>200</v>
      </c>
      <c r="D57" s="148">
        <v>1500000.0</v>
      </c>
      <c r="E57" s="150" t="s">
        <v>202</v>
      </c>
      <c r="F57" s="147">
        <v>0.0</v>
      </c>
      <c r="G57" s="148">
        <v>0.0</v>
      </c>
      <c r="H57" s="147">
        <v>0.0</v>
      </c>
      <c r="I57" s="148">
        <v>0.0</v>
      </c>
      <c r="J57" s="149">
        <v>0.0</v>
      </c>
    </row>
    <row r="58">
      <c r="A58" s="18">
        <v>44026.0</v>
      </c>
      <c r="B58" s="145" t="s">
        <v>147</v>
      </c>
      <c r="C58" s="150" t="s">
        <v>200</v>
      </c>
      <c r="D58" s="148">
        <v>165400.0</v>
      </c>
      <c r="E58" s="150" t="s">
        <v>202</v>
      </c>
      <c r="F58" s="147">
        <v>0.0</v>
      </c>
      <c r="G58" s="148">
        <v>0.0</v>
      </c>
      <c r="H58" s="147">
        <v>0.0</v>
      </c>
      <c r="I58" s="148">
        <v>0.0</v>
      </c>
      <c r="J58" s="149">
        <v>0.0</v>
      </c>
    </row>
    <row r="59">
      <c r="A59" s="18">
        <v>44026.0</v>
      </c>
      <c r="B59" s="145" t="s">
        <v>148</v>
      </c>
      <c r="C59" s="150" t="s">
        <v>200</v>
      </c>
      <c r="D59" s="148">
        <v>5000.0</v>
      </c>
      <c r="E59" s="150" t="s">
        <v>202</v>
      </c>
      <c r="F59" s="147">
        <v>0.0</v>
      </c>
      <c r="G59" s="148">
        <v>0.0</v>
      </c>
      <c r="H59" s="147">
        <v>0.0</v>
      </c>
      <c r="I59" s="148">
        <v>0.0</v>
      </c>
      <c r="J59" s="149">
        <v>0.0</v>
      </c>
    </row>
    <row r="60">
      <c r="A60" s="18">
        <v>44026.0</v>
      </c>
      <c r="B60" s="145" t="s">
        <v>149</v>
      </c>
      <c r="C60" s="150" t="s">
        <v>200</v>
      </c>
      <c r="D60" s="148">
        <v>200000.0</v>
      </c>
      <c r="E60" s="150" t="s">
        <v>202</v>
      </c>
      <c r="F60" s="147">
        <v>0.0</v>
      </c>
      <c r="G60" s="148">
        <v>0.0</v>
      </c>
      <c r="H60" s="147">
        <v>0.0</v>
      </c>
      <c r="I60" s="148">
        <v>0.0</v>
      </c>
      <c r="J60" s="149">
        <v>0.0</v>
      </c>
    </row>
    <row r="61">
      <c r="A61" s="155">
        <v>44027.0</v>
      </c>
      <c r="B61" s="21" t="s">
        <v>203</v>
      </c>
      <c r="C61" s="21" t="s">
        <v>204</v>
      </c>
      <c r="D61" s="156">
        <v>6600.0</v>
      </c>
      <c r="E61" s="21" t="s">
        <v>205</v>
      </c>
      <c r="F61" s="156">
        <v>0.0</v>
      </c>
      <c r="G61" s="156">
        <v>6600.0</v>
      </c>
      <c r="H61" s="156">
        <v>0.0</v>
      </c>
      <c r="I61" s="156">
        <v>0.0</v>
      </c>
      <c r="J61" s="156">
        <v>0.0</v>
      </c>
    </row>
    <row r="62">
      <c r="A62" s="155">
        <v>44027.0</v>
      </c>
      <c r="B62" s="21" t="s">
        <v>203</v>
      </c>
      <c r="C62" s="21" t="s">
        <v>206</v>
      </c>
      <c r="D62" s="156">
        <v>4000.0</v>
      </c>
      <c r="E62" s="21" t="s">
        <v>205</v>
      </c>
      <c r="F62" s="156">
        <v>0.0</v>
      </c>
      <c r="G62" s="156">
        <v>4000.0</v>
      </c>
      <c r="H62" s="156">
        <v>0.0</v>
      </c>
      <c r="I62" s="156">
        <v>0.0</v>
      </c>
      <c r="J62" s="156">
        <v>0.0</v>
      </c>
    </row>
    <row r="63">
      <c r="A63" s="155">
        <v>44027.0</v>
      </c>
      <c r="B63" s="21" t="s">
        <v>207</v>
      </c>
      <c r="C63" s="21" t="s">
        <v>208</v>
      </c>
      <c r="D63" s="156">
        <v>1000.0</v>
      </c>
      <c r="E63" s="21" t="s">
        <v>205</v>
      </c>
      <c r="F63" s="156">
        <v>0.0</v>
      </c>
      <c r="G63" s="156">
        <v>1000.0</v>
      </c>
      <c r="H63" s="156">
        <v>0.0</v>
      </c>
      <c r="I63" s="156">
        <v>0.0</v>
      </c>
      <c r="J63" s="156">
        <v>0.0</v>
      </c>
    </row>
    <row r="64">
      <c r="A64" s="155">
        <v>44027.0</v>
      </c>
      <c r="B64" s="21" t="s">
        <v>124</v>
      </c>
      <c r="C64" s="21" t="s">
        <v>195</v>
      </c>
      <c r="D64" s="156">
        <v>200000.0</v>
      </c>
      <c r="E64" s="21" t="s">
        <v>202</v>
      </c>
      <c r="F64" s="156">
        <v>0.0</v>
      </c>
      <c r="G64" s="156">
        <v>0.0</v>
      </c>
      <c r="H64" s="156">
        <v>0.0</v>
      </c>
      <c r="I64" s="156">
        <v>0.0</v>
      </c>
      <c r="J64" s="156">
        <v>0.0</v>
      </c>
    </row>
    <row r="65">
      <c r="A65" s="155">
        <v>44027.0</v>
      </c>
      <c r="B65" s="21" t="s">
        <v>141</v>
      </c>
      <c r="C65" s="21" t="s">
        <v>195</v>
      </c>
      <c r="D65" s="156">
        <v>5000000.0</v>
      </c>
      <c r="E65" s="21" t="s">
        <v>202</v>
      </c>
      <c r="F65" s="156">
        <v>0.0</v>
      </c>
      <c r="G65" s="156">
        <v>0.0</v>
      </c>
      <c r="H65" s="156">
        <v>0.0</v>
      </c>
      <c r="I65" s="156">
        <v>0.0</v>
      </c>
      <c r="J65" s="156">
        <v>0.0</v>
      </c>
    </row>
    <row r="66">
      <c r="A66" s="155">
        <v>44027.0</v>
      </c>
      <c r="B66" s="21" t="s">
        <v>150</v>
      </c>
      <c r="C66" s="21" t="s">
        <v>195</v>
      </c>
      <c r="D66" s="156">
        <v>240000.0</v>
      </c>
      <c r="E66" s="21" t="s">
        <v>202</v>
      </c>
      <c r="F66" s="156">
        <v>0.0</v>
      </c>
      <c r="G66" s="156">
        <v>0.0</v>
      </c>
      <c r="H66" s="156">
        <v>0.0</v>
      </c>
      <c r="I66" s="156">
        <v>0.0</v>
      </c>
      <c r="J66" s="156">
        <v>0.0</v>
      </c>
    </row>
    <row r="67">
      <c r="A67" s="155">
        <v>44027.0</v>
      </c>
      <c r="B67" s="21" t="s">
        <v>151</v>
      </c>
      <c r="C67" s="21" t="s">
        <v>195</v>
      </c>
      <c r="D67" s="156">
        <v>245000.0</v>
      </c>
      <c r="E67" s="21" t="s">
        <v>202</v>
      </c>
      <c r="F67" s="156">
        <v>0.0</v>
      </c>
      <c r="G67" s="156">
        <v>0.0</v>
      </c>
      <c r="H67" s="156">
        <v>0.0</v>
      </c>
      <c r="I67" s="156">
        <v>0.0</v>
      </c>
      <c r="J67" s="156">
        <v>0.0</v>
      </c>
    </row>
    <row r="68">
      <c r="A68" s="155">
        <v>44027.0</v>
      </c>
      <c r="B68" s="21" t="s">
        <v>209</v>
      </c>
      <c r="C68" s="21" t="s">
        <v>210</v>
      </c>
      <c r="D68" s="156">
        <v>11600.0</v>
      </c>
      <c r="E68" s="21" t="s">
        <v>211</v>
      </c>
      <c r="F68" s="156">
        <v>0.0</v>
      </c>
      <c r="G68" s="156">
        <v>0.0</v>
      </c>
      <c r="H68" s="156">
        <v>0.0</v>
      </c>
      <c r="I68" s="156">
        <v>11600.0</v>
      </c>
      <c r="J68" s="156">
        <v>0.0</v>
      </c>
    </row>
    <row r="69">
      <c r="A69" s="155">
        <v>44027.0</v>
      </c>
      <c r="B69" s="21" t="s">
        <v>209</v>
      </c>
      <c r="C69" s="21" t="s">
        <v>212</v>
      </c>
      <c r="D69" s="156">
        <v>5691600.0</v>
      </c>
      <c r="E69" s="21" t="s">
        <v>201</v>
      </c>
      <c r="F69" s="156">
        <v>0.0</v>
      </c>
      <c r="G69" s="156">
        <v>0.0</v>
      </c>
      <c r="H69" s="156">
        <f>5691600+5000</f>
        <v>5696600</v>
      </c>
      <c r="I69" s="156">
        <v>0.0</v>
      </c>
      <c r="J69" s="156">
        <v>0.0</v>
      </c>
    </row>
    <row r="70">
      <c r="A70" s="155">
        <v>44028.0</v>
      </c>
      <c r="B70" s="21" t="s">
        <v>152</v>
      </c>
      <c r="C70" s="21" t="s">
        <v>90</v>
      </c>
      <c r="D70" s="156">
        <v>567000.0</v>
      </c>
      <c r="E70" s="21" t="s">
        <v>202</v>
      </c>
      <c r="F70" s="156">
        <v>0.0</v>
      </c>
      <c r="G70" s="156">
        <v>0.0</v>
      </c>
      <c r="H70" s="156">
        <v>0.0</v>
      </c>
      <c r="I70" s="156">
        <v>0.0</v>
      </c>
      <c r="J70" s="156">
        <v>0.0</v>
      </c>
    </row>
    <row r="71">
      <c r="A71" s="155">
        <v>44028.0</v>
      </c>
      <c r="B71" s="21" t="s">
        <v>152</v>
      </c>
      <c r="C71" s="21" t="s">
        <v>213</v>
      </c>
      <c r="D71" s="156">
        <v>50000.0</v>
      </c>
      <c r="E71" s="21" t="s">
        <v>202</v>
      </c>
      <c r="F71" s="156">
        <v>0.0</v>
      </c>
      <c r="G71" s="156">
        <v>0.0</v>
      </c>
      <c r="H71" s="156">
        <v>0.0</v>
      </c>
      <c r="I71" s="156">
        <v>0.0</v>
      </c>
      <c r="J71" s="156">
        <v>0.0</v>
      </c>
    </row>
    <row r="72">
      <c r="A72" s="155">
        <v>44028.0</v>
      </c>
      <c r="B72" s="21" t="s">
        <v>152</v>
      </c>
      <c r="C72" s="21" t="s">
        <v>213</v>
      </c>
      <c r="D72" s="156">
        <v>30000.0</v>
      </c>
      <c r="E72" s="21" t="s">
        <v>202</v>
      </c>
      <c r="F72" s="156">
        <v>0.0</v>
      </c>
      <c r="G72" s="156">
        <v>0.0</v>
      </c>
      <c r="H72" s="156">
        <v>0.0</v>
      </c>
      <c r="I72" s="156">
        <v>0.0</v>
      </c>
      <c r="J72" s="156">
        <v>0.0</v>
      </c>
    </row>
    <row r="73">
      <c r="A73" s="155">
        <v>44028.0</v>
      </c>
      <c r="B73" s="21" t="s">
        <v>152</v>
      </c>
      <c r="C73" s="21" t="s">
        <v>214</v>
      </c>
      <c r="D73" s="156">
        <v>5000.0</v>
      </c>
      <c r="E73" s="21" t="s">
        <v>202</v>
      </c>
      <c r="F73" s="156">
        <v>0.0</v>
      </c>
      <c r="G73" s="156">
        <v>0.0</v>
      </c>
      <c r="H73" s="156">
        <v>0.0</v>
      </c>
      <c r="I73" s="156">
        <v>0.0</v>
      </c>
      <c r="J73" s="156">
        <v>0.0</v>
      </c>
    </row>
    <row r="74">
      <c r="A74" s="155">
        <v>44029.0</v>
      </c>
      <c r="B74" s="21" t="s">
        <v>141</v>
      </c>
      <c r="C74" s="21" t="s">
        <v>90</v>
      </c>
      <c r="D74" s="156">
        <v>5000000.0</v>
      </c>
      <c r="E74" s="21" t="s">
        <v>202</v>
      </c>
      <c r="F74" s="156">
        <v>0.0</v>
      </c>
      <c r="G74" s="156">
        <v>0.0</v>
      </c>
      <c r="H74" s="156">
        <v>0.0</v>
      </c>
      <c r="I74" s="156">
        <v>0.0</v>
      </c>
      <c r="J74" s="156">
        <v>0.0</v>
      </c>
    </row>
    <row r="75">
      <c r="A75" s="155">
        <v>44029.0</v>
      </c>
      <c r="B75" s="21" t="s">
        <v>126</v>
      </c>
      <c r="C75" s="21" t="s">
        <v>90</v>
      </c>
      <c r="D75" s="156">
        <v>200000.0</v>
      </c>
      <c r="E75" s="21" t="s">
        <v>202</v>
      </c>
      <c r="F75" s="156">
        <v>0.0</v>
      </c>
      <c r="G75" s="156">
        <v>0.0</v>
      </c>
      <c r="H75" s="156">
        <v>0.0</v>
      </c>
      <c r="I75" s="156">
        <v>0.0</v>
      </c>
      <c r="J75" s="156">
        <v>0.0</v>
      </c>
    </row>
    <row r="76">
      <c r="A76" s="155">
        <v>44029.0</v>
      </c>
      <c r="B76" s="21" t="s">
        <v>126</v>
      </c>
      <c r="C76" s="21" t="s">
        <v>215</v>
      </c>
      <c r="D76" s="156">
        <v>25550.0</v>
      </c>
      <c r="E76" s="21" t="s">
        <v>202</v>
      </c>
      <c r="F76" s="156">
        <v>0.0</v>
      </c>
      <c r="G76" s="156">
        <v>0.0</v>
      </c>
      <c r="H76" s="156">
        <v>0.0</v>
      </c>
      <c r="I76" s="156">
        <v>0.0</v>
      </c>
      <c r="J76" s="156">
        <v>0.0</v>
      </c>
    </row>
    <row r="77">
      <c r="A77" s="155">
        <v>44029.0</v>
      </c>
      <c r="B77" s="21" t="s">
        <v>150</v>
      </c>
      <c r="C77" s="21" t="s">
        <v>90</v>
      </c>
      <c r="D77" s="156">
        <v>300000.0</v>
      </c>
      <c r="E77" s="21" t="s">
        <v>202</v>
      </c>
      <c r="F77" s="156">
        <v>0.0</v>
      </c>
      <c r="G77" s="156">
        <v>0.0</v>
      </c>
      <c r="H77" s="156">
        <v>0.0</v>
      </c>
      <c r="I77" s="156">
        <v>0.0</v>
      </c>
      <c r="J77" s="156">
        <v>0.0</v>
      </c>
    </row>
    <row r="78">
      <c r="A78" s="155">
        <v>44028.0</v>
      </c>
      <c r="B78" s="21" t="s">
        <v>216</v>
      </c>
      <c r="C78" s="21" t="s">
        <v>217</v>
      </c>
      <c r="D78" s="156">
        <v>5000.0</v>
      </c>
      <c r="E78" s="21" t="s">
        <v>205</v>
      </c>
      <c r="F78" s="156">
        <v>0.0</v>
      </c>
      <c r="G78" s="156">
        <v>5000.0</v>
      </c>
      <c r="H78" s="156">
        <v>0.0</v>
      </c>
      <c r="I78" s="156">
        <v>0.0</v>
      </c>
      <c r="J78" s="156">
        <v>0.0</v>
      </c>
    </row>
    <row r="79">
      <c r="A79" s="155">
        <v>44029.0</v>
      </c>
      <c r="B79" s="21" t="s">
        <v>216</v>
      </c>
      <c r="C79" s="21" t="s">
        <v>218</v>
      </c>
      <c r="D79" s="156">
        <v>50000.0</v>
      </c>
      <c r="E79" s="21" t="s">
        <v>205</v>
      </c>
      <c r="F79" s="156">
        <v>0.0</v>
      </c>
      <c r="G79" s="156">
        <v>50000.0</v>
      </c>
      <c r="H79" s="156">
        <v>0.0</v>
      </c>
      <c r="I79" s="156">
        <v>0.0</v>
      </c>
      <c r="J79" s="156">
        <v>0.0</v>
      </c>
    </row>
    <row r="80">
      <c r="A80" s="155">
        <v>44029.0</v>
      </c>
      <c r="B80" s="21" t="s">
        <v>209</v>
      </c>
      <c r="C80" s="21" t="s">
        <v>219</v>
      </c>
      <c r="D80" s="156">
        <v>500.0</v>
      </c>
      <c r="E80" s="21" t="s">
        <v>205</v>
      </c>
      <c r="F80" s="156">
        <v>0.0</v>
      </c>
      <c r="G80" s="156">
        <v>500.0</v>
      </c>
      <c r="H80" s="156">
        <v>0.0</v>
      </c>
      <c r="I80" s="156">
        <v>0.0</v>
      </c>
      <c r="J80" s="156">
        <v>0.0</v>
      </c>
    </row>
    <row r="81">
      <c r="A81" s="155">
        <v>44028.0</v>
      </c>
      <c r="B81" s="21" t="s">
        <v>216</v>
      </c>
      <c r="C81" s="21" t="s">
        <v>210</v>
      </c>
      <c r="D81" s="156">
        <v>5000.0</v>
      </c>
      <c r="E81" s="21" t="s">
        <v>211</v>
      </c>
      <c r="F81" s="156">
        <v>0.0</v>
      </c>
      <c r="G81" s="156">
        <v>0.0</v>
      </c>
      <c r="H81" s="156">
        <v>0.0</v>
      </c>
      <c r="I81" s="156">
        <v>5000.0</v>
      </c>
      <c r="J81" s="156">
        <v>0.0</v>
      </c>
    </row>
    <row r="82">
      <c r="A82" s="155">
        <v>44028.0</v>
      </c>
      <c r="B82" s="21" t="s">
        <v>220</v>
      </c>
      <c r="C82" s="21" t="s">
        <v>221</v>
      </c>
      <c r="D82" s="156">
        <v>657000.0</v>
      </c>
      <c r="E82" s="21" t="s">
        <v>201</v>
      </c>
      <c r="F82" s="156">
        <v>0.0</v>
      </c>
      <c r="G82" s="156">
        <v>0.0</v>
      </c>
      <c r="H82" s="156">
        <v>657000.0</v>
      </c>
      <c r="I82" s="156">
        <v>0.0</v>
      </c>
      <c r="J82" s="156">
        <v>0.0</v>
      </c>
    </row>
    <row r="83">
      <c r="A83" s="155">
        <v>44029.0</v>
      </c>
      <c r="B83" s="21" t="s">
        <v>222</v>
      </c>
      <c r="C83" s="21" t="s">
        <v>223</v>
      </c>
      <c r="D83" s="156">
        <v>54000.0</v>
      </c>
      <c r="E83" s="21" t="s">
        <v>211</v>
      </c>
      <c r="F83" s="156">
        <v>0.0</v>
      </c>
      <c r="G83" s="156">
        <v>0.0</v>
      </c>
      <c r="H83" s="156">
        <v>0.0</v>
      </c>
      <c r="I83" s="156">
        <v>54000.0</v>
      </c>
      <c r="J83" s="156">
        <v>0.0</v>
      </c>
    </row>
    <row r="84">
      <c r="A84" s="155">
        <v>44029.0</v>
      </c>
      <c r="B84" s="21" t="s">
        <v>220</v>
      </c>
      <c r="C84" s="21" t="s">
        <v>221</v>
      </c>
      <c r="D84" s="156">
        <v>5650000.0</v>
      </c>
      <c r="E84" s="21" t="s">
        <v>201</v>
      </c>
      <c r="F84" s="156">
        <v>0.0</v>
      </c>
      <c r="G84" s="156">
        <v>0.0</v>
      </c>
      <c r="H84" s="156">
        <v>5650000.0</v>
      </c>
      <c r="I84" s="156">
        <v>0.0</v>
      </c>
      <c r="J84" s="156">
        <v>0.0</v>
      </c>
    </row>
    <row r="85">
      <c r="A85" s="155">
        <v>44030.0</v>
      </c>
      <c r="B85" s="21" t="s">
        <v>146</v>
      </c>
      <c r="C85" s="21" t="s">
        <v>90</v>
      </c>
      <c r="D85" s="156">
        <v>300000.0</v>
      </c>
      <c r="E85" s="21" t="s">
        <v>202</v>
      </c>
      <c r="F85" s="156">
        <v>0.0</v>
      </c>
      <c r="G85" s="156">
        <v>0.0</v>
      </c>
      <c r="H85" s="156">
        <v>0.0</v>
      </c>
      <c r="I85" s="156">
        <v>0.0</v>
      </c>
      <c r="J85" s="156">
        <v>0.0</v>
      </c>
    </row>
    <row r="86">
      <c r="A86" s="155">
        <v>44030.0</v>
      </c>
      <c r="B86" s="21" t="s">
        <v>146</v>
      </c>
      <c r="C86" s="21" t="s">
        <v>90</v>
      </c>
      <c r="D86" s="156">
        <v>800000.0</v>
      </c>
      <c r="E86" s="21" t="s">
        <v>202</v>
      </c>
      <c r="F86" s="156">
        <v>0.0</v>
      </c>
      <c r="G86" s="156">
        <v>0.0</v>
      </c>
      <c r="H86" s="156">
        <v>0.0</v>
      </c>
      <c r="I86" s="156">
        <v>0.0</v>
      </c>
      <c r="J86" s="156">
        <v>0.0</v>
      </c>
    </row>
    <row r="87">
      <c r="A87" s="155">
        <v>44030.0</v>
      </c>
      <c r="B87" s="21" t="s">
        <v>25</v>
      </c>
      <c r="C87" s="21" t="s">
        <v>90</v>
      </c>
      <c r="D87" s="156">
        <v>100000.0</v>
      </c>
      <c r="E87" s="21" t="s">
        <v>202</v>
      </c>
      <c r="F87" s="156">
        <v>0.0</v>
      </c>
      <c r="G87" s="156">
        <v>0.0</v>
      </c>
      <c r="H87" s="156">
        <v>0.0</v>
      </c>
      <c r="I87" s="156">
        <v>0.0</v>
      </c>
      <c r="J87" s="156">
        <v>0.0</v>
      </c>
    </row>
    <row r="88">
      <c r="A88" s="155">
        <v>44030.0</v>
      </c>
      <c r="B88" s="21" t="s">
        <v>153</v>
      </c>
      <c r="C88" s="21" t="s">
        <v>90</v>
      </c>
      <c r="D88" s="156">
        <v>200000.0</v>
      </c>
      <c r="E88" s="21" t="s">
        <v>202</v>
      </c>
      <c r="F88" s="156">
        <v>0.0</v>
      </c>
      <c r="G88" s="156">
        <v>0.0</v>
      </c>
      <c r="H88" s="156">
        <v>0.0</v>
      </c>
      <c r="I88" s="156">
        <v>0.0</v>
      </c>
      <c r="J88" s="156">
        <v>0.0</v>
      </c>
    </row>
    <row r="89">
      <c r="A89" s="155">
        <v>44030.0</v>
      </c>
      <c r="B89" s="21" t="s">
        <v>117</v>
      </c>
      <c r="C89" s="21" t="s">
        <v>90</v>
      </c>
      <c r="D89" s="156">
        <v>100000.0</v>
      </c>
      <c r="E89" s="21" t="s">
        <v>202</v>
      </c>
      <c r="F89" s="156">
        <v>0.0</v>
      </c>
      <c r="G89" s="156">
        <v>0.0</v>
      </c>
      <c r="H89" s="156">
        <v>0.0</v>
      </c>
      <c r="I89" s="156">
        <v>0.0</v>
      </c>
      <c r="J89" s="156">
        <v>0.0</v>
      </c>
    </row>
    <row r="90">
      <c r="A90" s="155">
        <v>44030.0</v>
      </c>
      <c r="B90" s="21" t="s">
        <v>117</v>
      </c>
      <c r="C90" s="21" t="s">
        <v>224</v>
      </c>
      <c r="D90" s="156">
        <v>500.0</v>
      </c>
      <c r="E90" s="21" t="s">
        <v>202</v>
      </c>
      <c r="F90" s="156">
        <v>0.0</v>
      </c>
      <c r="G90" s="156">
        <v>0.0</v>
      </c>
      <c r="H90" s="156">
        <v>0.0</v>
      </c>
      <c r="I90" s="156">
        <v>0.0</v>
      </c>
      <c r="J90" s="156">
        <v>0.0</v>
      </c>
    </row>
    <row r="91">
      <c r="A91" s="155">
        <v>44030.0</v>
      </c>
      <c r="B91" s="21" t="s">
        <v>113</v>
      </c>
      <c r="C91" s="21" t="s">
        <v>90</v>
      </c>
      <c r="D91" s="156">
        <v>100000.0</v>
      </c>
      <c r="E91" s="21" t="s">
        <v>202</v>
      </c>
      <c r="F91" s="156">
        <v>0.0</v>
      </c>
      <c r="G91" s="156">
        <v>0.0</v>
      </c>
      <c r="H91" s="156">
        <v>0.0</v>
      </c>
      <c r="I91" s="156">
        <v>0.0</v>
      </c>
      <c r="J91" s="156">
        <v>0.0</v>
      </c>
    </row>
    <row r="92">
      <c r="A92" s="155">
        <v>44030.0</v>
      </c>
      <c r="B92" s="21" t="s">
        <v>225</v>
      </c>
      <c r="C92" s="21" t="s">
        <v>226</v>
      </c>
      <c r="D92" s="156">
        <v>5000.0</v>
      </c>
      <c r="E92" s="21" t="s">
        <v>205</v>
      </c>
      <c r="F92" s="156">
        <v>0.0</v>
      </c>
      <c r="G92" s="156">
        <v>5000.0</v>
      </c>
      <c r="H92" s="156">
        <v>0.0</v>
      </c>
      <c r="I92" s="156">
        <v>0.0</v>
      </c>
      <c r="J92" s="156">
        <v>0.0</v>
      </c>
    </row>
    <row r="93">
      <c r="A93" s="155">
        <v>44030.0</v>
      </c>
      <c r="B93" s="21" t="s">
        <v>209</v>
      </c>
      <c r="C93" s="21" t="s">
        <v>227</v>
      </c>
      <c r="D93" s="156">
        <v>20000.0</v>
      </c>
      <c r="E93" s="21" t="s">
        <v>205</v>
      </c>
      <c r="F93" s="156">
        <v>0.0</v>
      </c>
      <c r="G93" s="156">
        <v>20000.0</v>
      </c>
      <c r="H93" s="156">
        <v>0.0</v>
      </c>
      <c r="I93" s="156">
        <v>0.0</v>
      </c>
      <c r="J93" s="156">
        <v>0.0</v>
      </c>
    </row>
    <row r="94">
      <c r="A94" s="155">
        <v>44030.0</v>
      </c>
      <c r="B94" s="21" t="s">
        <v>228</v>
      </c>
      <c r="C94" s="21" t="s">
        <v>223</v>
      </c>
      <c r="D94" s="156">
        <v>70300.0</v>
      </c>
      <c r="E94" s="21" t="s">
        <v>211</v>
      </c>
      <c r="F94" s="156">
        <v>0.0</v>
      </c>
      <c r="G94" s="156">
        <v>0.0</v>
      </c>
      <c r="H94" s="156">
        <v>0.0</v>
      </c>
      <c r="I94" s="156">
        <v>70300.0</v>
      </c>
      <c r="J94" s="156">
        <v>0.0</v>
      </c>
    </row>
    <row r="95">
      <c r="A95" s="155">
        <v>44030.0</v>
      </c>
      <c r="B95" s="21" t="s">
        <v>220</v>
      </c>
      <c r="C95" s="21" t="s">
        <v>221</v>
      </c>
      <c r="D95" s="156">
        <v>1600500.0</v>
      </c>
      <c r="E95" s="21" t="s">
        <v>201</v>
      </c>
      <c r="F95" s="156">
        <v>0.0</v>
      </c>
      <c r="G95" s="156">
        <v>0.0</v>
      </c>
      <c r="H95" s="156">
        <v>1600500.0</v>
      </c>
      <c r="I95" s="156">
        <v>0.0</v>
      </c>
      <c r="J95" s="156">
        <v>0.0</v>
      </c>
    </row>
    <row r="96">
      <c r="A96" s="155">
        <v>44032.0</v>
      </c>
      <c r="B96" s="21" t="s">
        <v>125</v>
      </c>
      <c r="C96" s="21" t="s">
        <v>90</v>
      </c>
      <c r="D96" s="156">
        <v>300000.0</v>
      </c>
      <c r="E96" s="21" t="s">
        <v>202</v>
      </c>
      <c r="F96" s="156">
        <v>0.0</v>
      </c>
      <c r="G96" s="156">
        <v>0.0</v>
      </c>
      <c r="H96" s="156">
        <v>0.0</v>
      </c>
      <c r="I96" s="156">
        <v>0.0</v>
      </c>
      <c r="J96" s="156">
        <v>0.0</v>
      </c>
    </row>
    <row r="97">
      <c r="A97" s="155">
        <v>44032.0</v>
      </c>
      <c r="B97" s="21" t="s">
        <v>154</v>
      </c>
      <c r="C97" s="21" t="s">
        <v>90</v>
      </c>
      <c r="D97" s="156">
        <v>200000.0</v>
      </c>
      <c r="E97" s="21" t="s">
        <v>202</v>
      </c>
      <c r="F97" s="156">
        <v>0.0</v>
      </c>
      <c r="G97" s="156">
        <v>0.0</v>
      </c>
      <c r="H97" s="156">
        <v>0.0</v>
      </c>
      <c r="I97" s="156">
        <v>0.0</v>
      </c>
      <c r="J97" s="156">
        <v>0.0</v>
      </c>
    </row>
    <row r="98">
      <c r="A98" s="155">
        <v>44032.0</v>
      </c>
      <c r="B98" s="21" t="s">
        <v>155</v>
      </c>
      <c r="C98" s="21" t="s">
        <v>90</v>
      </c>
      <c r="D98" s="156">
        <v>200000.0</v>
      </c>
      <c r="E98" s="21" t="s">
        <v>202</v>
      </c>
      <c r="F98" s="156">
        <v>0.0</v>
      </c>
      <c r="G98" s="156">
        <v>0.0</v>
      </c>
      <c r="H98" s="156">
        <v>0.0</v>
      </c>
      <c r="I98" s="156">
        <v>0.0</v>
      </c>
      <c r="J98" s="156">
        <v>0.0</v>
      </c>
    </row>
    <row r="99">
      <c r="A99" s="155">
        <v>44032.0</v>
      </c>
      <c r="B99" s="21" t="s">
        <v>151</v>
      </c>
      <c r="C99" s="21" t="s">
        <v>90</v>
      </c>
      <c r="D99" s="156">
        <v>300000.0</v>
      </c>
      <c r="E99" s="21" t="s">
        <v>202</v>
      </c>
      <c r="F99" s="156">
        <v>0.0</v>
      </c>
      <c r="G99" s="156">
        <v>0.0</v>
      </c>
      <c r="H99" s="156">
        <v>0.0</v>
      </c>
      <c r="I99" s="156">
        <v>0.0</v>
      </c>
      <c r="J99" s="156">
        <v>0.0</v>
      </c>
    </row>
    <row r="100">
      <c r="A100" s="155">
        <v>44032.0</v>
      </c>
      <c r="B100" s="21" t="s">
        <v>117</v>
      </c>
      <c r="C100" s="21" t="s">
        <v>90</v>
      </c>
      <c r="D100" s="156">
        <v>300000.0</v>
      </c>
      <c r="E100" s="21" t="s">
        <v>202</v>
      </c>
      <c r="F100" s="156">
        <v>0.0</v>
      </c>
      <c r="G100" s="156">
        <v>0.0</v>
      </c>
      <c r="H100" s="156">
        <v>0.0</v>
      </c>
      <c r="I100" s="156">
        <v>0.0</v>
      </c>
      <c r="J100" s="156">
        <v>0.0</v>
      </c>
    </row>
    <row r="101">
      <c r="A101" s="155">
        <v>44032.0</v>
      </c>
      <c r="B101" s="21" t="s">
        <v>113</v>
      </c>
      <c r="C101" s="21" t="s">
        <v>90</v>
      </c>
      <c r="D101" s="156">
        <v>140000.0</v>
      </c>
      <c r="E101" s="21" t="s">
        <v>202</v>
      </c>
      <c r="F101" s="156">
        <v>0.0</v>
      </c>
      <c r="G101" s="156">
        <v>0.0</v>
      </c>
      <c r="H101" s="156">
        <v>0.0</v>
      </c>
      <c r="I101" s="156">
        <v>0.0</v>
      </c>
      <c r="J101" s="156">
        <v>0.0</v>
      </c>
    </row>
    <row r="102">
      <c r="A102" s="155">
        <v>44032.0</v>
      </c>
      <c r="B102" s="21" t="s">
        <v>220</v>
      </c>
      <c r="C102" s="21" t="s">
        <v>229</v>
      </c>
      <c r="D102" s="156">
        <v>4000.0</v>
      </c>
      <c r="E102" s="21" t="s">
        <v>205</v>
      </c>
      <c r="F102" s="156">
        <v>0.0</v>
      </c>
      <c r="G102" s="156">
        <v>4000.0</v>
      </c>
      <c r="H102" s="156">
        <v>0.0</v>
      </c>
      <c r="I102" s="156">
        <v>0.0</v>
      </c>
      <c r="J102" s="156">
        <v>0.0</v>
      </c>
    </row>
    <row r="103">
      <c r="A103" s="155">
        <v>44032.0</v>
      </c>
      <c r="B103" s="21" t="s">
        <v>230</v>
      </c>
      <c r="C103" s="21" t="s">
        <v>231</v>
      </c>
      <c r="D103" s="156">
        <v>500.0</v>
      </c>
      <c r="E103" s="21" t="s">
        <v>205</v>
      </c>
      <c r="F103" s="156">
        <v>0.0</v>
      </c>
      <c r="G103" s="156">
        <v>500.0</v>
      </c>
      <c r="H103" s="156">
        <v>0.0</v>
      </c>
      <c r="I103" s="156">
        <v>0.0</v>
      </c>
      <c r="J103" s="156">
        <v>0.0</v>
      </c>
    </row>
    <row r="104">
      <c r="A104" s="155">
        <v>44032.0</v>
      </c>
      <c r="B104" s="21" t="s">
        <v>220</v>
      </c>
      <c r="C104" s="21" t="s">
        <v>204</v>
      </c>
      <c r="D104" s="156">
        <v>500.0</v>
      </c>
      <c r="E104" s="21" t="s">
        <v>205</v>
      </c>
      <c r="F104" s="156">
        <v>0.0</v>
      </c>
      <c r="G104" s="156">
        <v>500.0</v>
      </c>
      <c r="H104" s="156">
        <v>0.0</v>
      </c>
      <c r="I104" s="156">
        <v>0.0</v>
      </c>
      <c r="J104" s="156">
        <v>0.0</v>
      </c>
    </row>
    <row r="105">
      <c r="A105" s="155">
        <v>44032.0</v>
      </c>
      <c r="B105" s="21" t="s">
        <v>232</v>
      </c>
      <c r="C105" s="21" t="s">
        <v>233</v>
      </c>
      <c r="D105" s="156">
        <v>1000.0</v>
      </c>
      <c r="E105" s="21" t="s">
        <v>205</v>
      </c>
      <c r="F105" s="156">
        <v>0.0</v>
      </c>
      <c r="G105" s="156">
        <v>1000.0</v>
      </c>
      <c r="H105" s="156">
        <v>0.0</v>
      </c>
      <c r="I105" s="156">
        <v>0.0</v>
      </c>
      <c r="J105" s="156">
        <v>0.0</v>
      </c>
    </row>
    <row r="106">
      <c r="A106" s="155">
        <v>44032.0</v>
      </c>
      <c r="B106" s="21" t="s">
        <v>117</v>
      </c>
      <c r="C106" s="21" t="s">
        <v>234</v>
      </c>
      <c r="D106" s="156">
        <v>43000.0</v>
      </c>
      <c r="E106" s="21" t="s">
        <v>205</v>
      </c>
      <c r="F106" s="156">
        <v>0.0</v>
      </c>
      <c r="G106" s="156">
        <v>43000.0</v>
      </c>
      <c r="H106" s="156">
        <v>0.0</v>
      </c>
      <c r="I106" s="156">
        <v>0.0</v>
      </c>
      <c r="J106" s="156">
        <v>0.0</v>
      </c>
    </row>
    <row r="107">
      <c r="A107" s="155">
        <v>44032.0</v>
      </c>
      <c r="B107" s="21" t="s">
        <v>183</v>
      </c>
      <c r="C107" s="21" t="s">
        <v>235</v>
      </c>
      <c r="D107" s="156">
        <v>490400.0</v>
      </c>
      <c r="E107" s="21" t="s">
        <v>211</v>
      </c>
      <c r="F107" s="156">
        <v>0.0</v>
      </c>
      <c r="G107" s="156">
        <v>0.0</v>
      </c>
      <c r="H107" s="156">
        <v>0.0</v>
      </c>
      <c r="I107" s="156">
        <v>490400.0</v>
      </c>
      <c r="J107" s="156">
        <v>0.0</v>
      </c>
    </row>
    <row r="108">
      <c r="A108" s="155">
        <v>44032.0</v>
      </c>
      <c r="B108" s="21" t="s">
        <v>220</v>
      </c>
      <c r="C108" s="21" t="s">
        <v>221</v>
      </c>
      <c r="D108" s="156">
        <v>2000000.0</v>
      </c>
      <c r="E108" s="21" t="s">
        <v>201</v>
      </c>
      <c r="F108" s="156">
        <v>0.0</v>
      </c>
      <c r="G108" s="156">
        <v>0.0</v>
      </c>
      <c r="H108" s="156">
        <v>2000000.0</v>
      </c>
      <c r="I108" s="156">
        <v>0.0</v>
      </c>
      <c r="J108" s="156">
        <v>0.0</v>
      </c>
    </row>
    <row r="109">
      <c r="A109" s="155">
        <v>44033.0</v>
      </c>
      <c r="B109" s="21" t="s">
        <v>117</v>
      </c>
      <c r="C109" s="21" t="s">
        <v>236</v>
      </c>
      <c r="D109" s="156">
        <v>50000.0</v>
      </c>
      <c r="E109" s="21" t="s">
        <v>202</v>
      </c>
      <c r="F109" s="156">
        <v>0.0</v>
      </c>
      <c r="G109" s="156">
        <v>0.0</v>
      </c>
      <c r="H109" s="156">
        <v>0.0</v>
      </c>
      <c r="I109" s="156">
        <v>0.0</v>
      </c>
      <c r="J109" s="156">
        <v>0.0</v>
      </c>
    </row>
    <row r="110">
      <c r="A110" s="155">
        <v>44033.0</v>
      </c>
      <c r="B110" s="21" t="s">
        <v>109</v>
      </c>
      <c r="C110" s="21" t="s">
        <v>236</v>
      </c>
      <c r="D110" s="156">
        <v>2.3E7</v>
      </c>
      <c r="E110" s="21" t="s">
        <v>202</v>
      </c>
      <c r="F110" s="156">
        <v>0.0</v>
      </c>
      <c r="G110" s="156">
        <v>0.0</v>
      </c>
      <c r="H110" s="156">
        <v>0.0</v>
      </c>
      <c r="I110" s="156">
        <v>0.0</v>
      </c>
      <c r="J110" s="156">
        <v>0.0</v>
      </c>
    </row>
    <row r="111">
      <c r="A111" s="155">
        <v>44033.0</v>
      </c>
      <c r="B111" s="21" t="s">
        <v>150</v>
      </c>
      <c r="C111" s="21" t="s">
        <v>236</v>
      </c>
      <c r="D111" s="156">
        <v>1680000.0</v>
      </c>
      <c r="E111" s="21" t="s">
        <v>202</v>
      </c>
      <c r="F111" s="156">
        <v>0.0</v>
      </c>
      <c r="G111" s="156">
        <v>0.0</v>
      </c>
      <c r="H111" s="156">
        <v>0.0</v>
      </c>
      <c r="I111" s="156">
        <v>0.0</v>
      </c>
      <c r="J111" s="156">
        <v>0.0</v>
      </c>
    </row>
    <row r="112">
      <c r="A112" s="155">
        <v>44033.0</v>
      </c>
      <c r="B112" s="21" t="s">
        <v>156</v>
      </c>
      <c r="C112" s="21" t="s">
        <v>236</v>
      </c>
      <c r="D112" s="156">
        <v>400000.0</v>
      </c>
      <c r="E112" s="21" t="s">
        <v>202</v>
      </c>
      <c r="F112" s="156">
        <v>0.0</v>
      </c>
      <c r="G112" s="156">
        <v>0.0</v>
      </c>
      <c r="H112" s="156">
        <v>0.0</v>
      </c>
      <c r="I112" s="156">
        <v>0.0</v>
      </c>
      <c r="J112" s="156">
        <v>0.0</v>
      </c>
    </row>
    <row r="113">
      <c r="A113" s="155">
        <v>44032.0</v>
      </c>
      <c r="B113" s="21" t="s">
        <v>151</v>
      </c>
      <c r="C113" s="21" t="s">
        <v>237</v>
      </c>
      <c r="D113" s="156">
        <v>-145000.0</v>
      </c>
      <c r="E113" s="21" t="s">
        <v>202</v>
      </c>
      <c r="F113" s="156">
        <v>0.0</v>
      </c>
      <c r="G113" s="156">
        <v>0.0</v>
      </c>
      <c r="H113" s="156">
        <v>0.0</v>
      </c>
      <c r="I113" s="156">
        <v>0.0</v>
      </c>
      <c r="J113" s="156">
        <v>0.0</v>
      </c>
    </row>
    <row r="114">
      <c r="A114" s="155">
        <v>44033.0</v>
      </c>
      <c r="B114" s="21" t="s">
        <v>238</v>
      </c>
      <c r="C114" s="21" t="s">
        <v>239</v>
      </c>
      <c r="D114" s="156">
        <v>100.0</v>
      </c>
      <c r="E114" s="21" t="s">
        <v>205</v>
      </c>
      <c r="F114" s="156">
        <v>0.0</v>
      </c>
      <c r="G114" s="156">
        <v>100.0</v>
      </c>
      <c r="H114" s="156">
        <v>0.0</v>
      </c>
      <c r="I114" s="156">
        <v>0.0</v>
      </c>
      <c r="J114" s="156">
        <v>0.0</v>
      </c>
    </row>
    <row r="115">
      <c r="A115" s="155">
        <v>44033.0</v>
      </c>
      <c r="B115" s="21" t="s">
        <v>240</v>
      </c>
      <c r="C115" s="21" t="s">
        <v>241</v>
      </c>
      <c r="D115" s="156">
        <v>19000.0</v>
      </c>
      <c r="E115" s="21" t="s">
        <v>205</v>
      </c>
      <c r="F115" s="156">
        <v>0.0</v>
      </c>
      <c r="G115" s="156">
        <v>19000.0</v>
      </c>
      <c r="H115" s="156">
        <v>0.0</v>
      </c>
      <c r="I115" s="156">
        <v>0.0</v>
      </c>
      <c r="J115" s="156">
        <v>0.0</v>
      </c>
    </row>
    <row r="116">
      <c r="A116" s="155">
        <v>44033.0</v>
      </c>
      <c r="B116" s="21" t="s">
        <v>222</v>
      </c>
      <c r="C116" s="21" t="s">
        <v>242</v>
      </c>
      <c r="D116" s="156">
        <v>150.0</v>
      </c>
      <c r="E116" s="21" t="s">
        <v>205</v>
      </c>
      <c r="F116" s="156">
        <v>0.0</v>
      </c>
      <c r="G116" s="156">
        <v>150.0</v>
      </c>
      <c r="H116" s="156">
        <v>0.0</v>
      </c>
      <c r="I116" s="156">
        <v>0.0</v>
      </c>
      <c r="J116" s="156">
        <v>0.0</v>
      </c>
    </row>
    <row r="117">
      <c r="A117" s="155">
        <v>44029.0</v>
      </c>
      <c r="B117" s="21" t="s">
        <v>147</v>
      </c>
      <c r="C117" s="21" t="s">
        <v>243</v>
      </c>
      <c r="D117" s="156">
        <v>29000.0</v>
      </c>
      <c r="E117" s="21" t="s">
        <v>202</v>
      </c>
      <c r="F117" s="156">
        <v>0.0</v>
      </c>
      <c r="G117" s="156">
        <v>0.0</v>
      </c>
      <c r="H117" s="156">
        <v>0.0</v>
      </c>
      <c r="I117" s="156">
        <v>0.0</v>
      </c>
      <c r="J117" s="156">
        <v>0.0</v>
      </c>
    </row>
    <row r="118">
      <c r="A118" s="155">
        <v>44033.0</v>
      </c>
      <c r="B118" s="21" t="s">
        <v>183</v>
      </c>
      <c r="C118" s="21" t="s">
        <v>223</v>
      </c>
      <c r="D118" s="156">
        <v>19250.0</v>
      </c>
      <c r="E118" s="21" t="s">
        <v>211</v>
      </c>
      <c r="F118" s="156">
        <v>0.0</v>
      </c>
      <c r="G118" s="156">
        <v>0.0</v>
      </c>
      <c r="H118" s="156">
        <v>0.0</v>
      </c>
      <c r="I118" s="156">
        <v>19250.0</v>
      </c>
      <c r="J118" s="156">
        <v>0.0</v>
      </c>
    </row>
    <row r="119">
      <c r="A119" s="155">
        <v>44033.0</v>
      </c>
      <c r="B119" s="21" t="s">
        <v>216</v>
      </c>
      <c r="C119" s="21" t="s">
        <v>221</v>
      </c>
      <c r="D119" s="156">
        <v>2.508E7</v>
      </c>
      <c r="E119" s="21" t="s">
        <v>201</v>
      </c>
      <c r="F119" s="156">
        <v>0.0</v>
      </c>
      <c r="G119" s="156">
        <v>0.0</v>
      </c>
      <c r="H119" s="156">
        <v>2.508E7</v>
      </c>
      <c r="I119" s="156">
        <v>0.0</v>
      </c>
      <c r="J119" s="156">
        <v>0.0</v>
      </c>
    </row>
    <row r="120">
      <c r="A120" s="155">
        <v>44030.0</v>
      </c>
      <c r="B120" s="21" t="s">
        <v>150</v>
      </c>
      <c r="C120" s="21" t="s">
        <v>237</v>
      </c>
      <c r="D120" s="156">
        <v>112080.0</v>
      </c>
      <c r="E120" s="21" t="s">
        <v>202</v>
      </c>
      <c r="F120" s="156">
        <v>0.0</v>
      </c>
      <c r="G120" s="156">
        <v>0.0</v>
      </c>
      <c r="H120" s="156">
        <v>0.0</v>
      </c>
      <c r="I120" s="156">
        <v>0.0</v>
      </c>
      <c r="J120" s="156">
        <v>0.0</v>
      </c>
    </row>
    <row r="121">
      <c r="A121" s="155">
        <v>44033.0</v>
      </c>
      <c r="B121" s="21" t="s">
        <v>150</v>
      </c>
      <c r="C121" s="21" t="s">
        <v>237</v>
      </c>
      <c r="D121" s="156">
        <v>884520.0</v>
      </c>
      <c r="E121" s="21" t="s">
        <v>202</v>
      </c>
      <c r="F121" s="156">
        <v>0.0</v>
      </c>
      <c r="G121" s="156">
        <v>0.0</v>
      </c>
      <c r="H121" s="156">
        <v>0.0</v>
      </c>
      <c r="I121" s="156">
        <v>0.0</v>
      </c>
      <c r="J121" s="156">
        <v>0.0</v>
      </c>
    </row>
    <row r="122">
      <c r="A122" s="155">
        <v>44030.0</v>
      </c>
      <c r="B122" s="21" t="s">
        <v>146</v>
      </c>
      <c r="C122" s="21" t="s">
        <v>239</v>
      </c>
      <c r="D122" s="156">
        <v>-5000.0</v>
      </c>
      <c r="E122" s="21" t="s">
        <v>202</v>
      </c>
      <c r="F122" s="156">
        <v>0.0</v>
      </c>
      <c r="G122" s="156">
        <v>0.0</v>
      </c>
      <c r="H122" s="156">
        <v>0.0</v>
      </c>
      <c r="I122" s="156">
        <v>0.0</v>
      </c>
      <c r="J122" s="156">
        <v>0.0</v>
      </c>
    </row>
    <row r="123">
      <c r="A123" s="155">
        <v>44030.0</v>
      </c>
      <c r="B123" s="21" t="s">
        <v>146</v>
      </c>
      <c r="C123" s="21" t="s">
        <v>237</v>
      </c>
      <c r="D123" s="156">
        <v>-23920.0</v>
      </c>
      <c r="E123" s="21" t="s">
        <v>202</v>
      </c>
      <c r="F123" s="156">
        <v>0.0</v>
      </c>
      <c r="G123" s="156">
        <v>0.0</v>
      </c>
      <c r="H123" s="156">
        <v>0.0</v>
      </c>
      <c r="I123" s="156">
        <v>0.0</v>
      </c>
      <c r="J123" s="156">
        <v>0.0</v>
      </c>
    </row>
    <row r="124">
      <c r="A124" s="155">
        <v>44034.0</v>
      </c>
      <c r="B124" s="21" t="s">
        <v>147</v>
      </c>
      <c r="C124" s="21" t="s">
        <v>244</v>
      </c>
      <c r="D124" s="156">
        <v>9000.0</v>
      </c>
      <c r="E124" s="21" t="s">
        <v>202</v>
      </c>
      <c r="F124" s="156">
        <v>0.0</v>
      </c>
      <c r="G124" s="156">
        <v>0.0</v>
      </c>
      <c r="H124" s="156">
        <v>0.0</v>
      </c>
      <c r="I124" s="156">
        <v>0.0</v>
      </c>
      <c r="J124" s="156">
        <v>0.0</v>
      </c>
    </row>
    <row r="125">
      <c r="A125" s="155">
        <v>44034.0</v>
      </c>
      <c r="B125" s="21" t="s">
        <v>141</v>
      </c>
      <c r="C125" s="21" t="s">
        <v>195</v>
      </c>
      <c r="D125" s="156">
        <v>3725000.0</v>
      </c>
      <c r="E125" s="21" t="s">
        <v>202</v>
      </c>
      <c r="F125" s="156">
        <v>0.0</v>
      </c>
      <c r="G125" s="156">
        <v>0.0</v>
      </c>
      <c r="H125" s="156">
        <v>0.0</v>
      </c>
      <c r="I125" s="156">
        <v>0.0</v>
      </c>
      <c r="J125" s="156">
        <v>0.0</v>
      </c>
    </row>
    <row r="126">
      <c r="A126" s="155">
        <v>44034.0</v>
      </c>
      <c r="B126" s="21" t="s">
        <v>146</v>
      </c>
      <c r="C126" s="21" t="s">
        <v>195</v>
      </c>
      <c r="D126" s="156">
        <v>700000.0</v>
      </c>
      <c r="E126" s="21" t="s">
        <v>202</v>
      </c>
      <c r="F126" s="156">
        <v>0.0</v>
      </c>
      <c r="G126" s="156">
        <v>0.0</v>
      </c>
      <c r="H126" s="156">
        <v>0.0</v>
      </c>
      <c r="I126" s="156">
        <v>0.0</v>
      </c>
      <c r="J126" s="156">
        <v>0.0</v>
      </c>
    </row>
    <row r="127">
      <c r="A127" s="155">
        <v>44034.0</v>
      </c>
      <c r="B127" s="21" t="s">
        <v>125</v>
      </c>
      <c r="C127" s="21" t="s">
        <v>195</v>
      </c>
      <c r="D127" s="156">
        <v>200000.0</v>
      </c>
      <c r="E127" s="21" t="s">
        <v>202</v>
      </c>
      <c r="F127" s="156">
        <v>0.0</v>
      </c>
      <c r="G127" s="156">
        <v>0.0</v>
      </c>
      <c r="H127" s="156">
        <v>0.0</v>
      </c>
      <c r="I127" s="156">
        <v>0.0</v>
      </c>
      <c r="J127" s="156">
        <v>0.0</v>
      </c>
    </row>
    <row r="128">
      <c r="A128" s="155">
        <v>44034.0</v>
      </c>
      <c r="B128" s="21" t="s">
        <v>157</v>
      </c>
      <c r="C128" s="21" t="s">
        <v>195</v>
      </c>
      <c r="D128" s="156">
        <v>480000.0</v>
      </c>
      <c r="E128" s="21" t="s">
        <v>202</v>
      </c>
      <c r="F128" s="156">
        <v>0.0</v>
      </c>
      <c r="G128" s="156">
        <v>0.0</v>
      </c>
      <c r="H128" s="156">
        <v>0.0</v>
      </c>
      <c r="I128" s="156">
        <v>0.0</v>
      </c>
      <c r="J128" s="156">
        <v>0.0</v>
      </c>
    </row>
    <row r="129">
      <c r="A129" s="155">
        <v>44034.0</v>
      </c>
      <c r="B129" s="21" t="s">
        <v>98</v>
      </c>
      <c r="C129" s="21" t="s">
        <v>195</v>
      </c>
      <c r="D129" s="156">
        <v>1000000.0</v>
      </c>
      <c r="E129" s="21" t="s">
        <v>202</v>
      </c>
      <c r="F129" s="156">
        <v>0.0</v>
      </c>
      <c r="G129" s="156">
        <v>0.0</v>
      </c>
      <c r="H129" s="156">
        <v>0.0</v>
      </c>
      <c r="I129" s="156">
        <v>0.0</v>
      </c>
      <c r="J129" s="156">
        <v>0.0</v>
      </c>
    </row>
    <row r="130">
      <c r="A130" s="155">
        <v>44034.0</v>
      </c>
      <c r="B130" s="21" t="s">
        <v>152</v>
      </c>
      <c r="C130" s="21" t="s">
        <v>195</v>
      </c>
      <c r="D130" s="156">
        <v>2500000.0</v>
      </c>
      <c r="E130" s="21" t="s">
        <v>202</v>
      </c>
      <c r="F130" s="156">
        <v>0.0</v>
      </c>
      <c r="G130" s="156">
        <v>0.0</v>
      </c>
      <c r="H130" s="156">
        <v>0.0</v>
      </c>
      <c r="I130" s="156">
        <v>0.0</v>
      </c>
      <c r="J130" s="156">
        <v>0.0</v>
      </c>
    </row>
    <row r="131">
      <c r="A131" s="155">
        <v>44034.0</v>
      </c>
      <c r="B131" s="21" t="s">
        <v>126</v>
      </c>
      <c r="C131" s="21" t="s">
        <v>195</v>
      </c>
      <c r="D131" s="156">
        <v>500000.0</v>
      </c>
      <c r="E131" s="21" t="s">
        <v>202</v>
      </c>
      <c r="F131" s="156">
        <v>0.0</v>
      </c>
      <c r="G131" s="156">
        <v>0.0</v>
      </c>
      <c r="H131" s="156">
        <v>0.0</v>
      </c>
      <c r="I131" s="156">
        <v>0.0</v>
      </c>
      <c r="J131" s="156">
        <v>0.0</v>
      </c>
    </row>
    <row r="132">
      <c r="A132" s="155">
        <v>44034.0</v>
      </c>
      <c r="B132" s="21" t="s">
        <v>158</v>
      </c>
      <c r="C132" s="21" t="s">
        <v>195</v>
      </c>
      <c r="D132" s="156">
        <v>480000.0</v>
      </c>
      <c r="E132" s="21" t="s">
        <v>202</v>
      </c>
      <c r="F132" s="156">
        <v>0.0</v>
      </c>
      <c r="G132" s="156">
        <v>0.0</v>
      </c>
      <c r="H132" s="156">
        <v>0.0</v>
      </c>
      <c r="I132" s="156">
        <v>0.0</v>
      </c>
      <c r="J132" s="156">
        <v>0.0</v>
      </c>
    </row>
    <row r="133">
      <c r="A133" s="155">
        <v>44034.0</v>
      </c>
      <c r="B133" s="21" t="s">
        <v>113</v>
      </c>
      <c r="C133" s="21" t="s">
        <v>195</v>
      </c>
      <c r="D133" s="156">
        <v>240000.0</v>
      </c>
      <c r="E133" s="21" t="s">
        <v>202</v>
      </c>
      <c r="F133" s="156">
        <v>0.0</v>
      </c>
      <c r="G133" s="156">
        <v>0.0</v>
      </c>
      <c r="H133" s="156">
        <v>0.0</v>
      </c>
      <c r="I133" s="156">
        <v>0.0</v>
      </c>
      <c r="J133" s="156">
        <v>0.0</v>
      </c>
    </row>
    <row r="134">
      <c r="A134" s="155">
        <v>44034.0</v>
      </c>
      <c r="B134" s="21" t="s">
        <v>159</v>
      </c>
      <c r="C134" s="21" t="s">
        <v>195</v>
      </c>
      <c r="D134" s="156">
        <v>235000.0</v>
      </c>
      <c r="E134" s="21" t="s">
        <v>202</v>
      </c>
      <c r="F134" s="156">
        <v>0.0</v>
      </c>
      <c r="G134" s="156">
        <v>0.0</v>
      </c>
      <c r="H134" s="156">
        <v>0.0</v>
      </c>
      <c r="I134" s="156">
        <v>0.0</v>
      </c>
      <c r="J134" s="156">
        <v>0.0</v>
      </c>
    </row>
    <row r="135">
      <c r="A135" s="155">
        <v>44034.0</v>
      </c>
      <c r="B135" s="21" t="s">
        <v>46</v>
      </c>
      <c r="C135" s="21" t="s">
        <v>195</v>
      </c>
      <c r="D135" s="156">
        <v>500000.0</v>
      </c>
      <c r="E135" s="21" t="s">
        <v>202</v>
      </c>
      <c r="F135" s="156">
        <v>0.0</v>
      </c>
      <c r="G135" s="156">
        <v>0.0</v>
      </c>
      <c r="H135" s="156">
        <v>0.0</v>
      </c>
      <c r="I135" s="156">
        <v>0.0</v>
      </c>
      <c r="J135" s="156">
        <v>0.0</v>
      </c>
    </row>
    <row r="136">
      <c r="A136" s="155">
        <v>44034.0</v>
      </c>
      <c r="B136" s="21" t="s">
        <v>152</v>
      </c>
      <c r="C136" s="21" t="s">
        <v>245</v>
      </c>
      <c r="D136" s="156">
        <v>358880.0</v>
      </c>
      <c r="E136" s="21" t="s">
        <v>202</v>
      </c>
      <c r="F136" s="156">
        <v>0.0</v>
      </c>
      <c r="G136" s="156">
        <v>0.0</v>
      </c>
      <c r="H136" s="156">
        <v>0.0</v>
      </c>
      <c r="I136" s="156">
        <v>0.0</v>
      </c>
      <c r="J136" s="156">
        <v>0.0</v>
      </c>
    </row>
    <row r="137">
      <c r="A137" s="155">
        <v>44034.0</v>
      </c>
      <c r="B137" s="21" t="s">
        <v>152</v>
      </c>
      <c r="C137" s="21" t="s">
        <v>246</v>
      </c>
      <c r="D137" s="156">
        <v>39920.0</v>
      </c>
      <c r="E137" s="21" t="s">
        <v>205</v>
      </c>
      <c r="F137" s="156">
        <v>0.0</v>
      </c>
      <c r="G137" s="156">
        <v>39920.0</v>
      </c>
      <c r="H137" s="156">
        <v>0.0</v>
      </c>
      <c r="I137" s="156">
        <v>0.0</v>
      </c>
      <c r="J137" s="156">
        <v>0.0</v>
      </c>
    </row>
    <row r="138">
      <c r="A138" s="155">
        <v>44034.0</v>
      </c>
      <c r="B138" s="21" t="s">
        <v>146</v>
      </c>
      <c r="C138" s="21" t="s">
        <v>246</v>
      </c>
      <c r="D138" s="156">
        <v>3800.0</v>
      </c>
      <c r="E138" s="21" t="s">
        <v>205</v>
      </c>
      <c r="F138" s="156">
        <v>0.0</v>
      </c>
      <c r="G138" s="156">
        <v>3800.0</v>
      </c>
      <c r="H138" s="156">
        <v>0.0</v>
      </c>
      <c r="I138" s="156">
        <v>0.0</v>
      </c>
      <c r="J138" s="156">
        <v>0.0</v>
      </c>
    </row>
    <row r="139">
      <c r="A139" s="155">
        <v>44034.0</v>
      </c>
      <c r="B139" s="21" t="s">
        <v>216</v>
      </c>
      <c r="C139" s="21" t="s">
        <v>247</v>
      </c>
      <c r="D139" s="156">
        <v>500.0</v>
      </c>
      <c r="E139" s="21" t="s">
        <v>205</v>
      </c>
      <c r="F139" s="156">
        <v>0.0</v>
      </c>
      <c r="G139" s="156">
        <v>500.0</v>
      </c>
      <c r="H139" s="156">
        <v>0.0</v>
      </c>
      <c r="I139" s="156">
        <v>0.0</v>
      </c>
      <c r="J139" s="156">
        <v>0.0</v>
      </c>
    </row>
    <row r="140">
      <c r="A140" s="155">
        <v>44034.0</v>
      </c>
      <c r="B140" s="21" t="s">
        <v>183</v>
      </c>
      <c r="C140" s="21" t="s">
        <v>223</v>
      </c>
      <c r="D140" s="156">
        <v>418500.0</v>
      </c>
      <c r="E140" s="21" t="s">
        <v>211</v>
      </c>
      <c r="F140" s="156">
        <v>0.0</v>
      </c>
      <c r="G140" s="156">
        <v>0.0</v>
      </c>
      <c r="H140" s="156">
        <v>0.0</v>
      </c>
      <c r="I140" s="156">
        <v>418500.0</v>
      </c>
      <c r="J140" s="156">
        <v>0.0</v>
      </c>
    </row>
    <row r="141">
      <c r="A141" s="155">
        <v>44034.0</v>
      </c>
      <c r="B141" s="21" t="s">
        <v>220</v>
      </c>
      <c r="C141" s="21" t="s">
        <v>221</v>
      </c>
      <c r="D141" s="156">
        <v>1.134828E7</v>
      </c>
      <c r="E141" s="21" t="s">
        <v>201</v>
      </c>
      <c r="F141" s="156">
        <v>0.0</v>
      </c>
      <c r="G141" s="156">
        <v>0.0</v>
      </c>
      <c r="H141" s="156">
        <v>1.134828E7</v>
      </c>
      <c r="I141" s="156">
        <v>0.0</v>
      </c>
      <c r="J141" s="156">
        <v>0.0</v>
      </c>
    </row>
    <row r="142">
      <c r="A142" s="155">
        <v>44029.0</v>
      </c>
      <c r="B142" s="21" t="s">
        <v>220</v>
      </c>
      <c r="C142" s="21" t="s">
        <v>221</v>
      </c>
      <c r="D142" s="156">
        <v>29000.0</v>
      </c>
      <c r="E142" s="21" t="s">
        <v>201</v>
      </c>
      <c r="F142" s="156">
        <v>0.0</v>
      </c>
      <c r="G142" s="156">
        <v>0.0</v>
      </c>
      <c r="H142" s="156">
        <v>29000.0</v>
      </c>
      <c r="I142" s="156">
        <v>0.0</v>
      </c>
      <c r="J142" s="156">
        <v>0.0</v>
      </c>
    </row>
    <row r="143">
      <c r="A143" s="155">
        <v>44030.0</v>
      </c>
      <c r="B143" s="21" t="s">
        <v>220</v>
      </c>
      <c r="C143" s="21" t="s">
        <v>221</v>
      </c>
      <c r="D143" s="156">
        <v>83160.0</v>
      </c>
      <c r="E143" s="21" t="s">
        <v>201</v>
      </c>
      <c r="F143" s="156">
        <v>0.0</v>
      </c>
      <c r="G143" s="156">
        <v>0.0</v>
      </c>
      <c r="H143" s="156">
        <v>83160.0</v>
      </c>
      <c r="I143" s="156">
        <v>0.0</v>
      </c>
      <c r="J143" s="156">
        <v>0.0</v>
      </c>
    </row>
    <row r="144">
      <c r="A144" s="155">
        <v>44032.0</v>
      </c>
      <c r="B144" s="21" t="s">
        <v>222</v>
      </c>
      <c r="C144" s="21" t="s">
        <v>223</v>
      </c>
      <c r="D144" s="156">
        <v>145000.0</v>
      </c>
      <c r="E144" s="21" t="s">
        <v>205</v>
      </c>
      <c r="F144" s="156">
        <v>0.0</v>
      </c>
      <c r="G144" s="156">
        <v>145000.0</v>
      </c>
      <c r="H144" s="156">
        <v>0.0</v>
      </c>
      <c r="I144" s="156">
        <v>0.0</v>
      </c>
      <c r="J144" s="156">
        <v>0.0</v>
      </c>
    </row>
    <row r="145">
      <c r="A145" s="155">
        <v>44033.0</v>
      </c>
      <c r="B145" s="21" t="s">
        <v>220</v>
      </c>
      <c r="C145" s="21" t="s">
        <v>221</v>
      </c>
      <c r="D145" s="156">
        <v>884520.0</v>
      </c>
      <c r="E145" s="21" t="s">
        <v>201</v>
      </c>
      <c r="F145" s="156">
        <v>0.0</v>
      </c>
      <c r="G145" s="156">
        <v>0.0</v>
      </c>
      <c r="H145" s="156">
        <v>884520.0</v>
      </c>
      <c r="I145" s="156">
        <v>0.0</v>
      </c>
      <c r="J145" s="156">
        <v>0.0</v>
      </c>
    </row>
    <row r="146">
      <c r="A146" s="155">
        <v>44032.0</v>
      </c>
      <c r="B146" s="21" t="s">
        <v>222</v>
      </c>
      <c r="C146" s="21" t="s">
        <v>223</v>
      </c>
      <c r="D146" s="156">
        <v>145000.0</v>
      </c>
      <c r="E146" s="21" t="s">
        <v>211</v>
      </c>
      <c r="F146" s="156">
        <v>0.0</v>
      </c>
      <c r="G146" s="156">
        <v>0.0</v>
      </c>
      <c r="H146" s="156">
        <v>0.0</v>
      </c>
      <c r="I146" s="156">
        <v>145000.0</v>
      </c>
      <c r="J146" s="156">
        <v>0.0</v>
      </c>
    </row>
    <row r="147">
      <c r="A147" s="155">
        <v>44035.0</v>
      </c>
      <c r="B147" s="21" t="s">
        <v>109</v>
      </c>
      <c r="C147" s="21" t="s">
        <v>213</v>
      </c>
      <c r="D147" s="156">
        <v>600000.0</v>
      </c>
      <c r="E147" s="21" t="s">
        <v>202</v>
      </c>
      <c r="F147" s="156">
        <v>0.0</v>
      </c>
      <c r="G147" s="156">
        <v>0.0</v>
      </c>
      <c r="H147" s="156">
        <v>0.0</v>
      </c>
      <c r="I147" s="156">
        <v>0.0</v>
      </c>
      <c r="J147" s="156">
        <v>0.0</v>
      </c>
    </row>
    <row r="148">
      <c r="A148" s="155">
        <v>44035.0</v>
      </c>
      <c r="B148" s="21" t="s">
        <v>160</v>
      </c>
      <c r="C148" s="21" t="s">
        <v>90</v>
      </c>
      <c r="D148" s="156">
        <v>150000.0</v>
      </c>
      <c r="E148" s="21" t="s">
        <v>202</v>
      </c>
      <c r="F148" s="156">
        <v>0.0</v>
      </c>
      <c r="G148" s="156">
        <v>0.0</v>
      </c>
      <c r="H148" s="156">
        <v>0.0</v>
      </c>
      <c r="I148" s="156">
        <v>0.0</v>
      </c>
      <c r="J148" s="156">
        <v>0.0</v>
      </c>
    </row>
    <row r="149">
      <c r="A149" s="155">
        <v>44035.0</v>
      </c>
      <c r="B149" s="21" t="s">
        <v>248</v>
      </c>
      <c r="C149" s="21" t="s">
        <v>249</v>
      </c>
      <c r="D149" s="156">
        <v>1500.0</v>
      </c>
      <c r="E149" s="21" t="s">
        <v>205</v>
      </c>
      <c r="F149" s="156">
        <v>0.0</v>
      </c>
      <c r="G149" s="156">
        <v>1500.0</v>
      </c>
      <c r="H149" s="156">
        <v>0.0</v>
      </c>
      <c r="I149" s="156">
        <v>0.0</v>
      </c>
      <c r="J149" s="156">
        <v>0.0</v>
      </c>
    </row>
    <row r="150">
      <c r="A150" s="155">
        <v>44035.0</v>
      </c>
      <c r="B150" s="21" t="s">
        <v>220</v>
      </c>
      <c r="C150" s="21" t="s">
        <v>249</v>
      </c>
      <c r="D150" s="156">
        <v>1500.0</v>
      </c>
      <c r="E150" s="21" t="s">
        <v>205</v>
      </c>
      <c r="F150" s="156">
        <v>0.0</v>
      </c>
      <c r="G150" s="156">
        <v>1500.0</v>
      </c>
      <c r="H150" s="156">
        <v>0.0</v>
      </c>
      <c r="I150" s="156">
        <v>0.0</v>
      </c>
      <c r="J150" s="156">
        <v>0.0</v>
      </c>
    </row>
    <row r="151">
      <c r="A151" s="155">
        <v>44035.0</v>
      </c>
      <c r="B151" s="21" t="s">
        <v>250</v>
      </c>
      <c r="C151" s="21" t="s">
        <v>251</v>
      </c>
      <c r="D151" s="156">
        <v>10000.0</v>
      </c>
      <c r="E151" s="21" t="s">
        <v>205</v>
      </c>
      <c r="F151" s="156">
        <v>0.0</v>
      </c>
      <c r="G151" s="156">
        <v>10000.0</v>
      </c>
      <c r="H151" s="156">
        <v>0.0</v>
      </c>
      <c r="I151" s="156">
        <v>0.0</v>
      </c>
      <c r="J151" s="156">
        <v>0.0</v>
      </c>
    </row>
    <row r="152">
      <c r="A152" s="155">
        <v>44035.0</v>
      </c>
      <c r="B152" s="21" t="s">
        <v>252</v>
      </c>
      <c r="C152" s="21" t="s">
        <v>253</v>
      </c>
      <c r="D152" s="156">
        <v>161000.0</v>
      </c>
      <c r="E152" s="21" t="s">
        <v>205</v>
      </c>
      <c r="F152" s="156">
        <v>0.0</v>
      </c>
      <c r="G152" s="156">
        <v>161000.0</v>
      </c>
      <c r="H152" s="156">
        <v>0.0</v>
      </c>
      <c r="I152" s="156">
        <v>0.0</v>
      </c>
      <c r="J152" s="156">
        <v>0.0</v>
      </c>
    </row>
    <row r="153">
      <c r="A153" s="155">
        <v>44035.0</v>
      </c>
      <c r="B153" s="21" t="s">
        <v>183</v>
      </c>
      <c r="C153" s="21" t="s">
        <v>223</v>
      </c>
      <c r="D153" s="156">
        <v>174000.0</v>
      </c>
      <c r="E153" s="21" t="s">
        <v>211</v>
      </c>
      <c r="F153" s="156">
        <v>0.0</v>
      </c>
      <c r="G153" s="156">
        <v>0.0</v>
      </c>
      <c r="H153" s="156">
        <v>0.0</v>
      </c>
      <c r="I153" s="156">
        <v>174000.0</v>
      </c>
      <c r="J153" s="156">
        <v>0.0</v>
      </c>
    </row>
    <row r="154">
      <c r="A154" s="155">
        <v>44035.0</v>
      </c>
      <c r="B154" s="21" t="s">
        <v>220</v>
      </c>
      <c r="C154" s="21" t="s">
        <v>221</v>
      </c>
      <c r="D154" s="156">
        <v>1000000.0</v>
      </c>
      <c r="E154" s="21" t="s">
        <v>201</v>
      </c>
      <c r="F154" s="156">
        <v>0.0</v>
      </c>
      <c r="G154" s="156">
        <v>0.0</v>
      </c>
      <c r="H154" s="156">
        <v>1000000.0</v>
      </c>
      <c r="I154" s="156">
        <v>0.0</v>
      </c>
      <c r="J154" s="156">
        <v>0.0</v>
      </c>
    </row>
    <row r="155">
      <c r="A155" s="155">
        <v>44036.0</v>
      </c>
      <c r="B155" s="21" t="s">
        <v>117</v>
      </c>
      <c r="C155" s="21" t="s">
        <v>236</v>
      </c>
      <c r="D155" s="156">
        <v>500000.0</v>
      </c>
      <c r="E155" s="21" t="s">
        <v>202</v>
      </c>
      <c r="F155" s="156">
        <v>0.0</v>
      </c>
      <c r="G155" s="156">
        <v>0.0</v>
      </c>
      <c r="H155" s="156">
        <v>0.0</v>
      </c>
      <c r="I155" s="156">
        <v>0.0</v>
      </c>
      <c r="J155" s="156">
        <v>0.0</v>
      </c>
    </row>
    <row r="156">
      <c r="A156" s="155">
        <v>44036.0</v>
      </c>
      <c r="B156" s="21" t="s">
        <v>216</v>
      </c>
      <c r="C156" s="21" t="s">
        <v>254</v>
      </c>
      <c r="D156" s="156">
        <v>20000.0</v>
      </c>
      <c r="E156" s="21" t="s">
        <v>205</v>
      </c>
      <c r="F156" s="156">
        <v>0.0</v>
      </c>
      <c r="G156" s="156">
        <v>20000.0</v>
      </c>
      <c r="H156" s="156">
        <v>0.0</v>
      </c>
      <c r="I156" s="156">
        <v>0.0</v>
      </c>
      <c r="J156" s="156">
        <v>0.0</v>
      </c>
    </row>
    <row r="157">
      <c r="A157" s="155">
        <v>44036.0</v>
      </c>
      <c r="B157" s="21" t="s">
        <v>220</v>
      </c>
      <c r="C157" s="21" t="s">
        <v>226</v>
      </c>
      <c r="D157" s="156">
        <v>1000.0</v>
      </c>
      <c r="E157" s="21" t="s">
        <v>205</v>
      </c>
      <c r="F157" s="156">
        <v>0.0</v>
      </c>
      <c r="G157" s="156">
        <v>1000.0</v>
      </c>
      <c r="H157" s="156">
        <v>0.0</v>
      </c>
      <c r="I157" s="156">
        <v>0.0</v>
      </c>
      <c r="J157" s="156">
        <v>0.0</v>
      </c>
    </row>
    <row r="158">
      <c r="A158" s="155">
        <v>44036.0</v>
      </c>
      <c r="B158" s="21" t="s">
        <v>183</v>
      </c>
      <c r="C158" s="21" t="s">
        <v>255</v>
      </c>
      <c r="D158" s="156">
        <v>6000.0</v>
      </c>
      <c r="E158" s="21" t="s">
        <v>205</v>
      </c>
      <c r="F158" s="156">
        <v>0.0</v>
      </c>
      <c r="G158" s="156">
        <v>6000.0</v>
      </c>
      <c r="H158" s="156">
        <v>0.0</v>
      </c>
      <c r="I158" s="156">
        <v>0.0</v>
      </c>
      <c r="J158" s="156">
        <v>0.0</v>
      </c>
    </row>
    <row r="159">
      <c r="A159" s="155">
        <v>44036.0</v>
      </c>
      <c r="B159" s="21" t="s">
        <v>225</v>
      </c>
      <c r="C159" s="21" t="s">
        <v>206</v>
      </c>
      <c r="D159" s="156">
        <v>4000.0</v>
      </c>
      <c r="E159" s="21" t="s">
        <v>205</v>
      </c>
      <c r="F159" s="156">
        <v>0.0</v>
      </c>
      <c r="G159" s="156">
        <v>4000.0</v>
      </c>
      <c r="H159" s="156">
        <v>0.0</v>
      </c>
      <c r="I159" s="156">
        <v>0.0</v>
      </c>
      <c r="J159" s="156">
        <v>0.0</v>
      </c>
    </row>
    <row r="160">
      <c r="A160" s="155">
        <v>44036.0</v>
      </c>
      <c r="B160" s="21" t="s">
        <v>220</v>
      </c>
      <c r="C160" s="21" t="s">
        <v>256</v>
      </c>
      <c r="D160" s="156">
        <v>10000.0</v>
      </c>
      <c r="E160" s="21" t="s">
        <v>205</v>
      </c>
      <c r="F160" s="156">
        <v>0.0</v>
      </c>
      <c r="G160" s="156">
        <v>10000.0</v>
      </c>
      <c r="H160" s="156">
        <v>0.0</v>
      </c>
      <c r="I160" s="156">
        <v>0.0</v>
      </c>
      <c r="J160" s="156">
        <v>0.0</v>
      </c>
    </row>
    <row r="161">
      <c r="A161" s="155">
        <v>44036.0</v>
      </c>
      <c r="B161" s="21" t="s">
        <v>220</v>
      </c>
      <c r="C161" s="21" t="s">
        <v>257</v>
      </c>
      <c r="D161" s="156">
        <v>500.0</v>
      </c>
      <c r="E161" s="21" t="s">
        <v>205</v>
      </c>
      <c r="F161" s="156">
        <v>0.0</v>
      </c>
      <c r="G161" s="156">
        <v>500.0</v>
      </c>
      <c r="H161" s="156">
        <v>0.0</v>
      </c>
      <c r="I161" s="156">
        <v>0.0</v>
      </c>
      <c r="J161" s="156">
        <v>0.0</v>
      </c>
    </row>
    <row r="162">
      <c r="A162" s="155">
        <v>44036.0</v>
      </c>
      <c r="B162" s="21" t="s">
        <v>258</v>
      </c>
      <c r="C162" s="21" t="s">
        <v>259</v>
      </c>
      <c r="D162" s="156">
        <v>32000.0</v>
      </c>
      <c r="E162" s="21" t="s">
        <v>205</v>
      </c>
      <c r="F162" s="156">
        <v>0.0</v>
      </c>
      <c r="G162" s="156">
        <v>32000.0</v>
      </c>
      <c r="H162" s="156">
        <v>0.0</v>
      </c>
      <c r="I162" s="156">
        <v>0.0</v>
      </c>
      <c r="J162" s="156">
        <v>0.0</v>
      </c>
    </row>
    <row r="163">
      <c r="A163" s="155">
        <v>44036.0</v>
      </c>
      <c r="B163" s="21" t="s">
        <v>183</v>
      </c>
      <c r="C163" s="21" t="s">
        <v>223</v>
      </c>
      <c r="D163" s="156">
        <v>415570.0</v>
      </c>
      <c r="E163" s="21" t="s">
        <v>211</v>
      </c>
      <c r="F163" s="156">
        <v>0.0</v>
      </c>
      <c r="G163" s="156">
        <v>0.0</v>
      </c>
      <c r="H163" s="156">
        <v>0.0</v>
      </c>
      <c r="I163" s="156">
        <v>415570.0</v>
      </c>
      <c r="J163" s="156">
        <v>0.0</v>
      </c>
    </row>
    <row r="164">
      <c r="A164" s="155">
        <v>44036.0</v>
      </c>
      <c r="B164" s="21" t="s">
        <v>220</v>
      </c>
      <c r="C164" s="21" t="s">
        <v>221</v>
      </c>
      <c r="D164" s="156">
        <v>500000.0</v>
      </c>
      <c r="E164" s="21" t="s">
        <v>201</v>
      </c>
      <c r="F164" s="156">
        <v>0.0</v>
      </c>
      <c r="G164" s="156">
        <v>0.0</v>
      </c>
      <c r="H164" s="156">
        <v>500000.0</v>
      </c>
      <c r="I164" s="156">
        <v>0.0</v>
      </c>
      <c r="J164" s="156">
        <v>0.0</v>
      </c>
    </row>
    <row r="165">
      <c r="A165" s="155">
        <v>44036.0</v>
      </c>
      <c r="B165" s="21" t="s">
        <v>216</v>
      </c>
      <c r="C165" s="21" t="s">
        <v>221</v>
      </c>
      <c r="D165" s="156">
        <v>338070.0</v>
      </c>
      <c r="E165" s="21" t="s">
        <v>201</v>
      </c>
      <c r="F165" s="156">
        <v>0.0</v>
      </c>
      <c r="G165" s="156">
        <v>0.0</v>
      </c>
      <c r="H165" s="156">
        <v>338070.0</v>
      </c>
      <c r="I165" s="156">
        <v>0.0</v>
      </c>
      <c r="J165" s="156">
        <v>0.0</v>
      </c>
    </row>
    <row r="166">
      <c r="A166" s="155">
        <v>44039.0</v>
      </c>
      <c r="B166" s="21" t="s">
        <v>161</v>
      </c>
      <c r="C166" s="21" t="s">
        <v>195</v>
      </c>
      <c r="D166" s="156">
        <v>50000.0</v>
      </c>
      <c r="E166" s="21" t="s">
        <v>202</v>
      </c>
      <c r="F166" s="156">
        <v>0.0</v>
      </c>
      <c r="G166" s="156">
        <v>0.0</v>
      </c>
      <c r="H166" s="156">
        <v>0.0</v>
      </c>
      <c r="I166" s="156">
        <v>0.0</v>
      </c>
      <c r="J166" s="156">
        <v>0.0</v>
      </c>
    </row>
    <row r="167">
      <c r="A167" s="155">
        <v>44039.0</v>
      </c>
      <c r="B167" s="21" t="s">
        <v>132</v>
      </c>
      <c r="C167" s="21" t="s">
        <v>195</v>
      </c>
      <c r="D167" s="156">
        <v>20000.0</v>
      </c>
      <c r="E167" s="21" t="s">
        <v>202</v>
      </c>
      <c r="F167" s="156">
        <v>0.0</v>
      </c>
      <c r="G167" s="156">
        <v>0.0</v>
      </c>
      <c r="H167" s="156">
        <v>0.0</v>
      </c>
      <c r="I167" s="156">
        <v>0.0</v>
      </c>
      <c r="J167" s="156">
        <v>0.0</v>
      </c>
    </row>
    <row r="168">
      <c r="A168" s="155">
        <v>44039.0</v>
      </c>
      <c r="B168" s="21" t="s">
        <v>260</v>
      </c>
      <c r="C168" s="21" t="s">
        <v>261</v>
      </c>
      <c r="D168" s="156">
        <v>1000.0</v>
      </c>
      <c r="E168" s="21" t="s">
        <v>202</v>
      </c>
      <c r="F168" s="156">
        <v>0.0</v>
      </c>
      <c r="G168" s="156">
        <v>0.0</v>
      </c>
      <c r="H168" s="156">
        <v>0.0</v>
      </c>
      <c r="I168" s="156">
        <v>0.0</v>
      </c>
      <c r="J168" s="156">
        <v>0.0</v>
      </c>
    </row>
    <row r="169">
      <c r="A169" s="155">
        <v>44039.0</v>
      </c>
      <c r="B169" s="21" t="s">
        <v>216</v>
      </c>
      <c r="C169" s="21" t="s">
        <v>254</v>
      </c>
      <c r="D169" s="156">
        <v>10000.0</v>
      </c>
      <c r="E169" s="21" t="s">
        <v>205</v>
      </c>
      <c r="F169" s="156">
        <v>0.0</v>
      </c>
      <c r="G169" s="156">
        <v>10000.0</v>
      </c>
      <c r="H169" s="156">
        <v>0.0</v>
      </c>
      <c r="I169" s="156">
        <v>0.0</v>
      </c>
      <c r="J169" s="156">
        <v>0.0</v>
      </c>
    </row>
    <row r="170">
      <c r="A170" s="155">
        <v>44039.0</v>
      </c>
      <c r="B170" s="21" t="s">
        <v>220</v>
      </c>
      <c r="C170" s="21" t="s">
        <v>262</v>
      </c>
      <c r="D170" s="156">
        <v>10000.0</v>
      </c>
      <c r="E170" s="21" t="s">
        <v>205</v>
      </c>
      <c r="F170" s="156">
        <v>0.0</v>
      </c>
      <c r="G170" s="156">
        <v>10000.0</v>
      </c>
      <c r="H170" s="156">
        <v>0.0</v>
      </c>
      <c r="I170" s="156">
        <v>0.0</v>
      </c>
      <c r="J170" s="156">
        <v>0.0</v>
      </c>
    </row>
    <row r="171">
      <c r="A171" s="155">
        <v>44039.0</v>
      </c>
      <c r="B171" s="21" t="s">
        <v>263</v>
      </c>
      <c r="C171" s="21" t="s">
        <v>264</v>
      </c>
      <c r="D171" s="156">
        <v>200.0</v>
      </c>
      <c r="E171" s="21" t="s">
        <v>205</v>
      </c>
      <c r="F171" s="156">
        <v>0.0</v>
      </c>
      <c r="G171" s="156">
        <v>200.0</v>
      </c>
      <c r="H171" s="156">
        <v>0.0</v>
      </c>
      <c r="I171" s="156">
        <v>0.0</v>
      </c>
      <c r="J171" s="156">
        <v>0.0</v>
      </c>
    </row>
    <row r="172">
      <c r="A172" s="155">
        <v>44039.0</v>
      </c>
      <c r="B172" s="21" t="s">
        <v>265</v>
      </c>
      <c r="C172" s="21" t="s">
        <v>266</v>
      </c>
      <c r="D172" s="156">
        <v>12000.0</v>
      </c>
      <c r="E172" s="21" t="s">
        <v>205</v>
      </c>
      <c r="F172" s="156">
        <v>0.0</v>
      </c>
      <c r="G172" s="156">
        <v>12000.0</v>
      </c>
      <c r="H172" s="156">
        <v>0.0</v>
      </c>
      <c r="I172" s="156">
        <v>0.0</v>
      </c>
      <c r="J172" s="156">
        <v>0.0</v>
      </c>
    </row>
    <row r="173">
      <c r="A173" s="155">
        <v>44039.0</v>
      </c>
      <c r="B173" s="21" t="s">
        <v>267</v>
      </c>
      <c r="C173" s="21" t="s">
        <v>264</v>
      </c>
      <c r="D173" s="156">
        <v>148000.0</v>
      </c>
      <c r="E173" s="21" t="s">
        <v>205</v>
      </c>
      <c r="F173" s="156">
        <v>0.0</v>
      </c>
      <c r="G173" s="156">
        <v>148000.0</v>
      </c>
      <c r="H173" s="156">
        <v>0.0</v>
      </c>
      <c r="I173" s="156">
        <v>0.0</v>
      </c>
      <c r="J173" s="156">
        <v>0.0</v>
      </c>
    </row>
    <row r="174">
      <c r="A174" s="155">
        <v>44039.0</v>
      </c>
      <c r="B174" s="21" t="s">
        <v>268</v>
      </c>
      <c r="C174" s="21" t="s">
        <v>264</v>
      </c>
      <c r="D174" s="156">
        <v>84000.0</v>
      </c>
      <c r="E174" s="21" t="s">
        <v>205</v>
      </c>
      <c r="F174" s="156">
        <v>0.0</v>
      </c>
      <c r="G174" s="156">
        <v>84000.0</v>
      </c>
      <c r="H174" s="156">
        <v>0.0</v>
      </c>
      <c r="I174" s="156">
        <v>0.0</v>
      </c>
      <c r="J174" s="156">
        <v>0.0</v>
      </c>
    </row>
    <row r="175">
      <c r="A175" s="155">
        <v>44039.0</v>
      </c>
      <c r="B175" s="21" t="s">
        <v>269</v>
      </c>
      <c r="C175" s="21" t="s">
        <v>264</v>
      </c>
      <c r="D175" s="156">
        <v>243200.0</v>
      </c>
      <c r="E175" s="21" t="s">
        <v>205</v>
      </c>
      <c r="F175" s="156">
        <v>0.0</v>
      </c>
      <c r="G175" s="156">
        <v>243200.0</v>
      </c>
      <c r="H175" s="156">
        <v>0.0</v>
      </c>
      <c r="I175" s="156">
        <v>0.0</v>
      </c>
      <c r="J175" s="156">
        <v>0.0</v>
      </c>
    </row>
    <row r="176">
      <c r="A176" s="155">
        <v>44039.0</v>
      </c>
      <c r="B176" s="21" t="s">
        <v>270</v>
      </c>
      <c r="C176" s="21" t="s">
        <v>264</v>
      </c>
      <c r="D176" s="156">
        <v>244000.0</v>
      </c>
      <c r="E176" s="21" t="s">
        <v>205</v>
      </c>
      <c r="F176" s="156">
        <v>0.0</v>
      </c>
      <c r="G176" s="156">
        <v>244000.0</v>
      </c>
      <c r="H176" s="156">
        <v>0.0</v>
      </c>
      <c r="I176" s="156">
        <v>0.0</v>
      </c>
      <c r="J176" s="156">
        <v>0.0</v>
      </c>
    </row>
    <row r="177">
      <c r="A177" s="155">
        <v>44039.0</v>
      </c>
      <c r="B177" s="21" t="s">
        <v>271</v>
      </c>
      <c r="C177" s="21" t="s">
        <v>266</v>
      </c>
      <c r="D177" s="156">
        <v>27800.0</v>
      </c>
      <c r="E177" s="21" t="s">
        <v>205</v>
      </c>
      <c r="F177" s="156">
        <v>0.0</v>
      </c>
      <c r="G177" s="156">
        <v>27800.0</v>
      </c>
      <c r="H177" s="156">
        <v>0.0</v>
      </c>
      <c r="I177" s="156">
        <v>0.0</v>
      </c>
      <c r="J177" s="156">
        <v>0.0</v>
      </c>
    </row>
    <row r="178">
      <c r="A178" s="155">
        <v>44039.0</v>
      </c>
      <c r="B178" s="21" t="s">
        <v>183</v>
      </c>
      <c r="C178" s="21" t="s">
        <v>223</v>
      </c>
      <c r="D178" s="156">
        <v>929200.0</v>
      </c>
      <c r="E178" s="21" t="s">
        <v>211</v>
      </c>
      <c r="F178" s="156">
        <v>0.0</v>
      </c>
      <c r="G178" s="156">
        <v>0.0</v>
      </c>
      <c r="H178" s="156">
        <v>0.0</v>
      </c>
      <c r="I178" s="156">
        <v>929200.0</v>
      </c>
      <c r="J178" s="156">
        <v>0.0</v>
      </c>
    </row>
    <row r="179">
      <c r="A179" s="155">
        <v>44039.0</v>
      </c>
      <c r="B179" s="21" t="s">
        <v>220</v>
      </c>
      <c r="C179" s="21" t="s">
        <v>221</v>
      </c>
      <c r="D179" s="156">
        <v>1000000.0</v>
      </c>
      <c r="E179" s="21" t="s">
        <v>201</v>
      </c>
      <c r="F179" s="156">
        <v>0.0</v>
      </c>
      <c r="G179" s="156">
        <v>0.0</v>
      </c>
      <c r="H179" s="156">
        <v>1000000.0</v>
      </c>
      <c r="I179" s="156">
        <v>0.0</v>
      </c>
      <c r="J179" s="156">
        <v>0.0</v>
      </c>
    </row>
    <row r="180">
      <c r="A180" s="155">
        <v>44030.0</v>
      </c>
      <c r="B180" s="21" t="s">
        <v>153</v>
      </c>
      <c r="C180" s="21" t="s">
        <v>272</v>
      </c>
      <c r="D180" s="156">
        <v>-200000.0</v>
      </c>
      <c r="E180" s="21" t="s">
        <v>202</v>
      </c>
      <c r="F180" s="156">
        <v>0.0</v>
      </c>
      <c r="G180" s="156">
        <v>0.0</v>
      </c>
      <c r="H180" s="156">
        <v>0.0</v>
      </c>
      <c r="I180" s="156">
        <v>0.0</v>
      </c>
      <c r="J180" s="156">
        <v>0.0</v>
      </c>
    </row>
    <row r="181">
      <c r="A181" s="155">
        <v>44030.0</v>
      </c>
      <c r="B181" s="21" t="s">
        <v>98</v>
      </c>
      <c r="C181" s="21" t="s">
        <v>90</v>
      </c>
      <c r="D181" s="156">
        <v>200000.0</v>
      </c>
      <c r="E181" s="21" t="s">
        <v>202</v>
      </c>
      <c r="F181" s="156">
        <v>0.0</v>
      </c>
      <c r="G181" s="156">
        <v>0.0</v>
      </c>
      <c r="H181" s="156">
        <v>0.0</v>
      </c>
      <c r="I181" s="156">
        <v>0.0</v>
      </c>
      <c r="J181" s="156">
        <v>0.0</v>
      </c>
    </row>
    <row r="182">
      <c r="A182" s="155">
        <v>44040.0</v>
      </c>
      <c r="B182" s="21" t="s">
        <v>46</v>
      </c>
      <c r="C182" s="21" t="s">
        <v>90</v>
      </c>
      <c r="D182" s="156">
        <v>1000000.0</v>
      </c>
      <c r="E182" s="21" t="s">
        <v>202</v>
      </c>
      <c r="F182" s="156">
        <v>0.0</v>
      </c>
      <c r="G182" s="156">
        <v>0.0</v>
      </c>
      <c r="H182" s="156">
        <v>0.0</v>
      </c>
      <c r="I182" s="156">
        <v>0.0</v>
      </c>
      <c r="J182" s="156">
        <v>0.0</v>
      </c>
    </row>
    <row r="183">
      <c r="A183" s="155">
        <v>44040.0</v>
      </c>
      <c r="B183" s="21" t="s">
        <v>150</v>
      </c>
      <c r="C183" s="21" t="s">
        <v>90</v>
      </c>
      <c r="D183" s="156">
        <v>1440000.0</v>
      </c>
      <c r="E183" s="21" t="s">
        <v>202</v>
      </c>
      <c r="F183" s="156">
        <v>0.0</v>
      </c>
      <c r="G183" s="156">
        <v>0.0</v>
      </c>
      <c r="H183" s="156">
        <v>0.0</v>
      </c>
      <c r="I183" s="156">
        <v>0.0</v>
      </c>
      <c r="J183" s="156">
        <v>0.0</v>
      </c>
    </row>
    <row r="184">
      <c r="A184" s="155">
        <v>44040.0</v>
      </c>
      <c r="B184" s="21" t="s">
        <v>117</v>
      </c>
      <c r="C184" s="21" t="s">
        <v>90</v>
      </c>
      <c r="D184" s="156">
        <v>1000000.0</v>
      </c>
      <c r="E184" s="21" t="s">
        <v>202</v>
      </c>
      <c r="F184" s="156">
        <v>0.0</v>
      </c>
      <c r="G184" s="156">
        <v>0.0</v>
      </c>
      <c r="H184" s="156">
        <v>0.0</v>
      </c>
      <c r="I184" s="156">
        <v>0.0</v>
      </c>
      <c r="J184" s="156">
        <v>0.0</v>
      </c>
    </row>
    <row r="185">
      <c r="A185" s="155">
        <v>44040.0</v>
      </c>
      <c r="B185" s="21" t="s">
        <v>163</v>
      </c>
      <c r="C185" s="21" t="s">
        <v>90</v>
      </c>
      <c r="D185" s="156">
        <v>500000.0</v>
      </c>
      <c r="E185" s="21" t="s">
        <v>202</v>
      </c>
      <c r="F185" s="156">
        <v>0.0</v>
      </c>
      <c r="G185" s="156">
        <v>0.0</v>
      </c>
      <c r="H185" s="156">
        <v>0.0</v>
      </c>
      <c r="I185" s="156">
        <v>0.0</v>
      </c>
      <c r="J185" s="156">
        <v>0.0</v>
      </c>
    </row>
    <row r="186">
      <c r="A186" s="155">
        <v>44040.0</v>
      </c>
      <c r="B186" s="21" t="s">
        <v>25</v>
      </c>
      <c r="C186" s="21" t="s">
        <v>90</v>
      </c>
      <c r="D186" s="156">
        <v>500000.0</v>
      </c>
      <c r="E186" s="21" t="s">
        <v>202</v>
      </c>
      <c r="F186" s="156">
        <v>0.0</v>
      </c>
      <c r="G186" s="156">
        <v>0.0</v>
      </c>
      <c r="H186" s="156">
        <v>0.0</v>
      </c>
      <c r="I186" s="156">
        <v>0.0</v>
      </c>
      <c r="J186" s="156">
        <v>0.0</v>
      </c>
    </row>
    <row r="187">
      <c r="A187" s="155">
        <v>44040.0</v>
      </c>
      <c r="B187" s="21" t="s">
        <v>220</v>
      </c>
      <c r="C187" s="21" t="s">
        <v>249</v>
      </c>
      <c r="D187" s="156">
        <v>5000.0</v>
      </c>
      <c r="E187" s="21" t="s">
        <v>205</v>
      </c>
      <c r="F187" s="156">
        <v>0.0</v>
      </c>
      <c r="G187" s="156">
        <v>5000.0</v>
      </c>
      <c r="H187" s="156">
        <v>0.0</v>
      </c>
      <c r="I187" s="156">
        <v>0.0</v>
      </c>
      <c r="J187" s="156">
        <v>0.0</v>
      </c>
    </row>
    <row r="188">
      <c r="A188" s="155">
        <v>44040.0</v>
      </c>
      <c r="B188" s="21" t="s">
        <v>225</v>
      </c>
      <c r="C188" s="21" t="s">
        <v>226</v>
      </c>
      <c r="D188" s="156">
        <v>4000.0</v>
      </c>
      <c r="E188" s="21" t="s">
        <v>205</v>
      </c>
      <c r="F188" s="156">
        <v>0.0</v>
      </c>
      <c r="G188" s="156">
        <v>4000.0</v>
      </c>
      <c r="H188" s="156">
        <v>0.0</v>
      </c>
      <c r="I188" s="156">
        <v>0.0</v>
      </c>
      <c r="J188" s="156">
        <v>0.0</v>
      </c>
    </row>
    <row r="189">
      <c r="A189" s="155">
        <v>44040.0</v>
      </c>
      <c r="B189" s="21" t="s">
        <v>183</v>
      </c>
      <c r="C189" s="21" t="s">
        <v>223</v>
      </c>
      <c r="D189" s="156">
        <v>444800.0</v>
      </c>
      <c r="E189" s="21" t="s">
        <v>211</v>
      </c>
      <c r="F189" s="156">
        <v>0.0</v>
      </c>
      <c r="G189" s="156">
        <v>0.0</v>
      </c>
      <c r="H189" s="156">
        <v>0.0</v>
      </c>
      <c r="I189" s="156">
        <v>444800.0</v>
      </c>
      <c r="J189" s="156">
        <v>0.0</v>
      </c>
    </row>
    <row r="190">
      <c r="A190" s="155">
        <v>44040.0</v>
      </c>
      <c r="B190" s="21" t="s">
        <v>220</v>
      </c>
      <c r="C190" s="21" t="s">
        <v>221</v>
      </c>
      <c r="D190" s="156">
        <v>5000000.0</v>
      </c>
      <c r="E190" s="21" t="s">
        <v>201</v>
      </c>
      <c r="F190" s="156">
        <v>0.0</v>
      </c>
      <c r="G190" s="156">
        <v>0.0</v>
      </c>
      <c r="H190" s="156">
        <v>5000000.0</v>
      </c>
      <c r="I190" s="156">
        <v>0.0</v>
      </c>
      <c r="J190" s="156">
        <v>0.0</v>
      </c>
    </row>
    <row r="191">
      <c r="A191" s="155">
        <v>44040.0</v>
      </c>
      <c r="B191" s="21" t="s">
        <v>150</v>
      </c>
      <c r="C191" s="21" t="s">
        <v>200</v>
      </c>
      <c r="D191" s="156">
        <v>75000.0</v>
      </c>
      <c r="E191" s="21" t="s">
        <v>202</v>
      </c>
      <c r="F191" s="156">
        <v>0.0</v>
      </c>
      <c r="G191" s="156">
        <v>0.0</v>
      </c>
      <c r="H191" s="156">
        <v>0.0</v>
      </c>
      <c r="I191" s="156">
        <v>0.0</v>
      </c>
      <c r="J191" s="156">
        <v>0.0</v>
      </c>
    </row>
    <row r="192">
      <c r="A192" s="155">
        <v>44041.0</v>
      </c>
      <c r="B192" s="21" t="s">
        <v>98</v>
      </c>
      <c r="C192" s="21" t="s">
        <v>90</v>
      </c>
      <c r="D192" s="156">
        <v>700000.0</v>
      </c>
      <c r="E192" s="21" t="s">
        <v>202</v>
      </c>
      <c r="F192" s="156">
        <v>0.0</v>
      </c>
      <c r="G192" s="156">
        <v>0.0</v>
      </c>
      <c r="H192" s="156">
        <v>0.0</v>
      </c>
      <c r="I192" s="156">
        <v>0.0</v>
      </c>
      <c r="J192" s="156">
        <v>0.0</v>
      </c>
    </row>
    <row r="193">
      <c r="A193" s="155">
        <v>44041.0</v>
      </c>
      <c r="B193" s="21" t="s">
        <v>164</v>
      </c>
      <c r="C193" s="21" t="s">
        <v>90</v>
      </c>
      <c r="D193" s="156">
        <v>100000.0</v>
      </c>
      <c r="E193" s="21" t="s">
        <v>202</v>
      </c>
      <c r="F193" s="156">
        <v>0.0</v>
      </c>
      <c r="G193" s="156">
        <v>0.0</v>
      </c>
      <c r="H193" s="156">
        <v>0.0</v>
      </c>
      <c r="I193" s="156">
        <v>0.0</v>
      </c>
      <c r="J193" s="156">
        <v>0.0</v>
      </c>
    </row>
    <row r="194">
      <c r="A194" s="155">
        <v>44041.0</v>
      </c>
      <c r="B194" s="21" t="s">
        <v>151</v>
      </c>
      <c r="C194" s="21" t="s">
        <v>90</v>
      </c>
      <c r="D194" s="156">
        <v>359600.0</v>
      </c>
      <c r="E194" s="21" t="s">
        <v>202</v>
      </c>
      <c r="F194" s="156">
        <v>0.0</v>
      </c>
      <c r="G194" s="156">
        <v>0.0</v>
      </c>
      <c r="H194" s="156">
        <v>0.0</v>
      </c>
      <c r="I194" s="156">
        <v>0.0</v>
      </c>
      <c r="J194" s="156">
        <v>0.0</v>
      </c>
    </row>
    <row r="195">
      <c r="A195" s="155">
        <v>44041.0</v>
      </c>
      <c r="B195" s="21" t="s">
        <v>126</v>
      </c>
      <c r="C195" s="21" t="s">
        <v>90</v>
      </c>
      <c r="D195" s="156">
        <v>500000.0</v>
      </c>
      <c r="E195" s="21" t="s">
        <v>202</v>
      </c>
      <c r="F195" s="156">
        <v>0.0</v>
      </c>
      <c r="G195" s="156">
        <v>0.0</v>
      </c>
      <c r="H195" s="156">
        <v>0.0</v>
      </c>
      <c r="I195" s="156">
        <v>0.0</v>
      </c>
      <c r="J195" s="156">
        <v>0.0</v>
      </c>
    </row>
    <row r="196">
      <c r="A196" s="155">
        <v>44041.0</v>
      </c>
      <c r="B196" s="21" t="s">
        <v>165</v>
      </c>
      <c r="C196" s="21" t="s">
        <v>90</v>
      </c>
      <c r="D196" s="156">
        <v>500000.0</v>
      </c>
      <c r="E196" s="21" t="s">
        <v>202</v>
      </c>
      <c r="F196" s="156">
        <v>0.0</v>
      </c>
      <c r="G196" s="156">
        <v>0.0</v>
      </c>
      <c r="H196" s="156">
        <v>0.0</v>
      </c>
      <c r="I196" s="156">
        <v>0.0</v>
      </c>
      <c r="J196" s="156">
        <v>0.0</v>
      </c>
    </row>
    <row r="197">
      <c r="A197" s="155">
        <v>44041.0</v>
      </c>
      <c r="B197" s="21" t="s">
        <v>152</v>
      </c>
      <c r="C197" s="21" t="s">
        <v>90</v>
      </c>
      <c r="D197" s="156">
        <v>800000.0</v>
      </c>
      <c r="E197" s="21" t="s">
        <v>202</v>
      </c>
      <c r="F197" s="156">
        <v>0.0</v>
      </c>
      <c r="G197" s="156">
        <v>0.0</v>
      </c>
      <c r="H197" s="156">
        <v>0.0</v>
      </c>
      <c r="I197" s="156">
        <v>0.0</v>
      </c>
      <c r="J197" s="156">
        <v>0.0</v>
      </c>
    </row>
    <row r="198">
      <c r="A198" s="155">
        <v>44041.0</v>
      </c>
      <c r="B198" s="21" t="s">
        <v>124</v>
      </c>
      <c r="C198" s="21" t="s">
        <v>90</v>
      </c>
      <c r="D198" s="156">
        <v>310000.0</v>
      </c>
      <c r="E198" s="21" t="s">
        <v>202</v>
      </c>
      <c r="F198" s="156">
        <v>0.0</v>
      </c>
      <c r="G198" s="156">
        <v>0.0</v>
      </c>
      <c r="H198" s="156">
        <v>0.0</v>
      </c>
      <c r="I198" s="156">
        <v>0.0</v>
      </c>
      <c r="J198" s="156">
        <v>0.0</v>
      </c>
    </row>
    <row r="199">
      <c r="A199" s="155">
        <v>44041.0</v>
      </c>
      <c r="B199" s="21" t="s">
        <v>166</v>
      </c>
      <c r="C199" s="21" t="s">
        <v>90</v>
      </c>
      <c r="D199" s="156">
        <v>800000.0</v>
      </c>
      <c r="E199" s="21" t="s">
        <v>202</v>
      </c>
      <c r="F199" s="156">
        <v>0.0</v>
      </c>
      <c r="G199" s="156">
        <v>0.0</v>
      </c>
      <c r="H199" s="156">
        <v>0.0</v>
      </c>
      <c r="I199" s="156">
        <v>0.0</v>
      </c>
      <c r="J199" s="156">
        <v>0.0</v>
      </c>
    </row>
    <row r="200">
      <c r="A200" s="155">
        <v>44041.0</v>
      </c>
      <c r="B200" s="21" t="s">
        <v>107</v>
      </c>
      <c r="C200" s="21" t="s">
        <v>90</v>
      </c>
      <c r="D200" s="156">
        <v>200000.0</v>
      </c>
      <c r="E200" s="21" t="s">
        <v>202</v>
      </c>
      <c r="F200" s="156">
        <v>0.0</v>
      </c>
      <c r="G200" s="156">
        <v>0.0</v>
      </c>
      <c r="H200" s="156">
        <v>0.0</v>
      </c>
      <c r="I200" s="156">
        <v>0.0</v>
      </c>
      <c r="J200" s="156">
        <v>0.0</v>
      </c>
    </row>
    <row r="201">
      <c r="A201" s="155">
        <v>44041.0</v>
      </c>
      <c r="B201" s="21" t="s">
        <v>141</v>
      </c>
      <c r="C201" s="21" t="s">
        <v>90</v>
      </c>
      <c r="D201" s="156">
        <v>400000.0</v>
      </c>
      <c r="E201" s="21" t="s">
        <v>202</v>
      </c>
      <c r="F201" s="156">
        <v>0.0</v>
      </c>
      <c r="G201" s="156">
        <v>0.0</v>
      </c>
      <c r="H201" s="156">
        <v>0.0</v>
      </c>
      <c r="I201" s="156">
        <v>0.0</v>
      </c>
      <c r="J201" s="156">
        <v>0.0</v>
      </c>
    </row>
    <row r="202">
      <c r="A202" s="155">
        <v>44041.0</v>
      </c>
      <c r="B202" s="21" t="s">
        <v>273</v>
      </c>
      <c r="C202" s="21" t="s">
        <v>274</v>
      </c>
      <c r="D202" s="156">
        <v>2000.0</v>
      </c>
      <c r="E202" s="21" t="s">
        <v>205</v>
      </c>
      <c r="F202" s="156">
        <v>0.0</v>
      </c>
      <c r="G202" s="156">
        <v>2000.0</v>
      </c>
      <c r="H202" s="156">
        <v>0.0</v>
      </c>
      <c r="I202" s="156">
        <v>0.0</v>
      </c>
      <c r="J202" s="156">
        <v>0.0</v>
      </c>
    </row>
    <row r="203">
      <c r="A203" s="155">
        <v>44041.0</v>
      </c>
      <c r="B203" s="21" t="s">
        <v>238</v>
      </c>
      <c r="C203" s="21" t="s">
        <v>274</v>
      </c>
      <c r="D203" s="156">
        <v>400.0</v>
      </c>
      <c r="E203" s="21" t="s">
        <v>205</v>
      </c>
      <c r="F203" s="156">
        <v>0.0</v>
      </c>
      <c r="G203" s="156">
        <v>400.0</v>
      </c>
      <c r="H203" s="156">
        <v>0.0</v>
      </c>
      <c r="I203" s="156">
        <v>0.0</v>
      </c>
      <c r="J203" s="156">
        <v>0.0</v>
      </c>
    </row>
    <row r="204">
      <c r="A204" s="155">
        <v>44041.0</v>
      </c>
      <c r="B204" s="21" t="s">
        <v>152</v>
      </c>
      <c r="C204" s="21" t="s">
        <v>275</v>
      </c>
      <c r="D204" s="156">
        <v>2800.0</v>
      </c>
      <c r="E204" s="21" t="s">
        <v>205</v>
      </c>
      <c r="F204" s="156">
        <v>0.0</v>
      </c>
      <c r="G204" s="156">
        <v>2800.0</v>
      </c>
      <c r="H204" s="156">
        <v>0.0</v>
      </c>
      <c r="I204" s="156">
        <v>0.0</v>
      </c>
      <c r="J204" s="156">
        <v>0.0</v>
      </c>
    </row>
    <row r="205">
      <c r="A205" s="155">
        <v>44041.0</v>
      </c>
      <c r="B205" s="21" t="s">
        <v>276</v>
      </c>
      <c r="C205" s="21" t="s">
        <v>277</v>
      </c>
      <c r="D205" s="156">
        <v>5000.0</v>
      </c>
      <c r="E205" s="21" t="s">
        <v>205</v>
      </c>
      <c r="F205" s="156">
        <v>0.0</v>
      </c>
      <c r="G205" s="156">
        <v>5000.0</v>
      </c>
      <c r="H205" s="156">
        <v>0.0</v>
      </c>
      <c r="I205" s="156">
        <v>0.0</v>
      </c>
      <c r="J205" s="156">
        <v>0.0</v>
      </c>
    </row>
    <row r="206">
      <c r="A206" s="155">
        <v>44041.0</v>
      </c>
      <c r="B206" s="21" t="s">
        <v>252</v>
      </c>
      <c r="C206" s="21" t="s">
        <v>278</v>
      </c>
      <c r="D206" s="156">
        <v>10000.0</v>
      </c>
      <c r="E206" s="21" t="s">
        <v>205</v>
      </c>
      <c r="F206" s="156">
        <v>0.0</v>
      </c>
      <c r="G206" s="156">
        <v>10000.0</v>
      </c>
      <c r="H206" s="156">
        <v>0.0</v>
      </c>
      <c r="I206" s="156">
        <v>0.0</v>
      </c>
      <c r="J206" s="156">
        <v>0.0</v>
      </c>
    </row>
    <row r="207">
      <c r="A207" s="155">
        <v>44041.0</v>
      </c>
      <c r="B207" s="21" t="s">
        <v>279</v>
      </c>
      <c r="C207" s="21" t="s">
        <v>274</v>
      </c>
      <c r="D207" s="156">
        <v>57000.0</v>
      </c>
      <c r="E207" s="21" t="s">
        <v>205</v>
      </c>
      <c r="F207" s="156">
        <v>0.0</v>
      </c>
      <c r="G207" s="156">
        <v>57000.0</v>
      </c>
      <c r="H207" s="156">
        <v>0.0</v>
      </c>
      <c r="I207" s="156">
        <v>0.0</v>
      </c>
      <c r="J207" s="156">
        <v>0.0</v>
      </c>
    </row>
    <row r="208">
      <c r="A208" s="155">
        <v>44041.0</v>
      </c>
      <c r="B208" s="21" t="s">
        <v>183</v>
      </c>
      <c r="C208" s="21" t="s">
        <v>223</v>
      </c>
      <c r="D208" s="156">
        <v>680400.0</v>
      </c>
      <c r="E208" s="21" t="s">
        <v>211</v>
      </c>
      <c r="F208" s="156">
        <v>0.0</v>
      </c>
      <c r="G208" s="156">
        <v>0.0</v>
      </c>
      <c r="H208" s="156">
        <v>0.0</v>
      </c>
      <c r="I208" s="156">
        <v>680400.0</v>
      </c>
      <c r="J208" s="156">
        <v>0.0</v>
      </c>
    </row>
    <row r="209">
      <c r="A209" s="155">
        <v>44041.0</v>
      </c>
      <c r="B209" s="21" t="s">
        <v>220</v>
      </c>
      <c r="C209" s="21" t="s">
        <v>221</v>
      </c>
      <c r="D209" s="156">
        <v>5000000.0</v>
      </c>
      <c r="E209" s="21" t="s">
        <v>201</v>
      </c>
      <c r="F209" s="156">
        <v>0.0</v>
      </c>
      <c r="G209" s="156">
        <v>0.0</v>
      </c>
      <c r="H209" s="156">
        <v>5000000.0</v>
      </c>
      <c r="I209" s="156">
        <v>0.0</v>
      </c>
      <c r="J209" s="156">
        <v>0.0</v>
      </c>
    </row>
    <row r="210">
      <c r="A210" s="155">
        <v>44041.0</v>
      </c>
      <c r="B210" s="21" t="s">
        <v>216</v>
      </c>
      <c r="C210" s="21" t="s">
        <v>280</v>
      </c>
      <c r="D210" s="156">
        <v>400000.0</v>
      </c>
      <c r="E210" s="21" t="s">
        <v>201</v>
      </c>
      <c r="F210" s="156">
        <v>0.0</v>
      </c>
      <c r="G210" s="156">
        <v>0.0</v>
      </c>
      <c r="H210" s="156">
        <v>400000.0</v>
      </c>
      <c r="I210" s="156">
        <v>0.0</v>
      </c>
      <c r="J210" s="156">
        <v>0.0</v>
      </c>
    </row>
    <row r="211">
      <c r="A211" s="155">
        <v>44042.0</v>
      </c>
      <c r="B211" s="21" t="s">
        <v>141</v>
      </c>
      <c r="C211" s="21" t="s">
        <v>236</v>
      </c>
      <c r="D211" s="156">
        <v>400000.0</v>
      </c>
      <c r="E211" s="21" t="s">
        <v>202</v>
      </c>
      <c r="F211" s="156">
        <v>0.0</v>
      </c>
      <c r="G211" s="156">
        <v>0.0</v>
      </c>
      <c r="H211" s="156">
        <v>0.0</v>
      </c>
      <c r="I211" s="156">
        <v>0.0</v>
      </c>
      <c r="J211" s="156">
        <v>0.0</v>
      </c>
    </row>
    <row r="212">
      <c r="A212" s="155">
        <v>44042.0</v>
      </c>
      <c r="B212" s="21" t="s">
        <v>118</v>
      </c>
      <c r="C212" s="21" t="s">
        <v>214</v>
      </c>
      <c r="D212" s="156">
        <v>5000.0</v>
      </c>
      <c r="E212" s="21" t="s">
        <v>205</v>
      </c>
      <c r="F212" s="156">
        <v>0.0</v>
      </c>
      <c r="G212" s="156">
        <v>5000.0</v>
      </c>
      <c r="H212" s="156">
        <v>0.0</v>
      </c>
      <c r="I212" s="156">
        <v>0.0</v>
      </c>
      <c r="J212" s="156">
        <v>0.0</v>
      </c>
    </row>
    <row r="213">
      <c r="A213" s="155">
        <v>44042.0</v>
      </c>
      <c r="B213" s="21" t="s">
        <v>281</v>
      </c>
      <c r="C213" s="21" t="s">
        <v>282</v>
      </c>
      <c r="D213" s="156">
        <v>2000.0</v>
      </c>
      <c r="E213" s="21" t="s">
        <v>205</v>
      </c>
      <c r="F213" s="156">
        <v>0.0</v>
      </c>
      <c r="G213" s="156">
        <v>2000.0</v>
      </c>
      <c r="H213" s="156">
        <v>0.0</v>
      </c>
      <c r="I213" s="156">
        <v>0.0</v>
      </c>
      <c r="J213" s="156">
        <v>0.0</v>
      </c>
    </row>
    <row r="214">
      <c r="A214" s="155">
        <v>44042.0</v>
      </c>
      <c r="B214" s="21" t="s">
        <v>220</v>
      </c>
      <c r="C214" s="21" t="s">
        <v>257</v>
      </c>
      <c r="D214" s="156">
        <v>500.0</v>
      </c>
      <c r="E214" s="21" t="s">
        <v>205</v>
      </c>
      <c r="F214" s="156">
        <v>0.0</v>
      </c>
      <c r="G214" s="156">
        <v>500.0</v>
      </c>
      <c r="H214" s="156">
        <v>0.0</v>
      </c>
      <c r="I214" s="156">
        <v>0.0</v>
      </c>
      <c r="J214" s="156">
        <v>0.0</v>
      </c>
    </row>
    <row r="215">
      <c r="A215" s="155">
        <v>44042.0</v>
      </c>
      <c r="B215" s="21" t="s">
        <v>183</v>
      </c>
      <c r="C215" s="21" t="s">
        <v>223</v>
      </c>
      <c r="D215" s="156">
        <v>112000.0</v>
      </c>
      <c r="E215" s="21" t="s">
        <v>211</v>
      </c>
      <c r="F215" s="156">
        <v>0.0</v>
      </c>
      <c r="G215" s="156">
        <v>0.0</v>
      </c>
      <c r="H215" s="156">
        <v>0.0</v>
      </c>
      <c r="I215" s="156">
        <v>112000.0</v>
      </c>
      <c r="J215" s="156">
        <v>0.0</v>
      </c>
    </row>
    <row r="216">
      <c r="A216" s="155">
        <v>44042.0</v>
      </c>
      <c r="B216" s="21" t="s">
        <v>220</v>
      </c>
      <c r="C216" s="21" t="s">
        <v>221</v>
      </c>
      <c r="D216" s="156">
        <v>100000.0</v>
      </c>
      <c r="E216" s="21" t="s">
        <v>201</v>
      </c>
      <c r="F216" s="156">
        <v>0.0</v>
      </c>
      <c r="G216" s="156">
        <v>0.0</v>
      </c>
      <c r="H216" s="156">
        <v>100000.0</v>
      </c>
      <c r="I216" s="156">
        <v>0.0</v>
      </c>
      <c r="J216" s="156">
        <v>0.0</v>
      </c>
    </row>
    <row r="217">
      <c r="A217" s="155">
        <v>44042.0</v>
      </c>
      <c r="B217" s="21" t="s">
        <v>220</v>
      </c>
      <c r="C217" s="21" t="s">
        <v>283</v>
      </c>
      <c r="D217" s="156">
        <v>372500.0</v>
      </c>
      <c r="E217" s="21" t="s">
        <v>201</v>
      </c>
      <c r="F217" s="156">
        <v>0.0</v>
      </c>
      <c r="G217" s="156">
        <v>0.0</v>
      </c>
      <c r="H217" s="156">
        <v>372500.0</v>
      </c>
      <c r="I217" s="156">
        <v>0.0</v>
      </c>
      <c r="J217" s="156">
        <v>0.0</v>
      </c>
    </row>
    <row r="218">
      <c r="A218" s="155">
        <v>44043.0</v>
      </c>
      <c r="B218" s="21" t="s">
        <v>279</v>
      </c>
      <c r="C218" s="21" t="s">
        <v>284</v>
      </c>
      <c r="D218" s="156">
        <v>50000.0</v>
      </c>
      <c r="E218" s="21" t="s">
        <v>205</v>
      </c>
      <c r="F218" s="156">
        <v>0.0</v>
      </c>
      <c r="G218" s="156">
        <v>50000.0</v>
      </c>
      <c r="H218" s="156">
        <v>0.0</v>
      </c>
      <c r="I218" s="156">
        <v>0.0</v>
      </c>
      <c r="J218" s="156">
        <v>0.0</v>
      </c>
    </row>
    <row r="219">
      <c r="A219" s="155">
        <v>44043.0</v>
      </c>
      <c r="B219" s="21" t="s">
        <v>238</v>
      </c>
      <c r="C219" s="21" t="s">
        <v>285</v>
      </c>
      <c r="D219" s="156">
        <v>200.0</v>
      </c>
      <c r="E219" s="21" t="s">
        <v>205</v>
      </c>
      <c r="F219" s="156">
        <v>0.0</v>
      </c>
      <c r="G219" s="156">
        <v>200.0</v>
      </c>
      <c r="H219" s="156">
        <v>0.0</v>
      </c>
      <c r="I219" s="156">
        <v>0.0</v>
      </c>
      <c r="J219" s="156">
        <v>0.0</v>
      </c>
    </row>
    <row r="220">
      <c r="A220" s="155">
        <v>44043.0</v>
      </c>
      <c r="B220" s="21" t="s">
        <v>183</v>
      </c>
      <c r="C220" s="21" t="s">
        <v>210</v>
      </c>
      <c r="D220" s="156">
        <v>50200.0</v>
      </c>
      <c r="E220" s="21" t="s">
        <v>211</v>
      </c>
      <c r="F220" s="156">
        <v>0.0</v>
      </c>
      <c r="G220" s="156">
        <v>0.0</v>
      </c>
      <c r="H220" s="156">
        <v>0.0</v>
      </c>
      <c r="I220" s="156">
        <v>50200.0</v>
      </c>
      <c r="J220" s="156">
        <v>0.0</v>
      </c>
    </row>
    <row r="221">
      <c r="A221" s="155">
        <v>44043.0</v>
      </c>
      <c r="B221" s="21" t="s">
        <v>220</v>
      </c>
      <c r="C221" s="21" t="s">
        <v>286</v>
      </c>
      <c r="D221" s="156">
        <v>48000.0</v>
      </c>
      <c r="E221" s="21" t="s">
        <v>201</v>
      </c>
      <c r="F221" s="156">
        <v>0.0</v>
      </c>
      <c r="G221" s="156">
        <v>0.0</v>
      </c>
      <c r="H221" s="156">
        <v>48000.0</v>
      </c>
      <c r="I221" s="156">
        <v>0.0</v>
      </c>
      <c r="J221" s="156">
        <v>0.0</v>
      </c>
    </row>
    <row r="222">
      <c r="A222" s="155">
        <v>44044.0</v>
      </c>
      <c r="B222" s="21" t="s">
        <v>248</v>
      </c>
      <c r="C222" s="21" t="s">
        <v>287</v>
      </c>
      <c r="D222" s="156">
        <v>58000.0</v>
      </c>
      <c r="E222" s="21" t="s">
        <v>205</v>
      </c>
      <c r="F222" s="156">
        <v>0.0</v>
      </c>
      <c r="G222" s="156">
        <v>58000.0</v>
      </c>
      <c r="H222" s="156">
        <v>0.0</v>
      </c>
      <c r="I222" s="156">
        <v>0.0</v>
      </c>
      <c r="J222" s="156">
        <v>0.0</v>
      </c>
    </row>
    <row r="223">
      <c r="A223" s="155">
        <v>44044.0</v>
      </c>
      <c r="B223" s="21" t="s">
        <v>209</v>
      </c>
      <c r="C223" s="21" t="s">
        <v>262</v>
      </c>
      <c r="D223" s="156">
        <v>3000.0</v>
      </c>
      <c r="E223" s="21" t="s">
        <v>205</v>
      </c>
      <c r="F223" s="156">
        <v>0.0</v>
      </c>
      <c r="G223" s="156">
        <v>3000.0</v>
      </c>
      <c r="H223" s="156">
        <v>0.0</v>
      </c>
      <c r="I223" s="156">
        <v>0.0</v>
      </c>
      <c r="J223" s="156">
        <v>0.0</v>
      </c>
    </row>
    <row r="224">
      <c r="A224" s="155">
        <v>44044.0</v>
      </c>
      <c r="B224" s="21" t="s">
        <v>220</v>
      </c>
      <c r="C224" s="21" t="s">
        <v>210</v>
      </c>
      <c r="D224" s="156">
        <v>61000.0</v>
      </c>
      <c r="E224" s="21" t="s">
        <v>211</v>
      </c>
      <c r="F224" s="156">
        <v>0.0</v>
      </c>
      <c r="G224" s="156">
        <v>0.0</v>
      </c>
      <c r="H224" s="156">
        <v>0.0</v>
      </c>
      <c r="I224" s="156">
        <v>61000.0</v>
      </c>
      <c r="J224" s="156">
        <v>0.0</v>
      </c>
    </row>
    <row r="225">
      <c r="A225" s="155">
        <v>44044.0</v>
      </c>
      <c r="B225" s="21" t="s">
        <v>220</v>
      </c>
      <c r="C225" s="21" t="s">
        <v>212</v>
      </c>
      <c r="D225" s="156">
        <v>61000.0</v>
      </c>
      <c r="E225" s="21" t="s">
        <v>201</v>
      </c>
      <c r="F225" s="156">
        <v>0.0</v>
      </c>
      <c r="G225" s="156">
        <v>0.0</v>
      </c>
      <c r="H225" s="156">
        <v>61000.0</v>
      </c>
      <c r="I225" s="156">
        <v>0.0</v>
      </c>
      <c r="J225" s="156">
        <v>0.0</v>
      </c>
    </row>
    <row r="226">
      <c r="A226" s="155">
        <v>44043.0</v>
      </c>
      <c r="B226" s="21" t="s">
        <v>220</v>
      </c>
      <c r="C226" s="21" t="s">
        <v>210</v>
      </c>
      <c r="D226" s="156">
        <v>48000.0</v>
      </c>
      <c r="E226" s="21" t="s">
        <v>211</v>
      </c>
      <c r="F226" s="156">
        <v>0.0</v>
      </c>
      <c r="G226" s="156">
        <v>0.0</v>
      </c>
      <c r="H226" s="156">
        <v>0.0</v>
      </c>
      <c r="I226" s="156">
        <v>48000.0</v>
      </c>
      <c r="J226" s="156">
        <v>0.0</v>
      </c>
    </row>
    <row r="227">
      <c r="A227" s="155">
        <v>44047.0</v>
      </c>
      <c r="B227" s="21" t="s">
        <v>113</v>
      </c>
      <c r="C227" s="21" t="s">
        <v>236</v>
      </c>
      <c r="D227" s="156">
        <v>500000.0</v>
      </c>
      <c r="E227" s="21" t="s">
        <v>202</v>
      </c>
      <c r="F227" s="156">
        <v>0.0</v>
      </c>
      <c r="G227" s="156">
        <v>0.0</v>
      </c>
      <c r="H227" s="156">
        <v>0.0</v>
      </c>
      <c r="I227" s="156">
        <v>0.0</v>
      </c>
      <c r="J227" s="156">
        <v>0.0</v>
      </c>
    </row>
    <row r="228">
      <c r="A228" s="155">
        <v>44047.0</v>
      </c>
      <c r="B228" s="21" t="s">
        <v>146</v>
      </c>
      <c r="C228" s="21" t="s">
        <v>236</v>
      </c>
      <c r="D228" s="156">
        <v>1500000.0</v>
      </c>
      <c r="E228" s="21" t="s">
        <v>202</v>
      </c>
      <c r="F228" s="156">
        <v>0.0</v>
      </c>
      <c r="G228" s="156">
        <v>0.0</v>
      </c>
      <c r="H228" s="156">
        <v>0.0</v>
      </c>
      <c r="I228" s="156">
        <v>0.0</v>
      </c>
      <c r="J228" s="156">
        <v>0.0</v>
      </c>
    </row>
    <row r="229">
      <c r="A229" s="155">
        <v>44047.0</v>
      </c>
      <c r="B229" s="21" t="s">
        <v>140</v>
      </c>
      <c r="C229" s="21" t="s">
        <v>236</v>
      </c>
      <c r="D229" s="156">
        <v>300000.0</v>
      </c>
      <c r="E229" s="21" t="s">
        <v>202</v>
      </c>
      <c r="F229" s="156">
        <v>0.0</v>
      </c>
      <c r="G229" s="156">
        <v>0.0</v>
      </c>
      <c r="H229" s="156">
        <v>0.0</v>
      </c>
      <c r="I229" s="156">
        <v>0.0</v>
      </c>
      <c r="J229" s="156">
        <v>0.0</v>
      </c>
    </row>
    <row r="230">
      <c r="A230" s="155">
        <v>44047.0</v>
      </c>
      <c r="B230" s="21" t="s">
        <v>150</v>
      </c>
      <c r="C230" s="21" t="s">
        <v>236</v>
      </c>
      <c r="D230" s="156">
        <v>720000.0</v>
      </c>
      <c r="E230" s="21" t="s">
        <v>202</v>
      </c>
      <c r="F230" s="156">
        <v>0.0</v>
      </c>
      <c r="G230" s="156">
        <v>0.0</v>
      </c>
      <c r="H230" s="156">
        <v>0.0</v>
      </c>
      <c r="I230" s="156">
        <v>0.0</v>
      </c>
      <c r="J230" s="156">
        <v>0.0</v>
      </c>
    </row>
    <row r="231">
      <c r="A231" s="155">
        <v>44047.0</v>
      </c>
      <c r="B231" s="21" t="s">
        <v>220</v>
      </c>
      <c r="C231" s="21" t="s">
        <v>288</v>
      </c>
      <c r="D231" s="156">
        <v>2000.0</v>
      </c>
      <c r="E231" s="21" t="s">
        <v>205</v>
      </c>
      <c r="F231" s="156">
        <v>0.0</v>
      </c>
      <c r="G231" s="156">
        <v>2000.0</v>
      </c>
      <c r="H231" s="156">
        <v>0.0</v>
      </c>
      <c r="I231" s="156">
        <v>0.0</v>
      </c>
      <c r="J231" s="156">
        <v>0.0</v>
      </c>
    </row>
    <row r="232">
      <c r="A232" s="155">
        <v>44047.0</v>
      </c>
      <c r="B232" s="21" t="s">
        <v>183</v>
      </c>
      <c r="C232" s="21" t="s">
        <v>210</v>
      </c>
      <c r="D232" s="156">
        <v>25000.0</v>
      </c>
      <c r="E232" s="21" t="s">
        <v>211</v>
      </c>
      <c r="F232" s="156">
        <v>0.0</v>
      </c>
      <c r="G232" s="156">
        <v>0.0</v>
      </c>
      <c r="H232" s="156">
        <v>0.0</v>
      </c>
      <c r="I232" s="156">
        <v>25000.0</v>
      </c>
      <c r="J232" s="156">
        <v>0.0</v>
      </c>
    </row>
    <row r="233">
      <c r="A233" s="155">
        <v>44047.0</v>
      </c>
      <c r="B233" s="21" t="s">
        <v>220</v>
      </c>
      <c r="C233" s="21" t="s">
        <v>212</v>
      </c>
      <c r="D233" s="156">
        <v>3045000.0</v>
      </c>
      <c r="E233" s="21" t="s">
        <v>201</v>
      </c>
      <c r="F233" s="156">
        <v>0.0</v>
      </c>
      <c r="G233" s="156">
        <v>0.0</v>
      </c>
      <c r="H233" s="156">
        <v>3045000.0</v>
      </c>
      <c r="I233" s="156">
        <v>0.0</v>
      </c>
      <c r="J233" s="156">
        <v>0.0</v>
      </c>
    </row>
    <row r="234">
      <c r="A234" s="155">
        <v>44048.0</v>
      </c>
      <c r="B234" s="21" t="s">
        <v>289</v>
      </c>
      <c r="C234" s="21" t="s">
        <v>290</v>
      </c>
      <c r="D234" s="156">
        <v>40000.0</v>
      </c>
      <c r="E234" s="21" t="s">
        <v>205</v>
      </c>
      <c r="F234" s="156">
        <v>0.0</v>
      </c>
      <c r="G234" s="156">
        <v>40000.0</v>
      </c>
      <c r="H234" s="156">
        <v>0.0</v>
      </c>
      <c r="I234" s="156">
        <v>0.0</v>
      </c>
      <c r="J234" s="156">
        <v>0.0</v>
      </c>
    </row>
    <row r="235">
      <c r="A235" s="155">
        <v>44048.0</v>
      </c>
      <c r="B235" s="21" t="s">
        <v>183</v>
      </c>
      <c r="C235" s="21" t="s">
        <v>290</v>
      </c>
      <c r="D235" s="156">
        <v>18000.0</v>
      </c>
      <c r="E235" s="21" t="s">
        <v>205</v>
      </c>
      <c r="F235" s="156">
        <v>0.0</v>
      </c>
      <c r="G235" s="156">
        <v>18000.0</v>
      </c>
      <c r="H235" s="156">
        <v>0.0</v>
      </c>
      <c r="I235" s="156">
        <v>0.0</v>
      </c>
      <c r="J235" s="156">
        <v>0.0</v>
      </c>
    </row>
    <row r="236">
      <c r="A236" s="155">
        <v>44048.0</v>
      </c>
      <c r="B236" s="21" t="s">
        <v>238</v>
      </c>
      <c r="C236" s="21" t="s">
        <v>290</v>
      </c>
      <c r="D236" s="156">
        <v>15000.0</v>
      </c>
      <c r="E236" s="21" t="s">
        <v>205</v>
      </c>
      <c r="F236" s="156">
        <v>0.0</v>
      </c>
      <c r="G236" s="156">
        <v>15000.0</v>
      </c>
      <c r="H236" s="156">
        <v>0.0</v>
      </c>
      <c r="I236" s="156">
        <v>0.0</v>
      </c>
      <c r="J236" s="156">
        <v>0.0</v>
      </c>
    </row>
    <row r="237">
      <c r="A237" s="155">
        <v>44048.0</v>
      </c>
      <c r="B237" s="21" t="s">
        <v>291</v>
      </c>
      <c r="C237" s="21" t="s">
        <v>290</v>
      </c>
      <c r="D237" s="156">
        <v>14000.0</v>
      </c>
      <c r="E237" s="21" t="s">
        <v>205</v>
      </c>
      <c r="F237" s="156">
        <v>0.0</v>
      </c>
      <c r="G237" s="156">
        <v>14000.0</v>
      </c>
      <c r="H237" s="156">
        <v>0.0</v>
      </c>
      <c r="I237" s="156">
        <v>0.0</v>
      </c>
      <c r="J237" s="156">
        <v>0.0</v>
      </c>
    </row>
    <row r="238">
      <c r="A238" s="155">
        <v>44048.0</v>
      </c>
      <c r="B238" s="21" t="s">
        <v>248</v>
      </c>
      <c r="C238" s="21" t="s">
        <v>292</v>
      </c>
      <c r="D238" s="156">
        <v>2000.0</v>
      </c>
      <c r="E238" s="21" t="s">
        <v>205</v>
      </c>
      <c r="F238" s="156">
        <v>0.0</v>
      </c>
      <c r="G238" s="156">
        <v>2000.0</v>
      </c>
      <c r="H238" s="156">
        <v>0.0</v>
      </c>
      <c r="I238" s="156">
        <v>0.0</v>
      </c>
      <c r="J238" s="156">
        <v>0.0</v>
      </c>
    </row>
    <row r="239">
      <c r="A239" s="155">
        <v>44048.0</v>
      </c>
      <c r="B239" s="21" t="s">
        <v>293</v>
      </c>
      <c r="C239" s="21" t="s">
        <v>294</v>
      </c>
      <c r="D239" s="156">
        <v>10000.0</v>
      </c>
      <c r="E239" s="21" t="s">
        <v>205</v>
      </c>
      <c r="F239" s="156">
        <v>0.0</v>
      </c>
      <c r="G239" s="156">
        <v>10000.0</v>
      </c>
      <c r="H239" s="156">
        <v>0.0</v>
      </c>
      <c r="I239" s="156">
        <v>0.0</v>
      </c>
      <c r="J239" s="156">
        <v>0.0</v>
      </c>
    </row>
    <row r="240">
      <c r="A240" s="155">
        <v>44048.0</v>
      </c>
      <c r="B240" s="21" t="s">
        <v>109</v>
      </c>
      <c r="C240" s="21" t="s">
        <v>295</v>
      </c>
      <c r="D240" s="156">
        <v>5000.0</v>
      </c>
      <c r="E240" s="21" t="s">
        <v>205</v>
      </c>
      <c r="F240" s="156">
        <v>0.0</v>
      </c>
      <c r="G240" s="156">
        <v>5000.0</v>
      </c>
      <c r="H240" s="156">
        <v>0.0</v>
      </c>
      <c r="I240" s="156">
        <v>0.0</v>
      </c>
      <c r="J240" s="156">
        <v>0.0</v>
      </c>
    </row>
    <row r="241">
      <c r="A241" s="155">
        <v>44048.0</v>
      </c>
      <c r="B241" s="21" t="s">
        <v>296</v>
      </c>
      <c r="C241" s="21" t="s">
        <v>290</v>
      </c>
      <c r="D241" s="156">
        <v>20000.0</v>
      </c>
      <c r="E241" s="21" t="s">
        <v>205</v>
      </c>
      <c r="F241" s="156">
        <v>0.0</v>
      </c>
      <c r="G241" s="156">
        <v>20000.0</v>
      </c>
      <c r="H241" s="156">
        <v>0.0</v>
      </c>
      <c r="I241" s="156">
        <v>0.0</v>
      </c>
      <c r="J241" s="156">
        <v>0.0</v>
      </c>
    </row>
    <row r="242">
      <c r="A242" s="155">
        <v>44048.0</v>
      </c>
      <c r="B242" s="21" t="s">
        <v>117</v>
      </c>
      <c r="C242" s="21" t="s">
        <v>297</v>
      </c>
      <c r="D242" s="156">
        <v>500000.0</v>
      </c>
      <c r="E242" s="21" t="s">
        <v>202</v>
      </c>
      <c r="F242" s="156">
        <v>0.0</v>
      </c>
      <c r="G242" s="156">
        <v>0.0</v>
      </c>
      <c r="H242" s="156">
        <v>0.0</v>
      </c>
      <c r="I242" s="156">
        <v>0.0</v>
      </c>
      <c r="J242" s="156">
        <v>0.0</v>
      </c>
    </row>
    <row r="243">
      <c r="A243" s="155">
        <v>44048.0</v>
      </c>
      <c r="B243" s="21" t="s">
        <v>156</v>
      </c>
      <c r="C243" s="21" t="s">
        <v>90</v>
      </c>
      <c r="D243" s="156">
        <v>200000.0</v>
      </c>
      <c r="E243" s="21" t="s">
        <v>202</v>
      </c>
      <c r="F243" s="156">
        <v>0.0</v>
      </c>
      <c r="G243" s="156">
        <v>0.0</v>
      </c>
      <c r="H243" s="156">
        <v>0.0</v>
      </c>
      <c r="I243" s="156">
        <v>0.0</v>
      </c>
      <c r="J243" s="156">
        <v>0.0</v>
      </c>
    </row>
    <row r="244">
      <c r="A244" s="155">
        <v>44048.0</v>
      </c>
      <c r="B244" s="21" t="s">
        <v>157</v>
      </c>
      <c r="C244" s="21" t="s">
        <v>90</v>
      </c>
      <c r="D244" s="156">
        <v>5000.0</v>
      </c>
      <c r="E244" s="21" t="s">
        <v>202</v>
      </c>
      <c r="F244" s="156">
        <v>0.0</v>
      </c>
      <c r="G244" s="156">
        <v>0.0</v>
      </c>
      <c r="H244" s="156">
        <v>0.0</v>
      </c>
      <c r="I244" s="156">
        <v>0.0</v>
      </c>
      <c r="J244" s="156">
        <v>0.0</v>
      </c>
    </row>
    <row r="245">
      <c r="A245" s="155">
        <v>44048.0</v>
      </c>
      <c r="B245" s="21" t="s">
        <v>183</v>
      </c>
      <c r="C245" s="21" t="s">
        <v>223</v>
      </c>
      <c r="D245" s="156">
        <v>728200.0</v>
      </c>
      <c r="E245" s="21" t="s">
        <v>211</v>
      </c>
      <c r="F245" s="156">
        <v>0.0</v>
      </c>
      <c r="G245" s="156">
        <v>0.0</v>
      </c>
      <c r="H245" s="156">
        <v>0.0</v>
      </c>
      <c r="I245" s="156">
        <v>728200.0</v>
      </c>
      <c r="J245" s="156">
        <v>0.0</v>
      </c>
    </row>
    <row r="246">
      <c r="A246" s="155">
        <v>44048.0</v>
      </c>
      <c r="B246" s="21" t="s">
        <v>220</v>
      </c>
      <c r="C246" s="21" t="s">
        <v>221</v>
      </c>
      <c r="D246" s="156">
        <v>2200000.0</v>
      </c>
      <c r="E246" s="21" t="s">
        <v>201</v>
      </c>
      <c r="F246" s="156">
        <v>0.0</v>
      </c>
      <c r="G246" s="156">
        <v>0.0</v>
      </c>
      <c r="H246" s="156">
        <v>2200000.0</v>
      </c>
      <c r="I246" s="156">
        <v>0.0</v>
      </c>
      <c r="J246" s="156">
        <v>0.0</v>
      </c>
    </row>
    <row r="247">
      <c r="A247" s="155">
        <v>44048.0</v>
      </c>
      <c r="B247" s="21" t="s">
        <v>157</v>
      </c>
      <c r="C247" s="21" t="s">
        <v>236</v>
      </c>
      <c r="D247" s="156">
        <v>5000.0</v>
      </c>
      <c r="E247" s="21" t="s">
        <v>202</v>
      </c>
      <c r="F247" s="156">
        <v>0.0</v>
      </c>
      <c r="G247" s="156">
        <v>0.0</v>
      </c>
      <c r="H247" s="156">
        <v>0.0</v>
      </c>
      <c r="I247" s="156">
        <v>0.0</v>
      </c>
      <c r="J247" s="156">
        <v>0.0</v>
      </c>
    </row>
    <row r="248">
      <c r="A248" s="155">
        <v>44049.0</v>
      </c>
      <c r="B248" s="21" t="s">
        <v>146</v>
      </c>
      <c r="C248" s="21" t="s">
        <v>236</v>
      </c>
      <c r="D248" s="156">
        <v>500000.0</v>
      </c>
      <c r="E248" s="21" t="s">
        <v>202</v>
      </c>
      <c r="F248" s="156">
        <v>0.0</v>
      </c>
      <c r="G248" s="156">
        <v>0.0</v>
      </c>
      <c r="H248" s="156">
        <v>0.0</v>
      </c>
      <c r="I248" s="156">
        <v>0.0</v>
      </c>
      <c r="J248" s="156">
        <v>0.0</v>
      </c>
    </row>
    <row r="249">
      <c r="A249" s="155">
        <v>44049.0</v>
      </c>
      <c r="B249" s="21" t="s">
        <v>146</v>
      </c>
      <c r="C249" s="21" t="s">
        <v>298</v>
      </c>
      <c r="D249" s="156">
        <v>5000.0</v>
      </c>
      <c r="E249" s="21" t="s">
        <v>202</v>
      </c>
      <c r="F249" s="156">
        <v>0.0</v>
      </c>
      <c r="G249" s="156">
        <v>0.0</v>
      </c>
      <c r="H249" s="156">
        <v>0.0</v>
      </c>
      <c r="I249" s="156">
        <v>0.0</v>
      </c>
      <c r="J249" s="156">
        <v>0.0</v>
      </c>
    </row>
    <row r="250">
      <c r="A250" s="155">
        <v>44049.0</v>
      </c>
      <c r="B250" s="21" t="s">
        <v>152</v>
      </c>
      <c r="C250" s="21" t="s">
        <v>239</v>
      </c>
      <c r="D250" s="156">
        <v>111800.0</v>
      </c>
      <c r="E250" s="21" t="s">
        <v>202</v>
      </c>
      <c r="F250" s="156">
        <v>0.0</v>
      </c>
      <c r="G250" s="156">
        <v>0.0</v>
      </c>
      <c r="H250" s="156">
        <v>0.0</v>
      </c>
      <c r="I250" s="156">
        <v>0.0</v>
      </c>
      <c r="J250" s="156">
        <v>0.0</v>
      </c>
    </row>
    <row r="251">
      <c r="A251" s="155">
        <v>44049.0</v>
      </c>
      <c r="B251" s="21" t="s">
        <v>113</v>
      </c>
      <c r="C251" s="21" t="s">
        <v>298</v>
      </c>
      <c r="D251" s="156">
        <v>2000.0</v>
      </c>
      <c r="E251" s="21" t="s">
        <v>202</v>
      </c>
      <c r="F251" s="156">
        <v>0.0</v>
      </c>
      <c r="G251" s="156">
        <v>0.0</v>
      </c>
      <c r="H251" s="156">
        <v>0.0</v>
      </c>
      <c r="I251" s="156">
        <v>0.0</v>
      </c>
      <c r="J251" s="156">
        <v>0.0</v>
      </c>
    </row>
    <row r="252">
      <c r="A252" s="155">
        <v>44049.0</v>
      </c>
      <c r="B252" s="21" t="s">
        <v>167</v>
      </c>
      <c r="C252" s="21" t="s">
        <v>244</v>
      </c>
      <c r="D252" s="156">
        <v>90000.0</v>
      </c>
      <c r="E252" s="21" t="s">
        <v>202</v>
      </c>
      <c r="F252" s="156">
        <v>0.0</v>
      </c>
      <c r="G252" s="156">
        <v>0.0</v>
      </c>
      <c r="H252" s="156">
        <v>0.0</v>
      </c>
      <c r="I252" s="156">
        <v>0.0</v>
      </c>
      <c r="J252" s="156">
        <v>0.0</v>
      </c>
    </row>
    <row r="253">
      <c r="A253" s="155">
        <v>44049.0</v>
      </c>
      <c r="B253" s="21" t="s">
        <v>168</v>
      </c>
      <c r="C253" s="21" t="s">
        <v>236</v>
      </c>
      <c r="D253" s="156">
        <v>100000.0</v>
      </c>
      <c r="E253" s="21" t="s">
        <v>202</v>
      </c>
      <c r="F253" s="156">
        <v>0.0</v>
      </c>
      <c r="G253" s="156">
        <v>0.0</v>
      </c>
      <c r="H253" s="156">
        <v>0.0</v>
      </c>
      <c r="I253" s="156">
        <v>0.0</v>
      </c>
      <c r="J253" s="156">
        <v>0.0</v>
      </c>
    </row>
    <row r="254">
      <c r="A254" s="155">
        <v>44049.0</v>
      </c>
      <c r="B254" s="21" t="s">
        <v>157</v>
      </c>
      <c r="C254" s="21" t="s">
        <v>236</v>
      </c>
      <c r="D254" s="156">
        <v>1000000.0</v>
      </c>
      <c r="E254" s="21" t="s">
        <v>202</v>
      </c>
      <c r="F254" s="156">
        <v>0.0</v>
      </c>
      <c r="G254" s="156">
        <v>0.0</v>
      </c>
      <c r="H254" s="156">
        <v>0.0</v>
      </c>
      <c r="I254" s="156">
        <v>0.0</v>
      </c>
      <c r="J254" s="156">
        <v>0.0</v>
      </c>
    </row>
    <row r="255">
      <c r="A255" s="155">
        <v>44049.0</v>
      </c>
      <c r="B255" s="21" t="s">
        <v>169</v>
      </c>
      <c r="C255" s="21" t="s">
        <v>236</v>
      </c>
      <c r="D255" s="156">
        <v>250000.0</v>
      </c>
      <c r="E255" s="21" t="s">
        <v>202</v>
      </c>
      <c r="F255" s="156">
        <v>0.0</v>
      </c>
      <c r="G255" s="156">
        <v>0.0</v>
      </c>
      <c r="H255" s="156">
        <v>0.0</v>
      </c>
      <c r="I255" s="156">
        <v>0.0</v>
      </c>
      <c r="J255" s="156">
        <v>0.0</v>
      </c>
    </row>
    <row r="256">
      <c r="A256" s="155">
        <v>44049.0</v>
      </c>
      <c r="B256" s="21" t="s">
        <v>159</v>
      </c>
      <c r="C256" s="21" t="s">
        <v>236</v>
      </c>
      <c r="D256" s="156">
        <v>245000.0</v>
      </c>
      <c r="E256" s="21" t="s">
        <v>202</v>
      </c>
      <c r="F256" s="156">
        <v>0.0</v>
      </c>
      <c r="G256" s="156">
        <v>0.0</v>
      </c>
      <c r="H256" s="156">
        <v>0.0</v>
      </c>
      <c r="I256" s="156">
        <v>0.0</v>
      </c>
      <c r="J256" s="156">
        <v>0.0</v>
      </c>
    </row>
    <row r="257">
      <c r="A257" s="155">
        <v>44049.0</v>
      </c>
      <c r="B257" s="21" t="s">
        <v>152</v>
      </c>
      <c r="C257" s="21" t="s">
        <v>214</v>
      </c>
      <c r="D257" s="156">
        <v>3000.0</v>
      </c>
      <c r="E257" s="21" t="s">
        <v>202</v>
      </c>
      <c r="F257" s="156">
        <v>0.0</v>
      </c>
      <c r="G257" s="156">
        <v>0.0</v>
      </c>
      <c r="H257" s="156">
        <v>0.0</v>
      </c>
      <c r="I257" s="156">
        <v>0.0</v>
      </c>
      <c r="J257" s="156">
        <v>0.0</v>
      </c>
    </row>
    <row r="258">
      <c r="A258" s="155">
        <v>44049.0</v>
      </c>
      <c r="B258" s="21" t="s">
        <v>296</v>
      </c>
      <c r="C258" s="21" t="s">
        <v>299</v>
      </c>
      <c r="D258" s="156">
        <v>4000.0</v>
      </c>
      <c r="E258" s="21" t="s">
        <v>205</v>
      </c>
      <c r="F258" s="156">
        <v>0.0</v>
      </c>
      <c r="G258" s="156">
        <v>4000.0</v>
      </c>
      <c r="H258" s="156">
        <v>0.0</v>
      </c>
      <c r="I258" s="156">
        <v>0.0</v>
      </c>
      <c r="J258" s="156">
        <v>0.0</v>
      </c>
    </row>
    <row r="259">
      <c r="A259" s="155">
        <v>44049.0</v>
      </c>
      <c r="B259" s="21" t="s">
        <v>216</v>
      </c>
      <c r="C259" s="21" t="s">
        <v>300</v>
      </c>
      <c r="D259" s="156">
        <v>10000.0</v>
      </c>
      <c r="E259" s="21" t="s">
        <v>205</v>
      </c>
      <c r="F259" s="156">
        <v>0.0</v>
      </c>
      <c r="G259" s="156">
        <v>10000.0</v>
      </c>
      <c r="H259" s="156">
        <v>0.0</v>
      </c>
      <c r="I259" s="156">
        <v>0.0</v>
      </c>
      <c r="J259" s="156">
        <v>0.0</v>
      </c>
    </row>
    <row r="260">
      <c r="A260" s="155">
        <v>44049.0</v>
      </c>
      <c r="B260" s="21" t="s">
        <v>183</v>
      </c>
      <c r="C260" s="21" t="s">
        <v>301</v>
      </c>
      <c r="D260" s="156">
        <v>3400.0</v>
      </c>
      <c r="E260" s="21" t="s">
        <v>205</v>
      </c>
      <c r="F260" s="156">
        <v>0.0</v>
      </c>
      <c r="G260" s="156">
        <v>3400.0</v>
      </c>
      <c r="H260" s="156">
        <v>0.0</v>
      </c>
      <c r="I260" s="156">
        <v>0.0</v>
      </c>
      <c r="J260" s="156">
        <v>0.0</v>
      </c>
    </row>
    <row r="261">
      <c r="A261" s="155">
        <v>44049.0</v>
      </c>
      <c r="B261" s="21" t="s">
        <v>302</v>
      </c>
      <c r="C261" s="21" t="s">
        <v>251</v>
      </c>
      <c r="D261" s="156">
        <v>7000.0</v>
      </c>
      <c r="E261" s="21" t="s">
        <v>205</v>
      </c>
      <c r="F261" s="156">
        <v>0.0</v>
      </c>
      <c r="G261" s="156">
        <v>7000.0</v>
      </c>
      <c r="H261" s="156">
        <v>0.0</v>
      </c>
      <c r="I261" s="156">
        <v>0.0</v>
      </c>
      <c r="J261" s="156">
        <v>0.0</v>
      </c>
    </row>
    <row r="262">
      <c r="A262" s="155">
        <v>44049.0</v>
      </c>
      <c r="B262" s="21" t="s">
        <v>225</v>
      </c>
      <c r="C262" s="21" t="s">
        <v>303</v>
      </c>
      <c r="D262" s="156">
        <v>15000.0</v>
      </c>
      <c r="E262" s="21" t="s">
        <v>205</v>
      </c>
      <c r="F262" s="156">
        <v>0.0</v>
      </c>
      <c r="G262" s="156">
        <v>15000.0</v>
      </c>
      <c r="H262" s="156">
        <v>0.0</v>
      </c>
      <c r="I262" s="156">
        <v>0.0</v>
      </c>
      <c r="J262" s="156">
        <v>0.0</v>
      </c>
    </row>
    <row r="263">
      <c r="A263" s="155">
        <v>44049.0</v>
      </c>
      <c r="B263" s="21" t="s">
        <v>225</v>
      </c>
      <c r="C263" s="21" t="s">
        <v>217</v>
      </c>
      <c r="D263" s="156">
        <v>4000.0</v>
      </c>
      <c r="E263" s="21" t="s">
        <v>205</v>
      </c>
      <c r="F263" s="156">
        <v>0.0</v>
      </c>
      <c r="G263" s="156">
        <v>4000.0</v>
      </c>
      <c r="H263" s="156">
        <v>0.0</v>
      </c>
      <c r="I263" s="156">
        <v>0.0</v>
      </c>
      <c r="J263" s="156">
        <v>0.0</v>
      </c>
    </row>
    <row r="264">
      <c r="A264" s="155">
        <v>44049.0</v>
      </c>
      <c r="B264" s="21" t="s">
        <v>220</v>
      </c>
      <c r="C264" s="21" t="s">
        <v>303</v>
      </c>
      <c r="D264" s="156">
        <v>35000.0</v>
      </c>
      <c r="E264" s="21" t="s">
        <v>205</v>
      </c>
      <c r="F264" s="156">
        <v>0.0</v>
      </c>
      <c r="G264" s="156">
        <v>35000.0</v>
      </c>
      <c r="H264" s="156">
        <v>0.0</v>
      </c>
      <c r="I264" s="156">
        <v>0.0</v>
      </c>
      <c r="J264" s="156">
        <v>0.0</v>
      </c>
    </row>
    <row r="265">
      <c r="A265" s="155">
        <v>44049.0</v>
      </c>
      <c r="B265" s="21" t="s">
        <v>222</v>
      </c>
      <c r="C265" s="21" t="s">
        <v>303</v>
      </c>
      <c r="D265" s="156">
        <v>17500.0</v>
      </c>
      <c r="E265" s="21" t="s">
        <v>205</v>
      </c>
      <c r="F265" s="156">
        <v>0.0</v>
      </c>
      <c r="G265" s="156">
        <v>17500.0</v>
      </c>
      <c r="H265" s="156">
        <v>0.0</v>
      </c>
      <c r="I265" s="156">
        <v>0.0</v>
      </c>
      <c r="J265" s="156">
        <v>0.0</v>
      </c>
    </row>
    <row r="266">
      <c r="A266" s="155">
        <v>44049.0</v>
      </c>
      <c r="B266" s="21" t="s">
        <v>216</v>
      </c>
      <c r="C266" s="21" t="s">
        <v>303</v>
      </c>
      <c r="D266" s="156">
        <v>15000.0</v>
      </c>
      <c r="E266" s="21" t="s">
        <v>205</v>
      </c>
      <c r="F266" s="156">
        <v>0.0</v>
      </c>
      <c r="G266" s="156">
        <v>15000.0</v>
      </c>
      <c r="H266" s="156">
        <v>0.0</v>
      </c>
      <c r="I266" s="156">
        <v>0.0</v>
      </c>
      <c r="J266" s="156">
        <v>0.0</v>
      </c>
    </row>
    <row r="267">
      <c r="A267" s="155">
        <v>44049.0</v>
      </c>
      <c r="B267" s="21" t="s">
        <v>220</v>
      </c>
      <c r="C267" s="21" t="s">
        <v>304</v>
      </c>
      <c r="D267" s="156">
        <v>1000.0</v>
      </c>
      <c r="E267" s="21" t="s">
        <v>205</v>
      </c>
      <c r="F267" s="156">
        <v>0.0</v>
      </c>
      <c r="G267" s="156">
        <v>1000.0</v>
      </c>
      <c r="H267" s="156">
        <v>0.0</v>
      </c>
      <c r="I267" s="156">
        <v>0.0</v>
      </c>
      <c r="J267" s="156">
        <v>0.0</v>
      </c>
    </row>
    <row r="268">
      <c r="A268" s="155">
        <v>44049.0</v>
      </c>
      <c r="B268" s="21" t="s">
        <v>305</v>
      </c>
      <c r="C268" s="21" t="s">
        <v>251</v>
      </c>
      <c r="D268" s="156">
        <v>5000.0</v>
      </c>
      <c r="E268" s="21" t="s">
        <v>205</v>
      </c>
      <c r="F268" s="156">
        <v>0.0</v>
      </c>
      <c r="G268" s="156">
        <v>5000.0</v>
      </c>
      <c r="H268" s="156">
        <v>0.0</v>
      </c>
      <c r="I268" s="156">
        <v>0.0</v>
      </c>
      <c r="J268" s="156">
        <v>0.0</v>
      </c>
    </row>
    <row r="269">
      <c r="A269" s="155">
        <v>44049.0</v>
      </c>
      <c r="B269" s="21" t="s">
        <v>281</v>
      </c>
      <c r="C269" s="21" t="s">
        <v>306</v>
      </c>
      <c r="D269" s="156">
        <v>50000.0</v>
      </c>
      <c r="E269" s="21" t="s">
        <v>205</v>
      </c>
      <c r="F269" s="156">
        <v>0.0</v>
      </c>
      <c r="G269" s="156">
        <v>50000.0</v>
      </c>
      <c r="H269" s="156">
        <v>0.0</v>
      </c>
      <c r="I269" s="156">
        <v>0.0</v>
      </c>
      <c r="J269" s="156">
        <v>0.0</v>
      </c>
    </row>
    <row r="270">
      <c r="A270" s="155">
        <v>44049.0</v>
      </c>
      <c r="B270" s="21" t="s">
        <v>183</v>
      </c>
      <c r="C270" s="21" t="s">
        <v>223</v>
      </c>
      <c r="D270" s="156">
        <v>577300.0</v>
      </c>
      <c r="E270" s="21" t="s">
        <v>211</v>
      </c>
      <c r="F270" s="156">
        <v>0.0</v>
      </c>
      <c r="G270" s="156">
        <v>0.0</v>
      </c>
      <c r="H270" s="156">
        <v>0.0</v>
      </c>
      <c r="I270" s="156">
        <v>577300.0</v>
      </c>
      <c r="J270" s="156">
        <v>0.0</v>
      </c>
    </row>
    <row r="271">
      <c r="A271" s="155">
        <v>44049.0</v>
      </c>
      <c r="B271" s="21" t="s">
        <v>220</v>
      </c>
      <c r="C271" s="21" t="s">
        <v>221</v>
      </c>
      <c r="D271" s="156">
        <v>2000000.0</v>
      </c>
      <c r="E271" s="21" t="s">
        <v>201</v>
      </c>
      <c r="F271" s="156">
        <v>0.0</v>
      </c>
      <c r="G271" s="156">
        <v>0.0</v>
      </c>
      <c r="H271" s="156">
        <v>2000000.0</v>
      </c>
      <c r="I271" s="156">
        <v>0.0</v>
      </c>
      <c r="J271" s="156">
        <v>0.0</v>
      </c>
    </row>
    <row r="272">
      <c r="A272" s="155">
        <v>44049.0</v>
      </c>
      <c r="B272" s="21" t="s">
        <v>216</v>
      </c>
      <c r="C272" s="21" t="s">
        <v>307</v>
      </c>
      <c r="D272" s="156">
        <v>808800.0</v>
      </c>
      <c r="E272" s="21" t="s">
        <v>201</v>
      </c>
      <c r="F272" s="156">
        <v>0.0</v>
      </c>
      <c r="G272" s="156">
        <v>0.0</v>
      </c>
      <c r="H272" s="156">
        <v>808800.0</v>
      </c>
      <c r="I272" s="156">
        <v>0.0</v>
      </c>
      <c r="J272" s="156">
        <v>0.0</v>
      </c>
    </row>
    <row r="273">
      <c r="A273" s="155">
        <v>44049.0</v>
      </c>
      <c r="B273" s="21" t="s">
        <v>141</v>
      </c>
      <c r="C273" s="21" t="s">
        <v>236</v>
      </c>
      <c r="D273" s="156">
        <v>3.642825E7</v>
      </c>
      <c r="E273" s="21" t="s">
        <v>202</v>
      </c>
      <c r="F273" s="156">
        <v>0.0</v>
      </c>
      <c r="G273" s="156">
        <v>0.0</v>
      </c>
      <c r="H273" s="156">
        <v>0.0</v>
      </c>
      <c r="I273" s="156">
        <v>0.0</v>
      </c>
      <c r="J273" s="156">
        <v>0.0</v>
      </c>
    </row>
    <row r="274">
      <c r="A274" s="155">
        <v>44049.0</v>
      </c>
      <c r="B274" s="21" t="s">
        <v>216</v>
      </c>
      <c r="C274" s="21" t="s">
        <v>221</v>
      </c>
      <c r="D274" s="156">
        <v>3.642825E7</v>
      </c>
      <c r="E274" s="21" t="s">
        <v>201</v>
      </c>
      <c r="F274" s="156">
        <v>0.0</v>
      </c>
      <c r="G274" s="156">
        <v>0.0</v>
      </c>
      <c r="H274" s="156">
        <v>3.642825E7</v>
      </c>
      <c r="I274" s="156">
        <v>0.0</v>
      </c>
      <c r="J274" s="156">
        <v>0.0</v>
      </c>
    </row>
    <row r="275">
      <c r="A275" s="155">
        <v>44050.0</v>
      </c>
      <c r="B275" s="21" t="s">
        <v>152</v>
      </c>
      <c r="C275" s="21" t="s">
        <v>236</v>
      </c>
      <c r="D275" s="156">
        <v>2500000.0</v>
      </c>
      <c r="E275" s="21" t="s">
        <v>202</v>
      </c>
      <c r="F275" s="156">
        <v>0.0</v>
      </c>
      <c r="G275" s="156">
        <v>0.0</v>
      </c>
      <c r="H275" s="156">
        <v>0.0</v>
      </c>
      <c r="I275" s="156">
        <v>0.0</v>
      </c>
      <c r="J275" s="156">
        <v>0.0</v>
      </c>
    </row>
    <row r="276">
      <c r="A276" s="155">
        <v>44050.0</v>
      </c>
      <c r="B276" s="21" t="s">
        <v>147</v>
      </c>
      <c r="C276" s="21" t="s">
        <v>236</v>
      </c>
      <c r="D276" s="156">
        <v>5000.0</v>
      </c>
      <c r="E276" s="21" t="s">
        <v>202</v>
      </c>
      <c r="F276" s="156">
        <v>0.0</v>
      </c>
      <c r="G276" s="156">
        <v>0.0</v>
      </c>
      <c r="H276" s="156">
        <v>0.0</v>
      </c>
      <c r="I276" s="156">
        <v>0.0</v>
      </c>
      <c r="J276" s="156">
        <v>0.0</v>
      </c>
    </row>
    <row r="277">
      <c r="A277" s="155">
        <v>44050.0</v>
      </c>
      <c r="B277" s="21" t="s">
        <v>152</v>
      </c>
      <c r="C277" s="21" t="s">
        <v>308</v>
      </c>
      <c r="D277" s="156">
        <v>1530000.0</v>
      </c>
      <c r="E277" s="21" t="s">
        <v>202</v>
      </c>
      <c r="F277" s="156">
        <v>0.0</v>
      </c>
      <c r="G277" s="156">
        <v>0.0</v>
      </c>
      <c r="H277" s="156">
        <v>0.0</v>
      </c>
      <c r="I277" s="156">
        <v>0.0</v>
      </c>
      <c r="J277" s="156">
        <v>0.0</v>
      </c>
    </row>
    <row r="278">
      <c r="A278" s="155">
        <v>44050.0</v>
      </c>
      <c r="B278" s="21" t="s">
        <v>250</v>
      </c>
      <c r="C278" s="21" t="s">
        <v>309</v>
      </c>
      <c r="D278" s="156">
        <v>15000.0</v>
      </c>
      <c r="E278" s="21" t="s">
        <v>205</v>
      </c>
      <c r="F278" s="156">
        <v>0.0</v>
      </c>
      <c r="G278" s="156">
        <v>15000.0</v>
      </c>
      <c r="H278" s="156">
        <v>0.0</v>
      </c>
      <c r="I278" s="156">
        <v>0.0</v>
      </c>
      <c r="J278" s="156">
        <v>0.0</v>
      </c>
    </row>
    <row r="279">
      <c r="A279" s="155">
        <v>44050.0</v>
      </c>
      <c r="B279" s="21" t="s">
        <v>183</v>
      </c>
      <c r="C279" s="21" t="s">
        <v>239</v>
      </c>
      <c r="D279" s="156">
        <v>200.0</v>
      </c>
      <c r="E279" s="21" t="s">
        <v>205</v>
      </c>
      <c r="F279" s="156">
        <v>0.0</v>
      </c>
      <c r="G279" s="156">
        <v>200.0</v>
      </c>
      <c r="H279" s="156">
        <v>0.0</v>
      </c>
      <c r="I279" s="156">
        <v>0.0</v>
      </c>
      <c r="J279" s="156">
        <v>0.0</v>
      </c>
    </row>
    <row r="280">
      <c r="A280" s="155">
        <v>44050.0</v>
      </c>
      <c r="B280" s="21" t="s">
        <v>220</v>
      </c>
      <c r="C280" s="21" t="s">
        <v>229</v>
      </c>
      <c r="D280" s="156">
        <v>185000.0</v>
      </c>
      <c r="E280" s="21" t="s">
        <v>205</v>
      </c>
      <c r="F280" s="156">
        <v>0.0</v>
      </c>
      <c r="G280" s="156">
        <v>185000.0</v>
      </c>
      <c r="H280" s="156">
        <v>0.0</v>
      </c>
      <c r="I280" s="156">
        <v>0.0</v>
      </c>
      <c r="J280" s="156">
        <v>0.0</v>
      </c>
    </row>
    <row r="281">
      <c r="A281" s="155">
        <v>44050.0</v>
      </c>
      <c r="B281" s="21" t="s">
        <v>183</v>
      </c>
      <c r="C281" s="21" t="s">
        <v>210</v>
      </c>
      <c r="D281" s="156">
        <v>229500.0</v>
      </c>
      <c r="E281" s="21" t="s">
        <v>211</v>
      </c>
      <c r="F281" s="156">
        <v>0.0</v>
      </c>
      <c r="G281" s="156">
        <v>0.0</v>
      </c>
      <c r="H281" s="156">
        <v>0.0</v>
      </c>
      <c r="I281" s="156">
        <v>229500.0</v>
      </c>
      <c r="J281" s="156">
        <v>0.0</v>
      </c>
    </row>
    <row r="282">
      <c r="A282" s="155">
        <v>44050.0</v>
      </c>
      <c r="B282" s="21" t="s">
        <v>220</v>
      </c>
      <c r="C282" s="21" t="s">
        <v>212</v>
      </c>
      <c r="D282" s="156">
        <v>3000000.0</v>
      </c>
      <c r="E282" s="21" t="s">
        <v>201</v>
      </c>
      <c r="F282" s="156">
        <v>0.0</v>
      </c>
      <c r="G282" s="156">
        <v>0.0</v>
      </c>
      <c r="H282" s="156">
        <v>3000000.0</v>
      </c>
      <c r="I282" s="156">
        <v>0.0</v>
      </c>
      <c r="J282" s="156">
        <v>0.0</v>
      </c>
    </row>
    <row r="283">
      <c r="A283" s="155">
        <v>44050.0</v>
      </c>
      <c r="B283" s="21" t="s">
        <v>220</v>
      </c>
      <c r="C283" s="21" t="s">
        <v>310</v>
      </c>
      <c r="D283" s="156">
        <v>1530000.0</v>
      </c>
      <c r="E283" s="21" t="s">
        <v>201</v>
      </c>
      <c r="F283" s="156">
        <v>0.0</v>
      </c>
      <c r="G283" s="156">
        <v>0.0</v>
      </c>
      <c r="H283" s="156">
        <v>1530000.0</v>
      </c>
      <c r="I283" s="156">
        <v>0.0</v>
      </c>
      <c r="J283" s="156">
        <v>0.0</v>
      </c>
    </row>
    <row r="284">
      <c r="A284" s="155">
        <v>44051.0</v>
      </c>
      <c r="B284" s="21" t="s">
        <v>46</v>
      </c>
      <c r="C284" s="21" t="s">
        <v>311</v>
      </c>
      <c r="D284" s="156">
        <v>1379140.0</v>
      </c>
      <c r="E284" s="21" t="s">
        <v>202</v>
      </c>
      <c r="F284" s="156">
        <v>0.0</v>
      </c>
      <c r="G284" s="156">
        <v>0.0</v>
      </c>
      <c r="H284" s="156">
        <v>0.0</v>
      </c>
      <c r="I284" s="156">
        <v>0.0</v>
      </c>
      <c r="J284" s="156">
        <v>0.0</v>
      </c>
    </row>
    <row r="285">
      <c r="A285" s="155">
        <v>44051.0</v>
      </c>
      <c r="B285" s="21" t="s">
        <v>152</v>
      </c>
      <c r="C285" s="21" t="s">
        <v>312</v>
      </c>
      <c r="D285" s="156">
        <v>75000.0</v>
      </c>
      <c r="E285" s="21" t="s">
        <v>202</v>
      </c>
      <c r="F285" s="156">
        <v>0.0</v>
      </c>
      <c r="G285" s="156">
        <v>0.0</v>
      </c>
      <c r="H285" s="156">
        <v>0.0</v>
      </c>
      <c r="I285" s="156">
        <v>0.0</v>
      </c>
      <c r="J285" s="156">
        <v>0.0</v>
      </c>
    </row>
    <row r="286">
      <c r="A286" s="155">
        <v>44051.0</v>
      </c>
      <c r="B286" s="21" t="s">
        <v>107</v>
      </c>
      <c r="C286" s="21" t="s">
        <v>311</v>
      </c>
      <c r="D286" s="156">
        <v>200000.0</v>
      </c>
      <c r="E286" s="21" t="s">
        <v>202</v>
      </c>
      <c r="F286" s="156">
        <v>0.0</v>
      </c>
      <c r="G286" s="156">
        <v>0.0</v>
      </c>
      <c r="H286" s="156">
        <v>0.0</v>
      </c>
      <c r="I286" s="156">
        <v>0.0</v>
      </c>
      <c r="J286" s="156">
        <v>0.0</v>
      </c>
    </row>
    <row r="287">
      <c r="A287" s="155">
        <v>44051.0</v>
      </c>
      <c r="B287" s="21" t="s">
        <v>141</v>
      </c>
      <c r="C287" s="21" t="s">
        <v>313</v>
      </c>
      <c r="D287" s="156">
        <v>192000.0</v>
      </c>
      <c r="E287" s="21" t="s">
        <v>205</v>
      </c>
      <c r="F287" s="156">
        <v>0.0</v>
      </c>
      <c r="G287" s="156">
        <v>192000.0</v>
      </c>
      <c r="H287" s="156">
        <v>0.0</v>
      </c>
      <c r="I287" s="156">
        <v>0.0</v>
      </c>
      <c r="J287" s="156">
        <v>0.0</v>
      </c>
    </row>
    <row r="288">
      <c r="A288" s="155">
        <v>44051.0</v>
      </c>
      <c r="B288" s="21" t="s">
        <v>268</v>
      </c>
      <c r="C288" s="21" t="s">
        <v>314</v>
      </c>
      <c r="D288" s="156">
        <v>16000.0</v>
      </c>
      <c r="E288" s="21" t="s">
        <v>205</v>
      </c>
      <c r="F288" s="156">
        <v>0.0</v>
      </c>
      <c r="G288" s="156">
        <v>16000.0</v>
      </c>
      <c r="H288" s="156">
        <v>0.0</v>
      </c>
      <c r="I288" s="156">
        <v>0.0</v>
      </c>
      <c r="J288" s="156">
        <v>0.0</v>
      </c>
    </row>
    <row r="289">
      <c r="A289" s="155">
        <v>44051.0</v>
      </c>
      <c r="B289" s="21" t="s">
        <v>315</v>
      </c>
      <c r="C289" s="21" t="s">
        <v>316</v>
      </c>
      <c r="D289" s="156">
        <v>156000.0</v>
      </c>
      <c r="E289" s="21" t="s">
        <v>205</v>
      </c>
      <c r="F289" s="156">
        <v>0.0</v>
      </c>
      <c r="G289" s="156">
        <v>156000.0</v>
      </c>
      <c r="H289" s="156">
        <v>0.0</v>
      </c>
      <c r="I289" s="156">
        <v>0.0</v>
      </c>
      <c r="J289" s="156">
        <v>0.0</v>
      </c>
    </row>
    <row r="290">
      <c r="A290" s="155">
        <v>44051.0</v>
      </c>
      <c r="B290" s="21" t="s">
        <v>317</v>
      </c>
      <c r="C290" s="21" t="s">
        <v>318</v>
      </c>
      <c r="D290" s="156">
        <v>30000.0</v>
      </c>
      <c r="E290" s="21" t="s">
        <v>205</v>
      </c>
      <c r="F290" s="156">
        <v>0.0</v>
      </c>
      <c r="G290" s="156">
        <v>30000.0</v>
      </c>
      <c r="H290" s="156">
        <v>0.0</v>
      </c>
      <c r="I290" s="156">
        <v>0.0</v>
      </c>
      <c r="J290" s="156">
        <v>0.0</v>
      </c>
    </row>
    <row r="291">
      <c r="A291" s="155">
        <v>44051.0</v>
      </c>
      <c r="B291" s="21" t="s">
        <v>319</v>
      </c>
      <c r="C291" s="21" t="s">
        <v>320</v>
      </c>
      <c r="D291" s="156">
        <v>350000.0</v>
      </c>
      <c r="E291" s="21" t="s">
        <v>205</v>
      </c>
      <c r="F291" s="156">
        <v>0.0</v>
      </c>
      <c r="G291" s="156">
        <v>350000.0</v>
      </c>
      <c r="H291" s="156">
        <v>0.0</v>
      </c>
      <c r="I291" s="156">
        <v>0.0</v>
      </c>
      <c r="J291" s="156">
        <v>0.0</v>
      </c>
    </row>
    <row r="292">
      <c r="A292" s="155">
        <v>44051.0</v>
      </c>
      <c r="B292" s="21" t="s">
        <v>263</v>
      </c>
      <c r="C292" s="21" t="s">
        <v>321</v>
      </c>
      <c r="D292" s="156">
        <v>20000.0</v>
      </c>
      <c r="E292" s="21" t="s">
        <v>205</v>
      </c>
      <c r="F292" s="156">
        <v>0.0</v>
      </c>
      <c r="G292" s="156">
        <v>20000.0</v>
      </c>
      <c r="H292" s="156">
        <v>0.0</v>
      </c>
      <c r="I292" s="156">
        <v>0.0</v>
      </c>
      <c r="J292" s="156">
        <v>0.0</v>
      </c>
    </row>
    <row r="293">
      <c r="A293" s="155">
        <v>44051.0</v>
      </c>
      <c r="B293" s="21" t="s">
        <v>281</v>
      </c>
      <c r="C293" s="21" t="s">
        <v>321</v>
      </c>
      <c r="D293" s="156">
        <v>15000.0</v>
      </c>
      <c r="E293" s="21" t="s">
        <v>205</v>
      </c>
      <c r="F293" s="156">
        <v>0.0</v>
      </c>
      <c r="G293" s="156">
        <v>15000.0</v>
      </c>
      <c r="H293" s="156">
        <v>0.0</v>
      </c>
      <c r="I293" s="156">
        <v>0.0</v>
      </c>
      <c r="J293" s="156">
        <v>0.0</v>
      </c>
    </row>
    <row r="294">
      <c r="A294" s="155">
        <v>44051.0</v>
      </c>
      <c r="B294" s="21" t="s">
        <v>216</v>
      </c>
      <c r="C294" s="21" t="s">
        <v>322</v>
      </c>
      <c r="D294" s="156">
        <v>10000.0</v>
      </c>
      <c r="E294" s="21" t="s">
        <v>205</v>
      </c>
      <c r="F294" s="156">
        <v>0.0</v>
      </c>
      <c r="G294" s="156">
        <v>10000.0</v>
      </c>
      <c r="H294" s="156">
        <v>0.0</v>
      </c>
      <c r="I294" s="156">
        <v>0.0</v>
      </c>
      <c r="J294" s="156">
        <v>0.0</v>
      </c>
    </row>
    <row r="295">
      <c r="A295" s="155">
        <v>44051.0</v>
      </c>
      <c r="B295" s="21" t="s">
        <v>248</v>
      </c>
      <c r="C295" s="21" t="s">
        <v>323</v>
      </c>
      <c r="D295" s="156">
        <v>69000.0</v>
      </c>
      <c r="E295" s="21" t="s">
        <v>205</v>
      </c>
      <c r="F295" s="156">
        <v>0.0</v>
      </c>
      <c r="G295" s="156">
        <v>69000.0</v>
      </c>
      <c r="H295" s="156">
        <v>0.0</v>
      </c>
      <c r="I295" s="156">
        <v>0.0</v>
      </c>
      <c r="J295" s="156">
        <v>0.0</v>
      </c>
    </row>
    <row r="296">
      <c r="A296" s="155">
        <v>44051.0</v>
      </c>
      <c r="B296" s="21" t="s">
        <v>296</v>
      </c>
      <c r="C296" s="21" t="s">
        <v>324</v>
      </c>
      <c r="D296" s="156">
        <v>1000.0</v>
      </c>
      <c r="E296" s="21" t="s">
        <v>205</v>
      </c>
      <c r="F296" s="156">
        <v>0.0</v>
      </c>
      <c r="G296" s="156">
        <v>1000.0</v>
      </c>
      <c r="H296" s="156">
        <v>0.0</v>
      </c>
      <c r="I296" s="156">
        <v>0.0</v>
      </c>
      <c r="J296" s="156">
        <v>0.0</v>
      </c>
    </row>
    <row r="297">
      <c r="A297" s="155">
        <v>44051.0</v>
      </c>
      <c r="B297" s="21" t="s">
        <v>220</v>
      </c>
      <c r="C297" s="21" t="s">
        <v>299</v>
      </c>
      <c r="D297" s="156">
        <v>10000.0</v>
      </c>
      <c r="E297" s="21" t="s">
        <v>205</v>
      </c>
      <c r="F297" s="156">
        <v>0.0</v>
      </c>
      <c r="G297" s="156">
        <v>10000.0</v>
      </c>
      <c r="H297" s="156">
        <v>0.0</v>
      </c>
      <c r="I297" s="156">
        <v>0.0</v>
      </c>
      <c r="J297" s="156">
        <v>0.0</v>
      </c>
    </row>
    <row r="298">
      <c r="A298" s="155">
        <v>44051.0</v>
      </c>
      <c r="B298" s="21" t="s">
        <v>220</v>
      </c>
      <c r="C298" s="21" t="s">
        <v>325</v>
      </c>
      <c r="D298" s="156">
        <v>3000.0</v>
      </c>
      <c r="E298" s="21" t="s">
        <v>205</v>
      </c>
      <c r="F298" s="156">
        <v>0.0</v>
      </c>
      <c r="G298" s="156">
        <v>3000.0</v>
      </c>
      <c r="H298" s="156">
        <v>0.0</v>
      </c>
      <c r="I298" s="156">
        <v>0.0</v>
      </c>
      <c r="J298" s="156">
        <v>0.0</v>
      </c>
    </row>
    <row r="299">
      <c r="A299" s="155">
        <v>44051.0</v>
      </c>
      <c r="B299" s="21" t="s">
        <v>289</v>
      </c>
      <c r="C299" s="21" t="s">
        <v>251</v>
      </c>
      <c r="D299" s="156">
        <v>5000.0</v>
      </c>
      <c r="E299" s="21" t="s">
        <v>205</v>
      </c>
      <c r="F299" s="156">
        <v>0.0</v>
      </c>
      <c r="G299" s="156">
        <v>5000.0</v>
      </c>
      <c r="H299" s="156">
        <v>0.0</v>
      </c>
      <c r="I299" s="156">
        <v>0.0</v>
      </c>
      <c r="J299" s="156">
        <v>0.0</v>
      </c>
    </row>
    <row r="300">
      <c r="A300" s="155">
        <v>44051.0</v>
      </c>
      <c r="B300" s="21" t="s">
        <v>183</v>
      </c>
      <c r="C300" s="21" t="s">
        <v>223</v>
      </c>
      <c r="D300" s="156">
        <v>877000.0</v>
      </c>
      <c r="E300" s="21" t="s">
        <v>211</v>
      </c>
      <c r="F300" s="156">
        <v>0.0</v>
      </c>
      <c r="G300" s="156">
        <v>0.0</v>
      </c>
      <c r="H300" s="156">
        <v>0.0</v>
      </c>
      <c r="I300" s="156">
        <v>877000.0</v>
      </c>
      <c r="J300" s="156">
        <v>0.0</v>
      </c>
    </row>
    <row r="301">
      <c r="A301" s="155">
        <v>44051.0</v>
      </c>
      <c r="B301" s="21" t="s">
        <v>216</v>
      </c>
      <c r="C301" s="21" t="s">
        <v>221</v>
      </c>
      <c r="D301" s="156">
        <v>1579140.0</v>
      </c>
      <c r="E301" s="21" t="s">
        <v>201</v>
      </c>
      <c r="F301" s="156">
        <v>0.0</v>
      </c>
      <c r="G301" s="156">
        <v>0.0</v>
      </c>
      <c r="H301" s="156">
        <v>1579140.0</v>
      </c>
      <c r="I301" s="156">
        <v>0.0</v>
      </c>
      <c r="J301" s="156">
        <v>0.0</v>
      </c>
    </row>
    <row r="302">
      <c r="A302" s="155">
        <v>44053.0</v>
      </c>
      <c r="B302" s="21" t="s">
        <v>228</v>
      </c>
      <c r="C302" s="21" t="s">
        <v>326</v>
      </c>
      <c r="D302" s="156">
        <v>1000.0</v>
      </c>
      <c r="E302" s="21" t="s">
        <v>205</v>
      </c>
      <c r="F302" s="156">
        <v>0.0</v>
      </c>
      <c r="G302" s="156">
        <v>1000.0</v>
      </c>
      <c r="H302" s="156">
        <v>0.0</v>
      </c>
      <c r="I302" s="156">
        <v>0.0</v>
      </c>
      <c r="J302" s="156">
        <v>0.0</v>
      </c>
    </row>
    <row r="303">
      <c r="A303" s="155">
        <v>44053.0</v>
      </c>
      <c r="B303" s="21" t="s">
        <v>183</v>
      </c>
      <c r="C303" s="21" t="s">
        <v>223</v>
      </c>
      <c r="D303" s="156">
        <v>1000.0</v>
      </c>
      <c r="E303" s="21" t="s">
        <v>211</v>
      </c>
      <c r="F303" s="156">
        <v>0.0</v>
      </c>
      <c r="G303" s="156">
        <v>0.0</v>
      </c>
      <c r="H303" s="156">
        <v>0.0</v>
      </c>
      <c r="I303" s="156">
        <v>1000.0</v>
      </c>
      <c r="J303" s="156">
        <v>0.0</v>
      </c>
    </row>
    <row r="304">
      <c r="A304" s="155">
        <v>44054.0</v>
      </c>
      <c r="B304" s="21" t="s">
        <v>156</v>
      </c>
      <c r="C304" s="21" t="s">
        <v>327</v>
      </c>
      <c r="D304" s="156">
        <v>484800.0</v>
      </c>
      <c r="E304" s="21" t="s">
        <v>202</v>
      </c>
      <c r="F304" s="156">
        <v>0.0</v>
      </c>
      <c r="G304" s="156">
        <v>0.0</v>
      </c>
      <c r="H304" s="156">
        <v>0.0</v>
      </c>
      <c r="I304" s="156">
        <v>0.0</v>
      </c>
      <c r="J304" s="156">
        <v>0.0</v>
      </c>
    </row>
    <row r="305">
      <c r="A305" s="155">
        <v>44054.0</v>
      </c>
      <c r="B305" s="21" t="s">
        <v>126</v>
      </c>
      <c r="C305" s="21" t="s">
        <v>327</v>
      </c>
      <c r="D305" s="156">
        <v>14400.0</v>
      </c>
      <c r="E305" s="21" t="s">
        <v>202</v>
      </c>
      <c r="F305" s="156">
        <v>0.0</v>
      </c>
      <c r="G305" s="156">
        <v>0.0</v>
      </c>
      <c r="H305" s="156">
        <v>0.0</v>
      </c>
      <c r="I305" s="156">
        <v>0.0</v>
      </c>
      <c r="J305" s="156">
        <v>0.0</v>
      </c>
    </row>
    <row r="306">
      <c r="A306" s="155">
        <v>44054.0</v>
      </c>
      <c r="B306" s="21" t="s">
        <v>302</v>
      </c>
      <c r="C306" s="21" t="s">
        <v>251</v>
      </c>
      <c r="D306" s="156">
        <v>15000.0</v>
      </c>
      <c r="E306" s="21" t="s">
        <v>205</v>
      </c>
      <c r="F306" s="156">
        <v>0.0</v>
      </c>
      <c r="G306" s="156">
        <v>15000.0</v>
      </c>
      <c r="H306" s="156">
        <v>0.0</v>
      </c>
      <c r="I306" s="156">
        <v>0.0</v>
      </c>
      <c r="J306" s="156">
        <v>0.0</v>
      </c>
    </row>
    <row r="307">
      <c r="A307" s="155">
        <v>44054.0</v>
      </c>
      <c r="B307" s="21" t="s">
        <v>328</v>
      </c>
      <c r="C307" s="21" t="s">
        <v>290</v>
      </c>
      <c r="D307" s="156">
        <v>20000.0</v>
      </c>
      <c r="E307" s="21" t="s">
        <v>205</v>
      </c>
      <c r="F307" s="156">
        <v>0.0</v>
      </c>
      <c r="G307" s="156">
        <v>20000.0</v>
      </c>
      <c r="H307" s="156">
        <v>0.0</v>
      </c>
      <c r="I307" s="156">
        <v>0.0</v>
      </c>
      <c r="J307" s="156">
        <v>0.0</v>
      </c>
    </row>
    <row r="308">
      <c r="A308" s="155">
        <v>44054.0</v>
      </c>
      <c r="B308" s="21" t="s">
        <v>216</v>
      </c>
      <c r="C308" s="21" t="s">
        <v>300</v>
      </c>
      <c r="D308" s="156">
        <v>10000.0</v>
      </c>
      <c r="E308" s="21" t="s">
        <v>205</v>
      </c>
      <c r="F308" s="156">
        <v>0.0</v>
      </c>
      <c r="G308" s="156">
        <v>10000.0</v>
      </c>
      <c r="H308" s="156">
        <v>0.0</v>
      </c>
      <c r="I308" s="156">
        <v>0.0</v>
      </c>
      <c r="J308" s="156">
        <v>0.0</v>
      </c>
    </row>
    <row r="309">
      <c r="A309" s="155">
        <v>44054.0</v>
      </c>
      <c r="B309" s="21" t="s">
        <v>329</v>
      </c>
      <c r="C309" s="21" t="s">
        <v>330</v>
      </c>
      <c r="D309" s="156">
        <v>66000.0</v>
      </c>
      <c r="E309" s="21" t="s">
        <v>205</v>
      </c>
      <c r="F309" s="156">
        <v>0.0</v>
      </c>
      <c r="G309" s="156">
        <v>66000.0</v>
      </c>
      <c r="H309" s="156">
        <v>0.0</v>
      </c>
      <c r="I309" s="156">
        <v>0.0</v>
      </c>
      <c r="J309" s="156">
        <v>0.0</v>
      </c>
    </row>
    <row r="310">
      <c r="A310" s="155">
        <v>44054.0</v>
      </c>
      <c r="B310" s="21" t="s">
        <v>331</v>
      </c>
      <c r="C310" s="21" t="s">
        <v>332</v>
      </c>
      <c r="D310" s="156">
        <v>16500.0</v>
      </c>
      <c r="E310" s="21" t="s">
        <v>205</v>
      </c>
      <c r="F310" s="156">
        <v>0.0</v>
      </c>
      <c r="G310" s="156">
        <v>16500.0</v>
      </c>
      <c r="H310" s="156">
        <v>0.0</v>
      </c>
      <c r="I310" s="156">
        <v>0.0</v>
      </c>
      <c r="J310" s="156">
        <v>0.0</v>
      </c>
    </row>
    <row r="311">
      <c r="A311" s="155">
        <v>44054.0</v>
      </c>
      <c r="B311" s="21" t="s">
        <v>333</v>
      </c>
      <c r="C311" s="21" t="s">
        <v>251</v>
      </c>
      <c r="D311" s="156">
        <v>10000.0</v>
      </c>
      <c r="E311" s="21" t="s">
        <v>205</v>
      </c>
      <c r="F311" s="156">
        <v>0.0</v>
      </c>
      <c r="G311" s="156">
        <v>10000.0</v>
      </c>
      <c r="H311" s="156">
        <v>0.0</v>
      </c>
      <c r="I311" s="156">
        <v>0.0</v>
      </c>
      <c r="J311" s="156">
        <v>0.0</v>
      </c>
    </row>
    <row r="312">
      <c r="A312" s="155">
        <v>44054.0</v>
      </c>
      <c r="B312" s="21" t="s">
        <v>183</v>
      </c>
      <c r="C312" s="21" t="s">
        <v>223</v>
      </c>
      <c r="D312" s="156">
        <v>375900.0</v>
      </c>
      <c r="E312" s="21" t="s">
        <v>211</v>
      </c>
      <c r="F312" s="156">
        <v>0.0</v>
      </c>
      <c r="G312" s="156">
        <v>0.0</v>
      </c>
      <c r="H312" s="156">
        <v>0.0</v>
      </c>
      <c r="I312" s="156">
        <v>375900.0</v>
      </c>
      <c r="J312" s="156">
        <v>0.0</v>
      </c>
    </row>
    <row r="313">
      <c r="A313" s="155">
        <v>44054.0</v>
      </c>
      <c r="B313" s="21" t="s">
        <v>220</v>
      </c>
      <c r="C313" s="21" t="s">
        <v>221</v>
      </c>
      <c r="D313" s="156">
        <v>6000000.0</v>
      </c>
      <c r="E313" s="21" t="s">
        <v>201</v>
      </c>
      <c r="F313" s="156">
        <v>0.0</v>
      </c>
      <c r="G313" s="156">
        <v>0.0</v>
      </c>
      <c r="H313" s="156">
        <v>6000000.0</v>
      </c>
      <c r="I313" s="156">
        <v>0.0</v>
      </c>
      <c r="J313" s="156">
        <v>0.0</v>
      </c>
    </row>
    <row r="314">
      <c r="A314" s="155">
        <v>44054.0</v>
      </c>
      <c r="B314" s="21" t="s">
        <v>216</v>
      </c>
      <c r="C314" s="21" t="s">
        <v>221</v>
      </c>
      <c r="D314" s="156">
        <v>4900000.0</v>
      </c>
      <c r="E314" s="21" t="s">
        <v>201</v>
      </c>
      <c r="F314" s="156">
        <v>0.0</v>
      </c>
      <c r="G314" s="156">
        <v>0.0</v>
      </c>
      <c r="H314" s="156">
        <v>4900000.0</v>
      </c>
      <c r="I314" s="156">
        <v>0.0</v>
      </c>
      <c r="J314" s="156">
        <v>0.0</v>
      </c>
    </row>
    <row r="315">
      <c r="A315" s="155">
        <v>44054.0</v>
      </c>
      <c r="B315" s="21" t="s">
        <v>146</v>
      </c>
      <c r="C315" s="21" t="s">
        <v>334</v>
      </c>
      <c r="D315" s="156">
        <v>3000000.0</v>
      </c>
      <c r="E315" s="21" t="s">
        <v>202</v>
      </c>
      <c r="F315" s="156">
        <v>0.0</v>
      </c>
      <c r="G315" s="156">
        <v>0.0</v>
      </c>
      <c r="H315" s="156">
        <v>0.0</v>
      </c>
      <c r="I315" s="156">
        <v>0.0</v>
      </c>
      <c r="J315" s="156">
        <v>0.0</v>
      </c>
    </row>
    <row r="316">
      <c r="A316" s="155">
        <v>44054.0</v>
      </c>
      <c r="B316" s="21" t="s">
        <v>146</v>
      </c>
      <c r="C316" s="21" t="s">
        <v>335</v>
      </c>
      <c r="D316" s="156">
        <v>100000.0</v>
      </c>
      <c r="E316" s="21" t="s">
        <v>202</v>
      </c>
      <c r="F316" s="156">
        <v>0.0</v>
      </c>
      <c r="G316" s="156">
        <v>0.0</v>
      </c>
      <c r="H316" s="156">
        <v>0.0</v>
      </c>
      <c r="I316" s="156">
        <v>0.0</v>
      </c>
      <c r="J316" s="156">
        <v>0.0</v>
      </c>
    </row>
    <row r="317">
      <c r="A317" s="155">
        <v>44054.0</v>
      </c>
      <c r="B317" s="21" t="s">
        <v>126</v>
      </c>
      <c r="C317" s="21" t="s">
        <v>90</v>
      </c>
      <c r="D317" s="156">
        <v>1000000.0</v>
      </c>
      <c r="E317" s="21" t="s">
        <v>202</v>
      </c>
      <c r="F317" s="156">
        <v>0.0</v>
      </c>
      <c r="G317" s="156">
        <v>0.0</v>
      </c>
      <c r="H317" s="156">
        <v>0.0</v>
      </c>
      <c r="I317" s="156">
        <v>0.0</v>
      </c>
      <c r="J317" s="156">
        <v>0.0</v>
      </c>
    </row>
    <row r="318">
      <c r="A318" s="155">
        <v>44054.0</v>
      </c>
      <c r="B318" s="21" t="s">
        <v>150</v>
      </c>
      <c r="C318" s="21" t="s">
        <v>90</v>
      </c>
      <c r="D318" s="156">
        <v>512000.0</v>
      </c>
      <c r="E318" s="21" t="s">
        <v>202</v>
      </c>
      <c r="F318" s="156">
        <v>0.0</v>
      </c>
      <c r="G318" s="156">
        <v>0.0</v>
      </c>
      <c r="H318" s="156">
        <v>0.0</v>
      </c>
      <c r="I318" s="156">
        <v>0.0</v>
      </c>
      <c r="J318" s="156">
        <v>0.0</v>
      </c>
    </row>
    <row r="319">
      <c r="A319" s="155">
        <v>44054.0</v>
      </c>
      <c r="B319" s="21" t="s">
        <v>46</v>
      </c>
      <c r="C319" s="21" t="s">
        <v>336</v>
      </c>
      <c r="D319" s="156">
        <v>1500000.0</v>
      </c>
      <c r="E319" s="21" t="s">
        <v>202</v>
      </c>
      <c r="F319" s="156">
        <v>0.0</v>
      </c>
      <c r="G319" s="156">
        <v>0.0</v>
      </c>
      <c r="H319" s="156">
        <v>0.0</v>
      </c>
      <c r="I319" s="156">
        <v>0.0</v>
      </c>
      <c r="J319" s="156">
        <v>0.0</v>
      </c>
    </row>
    <row r="320">
      <c r="A320" s="155">
        <v>44054.0</v>
      </c>
      <c r="B320" s="21" t="s">
        <v>118</v>
      </c>
      <c r="C320" s="21" t="s">
        <v>90</v>
      </c>
      <c r="D320" s="156">
        <v>10000.0</v>
      </c>
      <c r="E320" s="21" t="s">
        <v>202</v>
      </c>
      <c r="F320" s="156">
        <v>0.0</v>
      </c>
      <c r="G320" s="156">
        <v>0.0</v>
      </c>
      <c r="H320" s="156">
        <v>0.0</v>
      </c>
      <c r="I320" s="156">
        <v>0.0</v>
      </c>
      <c r="J320" s="156">
        <v>0.0</v>
      </c>
    </row>
    <row r="321">
      <c r="A321" s="155">
        <v>44054.0</v>
      </c>
      <c r="B321" s="21" t="s">
        <v>123</v>
      </c>
      <c r="C321" s="21" t="s">
        <v>90</v>
      </c>
      <c r="D321" s="156">
        <v>429600.0</v>
      </c>
      <c r="E321" s="21" t="s">
        <v>202</v>
      </c>
      <c r="F321" s="156">
        <v>0.0</v>
      </c>
      <c r="G321" s="156">
        <v>0.0</v>
      </c>
      <c r="H321" s="156">
        <v>0.0</v>
      </c>
      <c r="I321" s="156">
        <v>0.0</v>
      </c>
      <c r="J321" s="156">
        <v>0.0</v>
      </c>
    </row>
    <row r="322">
      <c r="A322" s="155">
        <v>44054.0</v>
      </c>
      <c r="B322" s="21" t="s">
        <v>151</v>
      </c>
      <c r="C322" s="21" t="s">
        <v>90</v>
      </c>
      <c r="D322" s="156">
        <v>670000.0</v>
      </c>
      <c r="E322" s="21" t="s">
        <v>202</v>
      </c>
      <c r="F322" s="156">
        <v>0.0</v>
      </c>
      <c r="G322" s="156">
        <v>0.0</v>
      </c>
      <c r="H322" s="156">
        <v>0.0</v>
      </c>
      <c r="I322" s="156">
        <v>0.0</v>
      </c>
      <c r="J322" s="156">
        <v>0.0</v>
      </c>
    </row>
    <row r="323">
      <c r="A323" s="155">
        <v>44054.0</v>
      </c>
      <c r="B323" s="21" t="s">
        <v>159</v>
      </c>
      <c r="C323" s="21" t="s">
        <v>90</v>
      </c>
      <c r="D323" s="156">
        <v>500000.0</v>
      </c>
      <c r="E323" s="21" t="s">
        <v>202</v>
      </c>
      <c r="F323" s="156">
        <v>0.0</v>
      </c>
      <c r="G323" s="156">
        <v>0.0</v>
      </c>
      <c r="H323" s="156">
        <v>0.0</v>
      </c>
      <c r="I323" s="156">
        <v>0.0</v>
      </c>
      <c r="J323" s="156">
        <v>0.0</v>
      </c>
    </row>
    <row r="324">
      <c r="A324" s="155">
        <v>44054.0</v>
      </c>
      <c r="B324" s="21" t="s">
        <v>165</v>
      </c>
      <c r="C324" s="21" t="s">
        <v>90</v>
      </c>
      <c r="D324" s="156">
        <v>300000.0</v>
      </c>
      <c r="E324" s="21" t="s">
        <v>202</v>
      </c>
      <c r="F324" s="156">
        <v>0.0</v>
      </c>
      <c r="G324" s="156">
        <v>0.0</v>
      </c>
      <c r="H324" s="156">
        <v>0.0</v>
      </c>
      <c r="I324" s="156">
        <v>0.0</v>
      </c>
      <c r="J324" s="156">
        <v>0.0</v>
      </c>
    </row>
    <row r="325">
      <c r="A325" s="155">
        <v>44054.0</v>
      </c>
      <c r="B325" s="21" t="s">
        <v>107</v>
      </c>
      <c r="C325" s="21" t="s">
        <v>90</v>
      </c>
      <c r="D325" s="156">
        <v>200000.0</v>
      </c>
      <c r="E325" s="21" t="s">
        <v>202</v>
      </c>
      <c r="F325" s="156">
        <v>0.0</v>
      </c>
      <c r="G325" s="156">
        <v>0.0</v>
      </c>
      <c r="H325" s="156">
        <v>0.0</v>
      </c>
      <c r="I325" s="156">
        <v>0.0</v>
      </c>
      <c r="J325" s="156">
        <v>0.0</v>
      </c>
    </row>
    <row r="326">
      <c r="A326" s="155">
        <v>44054.0</v>
      </c>
      <c r="B326" s="21" t="s">
        <v>169</v>
      </c>
      <c r="C326" s="21" t="s">
        <v>90</v>
      </c>
      <c r="D326" s="156">
        <v>200000.0</v>
      </c>
      <c r="E326" s="21" t="s">
        <v>202</v>
      </c>
      <c r="F326" s="156">
        <v>0.0</v>
      </c>
      <c r="G326" s="156">
        <v>0.0</v>
      </c>
      <c r="H326" s="156">
        <v>0.0</v>
      </c>
      <c r="I326" s="156">
        <v>0.0</v>
      </c>
      <c r="J326" s="156">
        <v>0.0</v>
      </c>
    </row>
    <row r="327">
      <c r="A327" s="155">
        <v>44054.0</v>
      </c>
      <c r="B327" s="21" t="s">
        <v>169</v>
      </c>
      <c r="C327" s="21" t="s">
        <v>336</v>
      </c>
      <c r="D327" s="156">
        <v>300000.0</v>
      </c>
      <c r="E327" s="21" t="s">
        <v>202</v>
      </c>
      <c r="F327" s="156">
        <v>0.0</v>
      </c>
      <c r="G327" s="156">
        <v>0.0</v>
      </c>
      <c r="H327" s="156">
        <v>0.0</v>
      </c>
      <c r="I327" s="156">
        <v>0.0</v>
      </c>
      <c r="J327" s="156">
        <v>0.0</v>
      </c>
    </row>
    <row r="328">
      <c r="A328" s="155">
        <v>44054.0</v>
      </c>
      <c r="B328" s="21" t="s">
        <v>156</v>
      </c>
      <c r="C328" s="21" t="s">
        <v>90</v>
      </c>
      <c r="D328" s="156">
        <v>600000.0</v>
      </c>
      <c r="E328" s="21" t="s">
        <v>202</v>
      </c>
      <c r="F328" s="156">
        <v>0.0</v>
      </c>
      <c r="G328" s="156">
        <v>0.0</v>
      </c>
      <c r="H328" s="156">
        <v>0.0</v>
      </c>
      <c r="I328" s="156">
        <v>0.0</v>
      </c>
      <c r="J328" s="156">
        <v>0.0</v>
      </c>
    </row>
    <row r="329">
      <c r="A329" s="155">
        <v>44054.0</v>
      </c>
      <c r="B329" s="21" t="s">
        <v>36</v>
      </c>
      <c r="C329" s="21" t="s">
        <v>297</v>
      </c>
      <c r="D329" s="156">
        <v>200000.0</v>
      </c>
      <c r="E329" s="21" t="s">
        <v>202</v>
      </c>
      <c r="F329" s="156">
        <v>0.0</v>
      </c>
      <c r="G329" s="156">
        <v>0.0</v>
      </c>
      <c r="H329" s="156">
        <v>0.0</v>
      </c>
      <c r="I329" s="156">
        <v>0.0</v>
      </c>
      <c r="J329" s="156">
        <v>0.0</v>
      </c>
    </row>
    <row r="330">
      <c r="A330" s="155">
        <v>44054.0</v>
      </c>
      <c r="B330" s="21" t="s">
        <v>124</v>
      </c>
      <c r="C330" s="21" t="s">
        <v>90</v>
      </c>
      <c r="D330" s="156">
        <v>500000.0</v>
      </c>
      <c r="E330" s="21" t="s">
        <v>202</v>
      </c>
      <c r="F330" s="156">
        <v>0.0</v>
      </c>
      <c r="G330" s="156">
        <v>0.0</v>
      </c>
      <c r="H330" s="156">
        <v>0.0</v>
      </c>
      <c r="I330" s="156">
        <v>0.0</v>
      </c>
      <c r="J330" s="156">
        <v>0.0</v>
      </c>
    </row>
    <row r="331">
      <c r="A331" s="155">
        <v>44055.0</v>
      </c>
      <c r="B331" s="21" t="s">
        <v>147</v>
      </c>
      <c r="C331" s="21" t="s">
        <v>337</v>
      </c>
      <c r="D331" s="156">
        <v>100000.0</v>
      </c>
      <c r="E331" s="21" t="s">
        <v>202</v>
      </c>
      <c r="F331" s="156">
        <v>0.0</v>
      </c>
      <c r="G331" s="156">
        <v>0.0</v>
      </c>
      <c r="H331" s="156">
        <v>0.0</v>
      </c>
      <c r="I331" s="156">
        <v>0.0</v>
      </c>
      <c r="J331" s="156">
        <v>0.0</v>
      </c>
    </row>
    <row r="332">
      <c r="A332" s="155">
        <v>44055.0</v>
      </c>
      <c r="B332" s="21" t="s">
        <v>150</v>
      </c>
      <c r="C332" s="21" t="s">
        <v>338</v>
      </c>
      <c r="D332" s="156">
        <v>1250000.0</v>
      </c>
      <c r="E332" s="21" t="s">
        <v>202</v>
      </c>
      <c r="F332" s="156">
        <v>0.0</v>
      </c>
      <c r="G332" s="156">
        <v>0.0</v>
      </c>
      <c r="H332" s="156">
        <v>0.0</v>
      </c>
      <c r="I332" s="156">
        <v>0.0</v>
      </c>
      <c r="J332" s="156">
        <v>0.0</v>
      </c>
    </row>
    <row r="333">
      <c r="A333" s="155">
        <v>44055.0</v>
      </c>
      <c r="B333" s="21" t="s">
        <v>170</v>
      </c>
      <c r="C333" s="21" t="s">
        <v>195</v>
      </c>
      <c r="D333" s="156">
        <v>500000.0</v>
      </c>
      <c r="E333" s="21" t="s">
        <v>202</v>
      </c>
      <c r="F333" s="156">
        <v>0.0</v>
      </c>
      <c r="G333" s="156">
        <v>0.0</v>
      </c>
      <c r="H333" s="156">
        <v>0.0</v>
      </c>
      <c r="I333" s="156">
        <v>0.0</v>
      </c>
      <c r="J333" s="156">
        <v>0.0</v>
      </c>
    </row>
    <row r="334">
      <c r="A334" s="155">
        <v>44055.0</v>
      </c>
      <c r="B334" s="21" t="s">
        <v>296</v>
      </c>
      <c r="C334" s="21" t="s">
        <v>217</v>
      </c>
      <c r="D334" s="156">
        <v>3000.0</v>
      </c>
      <c r="E334" s="21" t="s">
        <v>205</v>
      </c>
      <c r="F334" s="156">
        <v>0.0</v>
      </c>
      <c r="G334" s="156">
        <v>3000.0</v>
      </c>
      <c r="H334" s="156">
        <v>0.0</v>
      </c>
      <c r="I334" s="156">
        <v>0.0</v>
      </c>
      <c r="J334" s="156">
        <v>0.0</v>
      </c>
    </row>
    <row r="335">
      <c r="A335" s="155">
        <v>44055.0</v>
      </c>
      <c r="B335" s="21" t="s">
        <v>248</v>
      </c>
      <c r="C335" s="21" t="s">
        <v>339</v>
      </c>
      <c r="D335" s="156">
        <v>1500.0</v>
      </c>
      <c r="E335" s="21" t="s">
        <v>205</v>
      </c>
      <c r="F335" s="156">
        <v>0.0</v>
      </c>
      <c r="G335" s="156">
        <v>1500.0</v>
      </c>
      <c r="H335" s="156">
        <v>0.0</v>
      </c>
      <c r="I335" s="156">
        <v>0.0</v>
      </c>
      <c r="J335" s="156">
        <v>0.0</v>
      </c>
    </row>
    <row r="336">
      <c r="A336" s="155">
        <v>44055.0</v>
      </c>
      <c r="B336" s="21" t="s">
        <v>220</v>
      </c>
      <c r="C336" s="21" t="s">
        <v>284</v>
      </c>
      <c r="D336" s="156">
        <v>500.0</v>
      </c>
      <c r="E336" s="21" t="s">
        <v>205</v>
      </c>
      <c r="F336" s="156">
        <v>0.0</v>
      </c>
      <c r="G336" s="156">
        <v>500.0</v>
      </c>
      <c r="H336" s="156">
        <v>0.0</v>
      </c>
      <c r="I336" s="156">
        <v>0.0</v>
      </c>
      <c r="J336" s="156">
        <v>0.0</v>
      </c>
    </row>
    <row r="337">
      <c r="A337" s="155">
        <v>44055.0</v>
      </c>
      <c r="B337" s="21" t="s">
        <v>340</v>
      </c>
      <c r="C337" s="21" t="s">
        <v>341</v>
      </c>
      <c r="D337" s="156">
        <v>7000.0</v>
      </c>
      <c r="E337" s="21" t="s">
        <v>205</v>
      </c>
      <c r="F337" s="156">
        <v>0.0</v>
      </c>
      <c r="G337" s="156">
        <v>7000.0</v>
      </c>
      <c r="H337" s="156">
        <v>0.0</v>
      </c>
      <c r="I337" s="156">
        <v>0.0</v>
      </c>
      <c r="J337" s="156">
        <v>0.0</v>
      </c>
    </row>
    <row r="338">
      <c r="A338" s="155">
        <v>44055.0</v>
      </c>
      <c r="B338" s="21" t="s">
        <v>183</v>
      </c>
      <c r="C338" s="21" t="s">
        <v>223</v>
      </c>
      <c r="D338" s="156">
        <v>12000.0</v>
      </c>
      <c r="E338" s="21" t="s">
        <v>211</v>
      </c>
      <c r="F338" s="156">
        <v>0.0</v>
      </c>
      <c r="G338" s="156">
        <v>0.0</v>
      </c>
      <c r="H338" s="156">
        <v>0.0</v>
      </c>
      <c r="I338" s="156">
        <v>12000.0</v>
      </c>
      <c r="J338" s="156">
        <v>0.0</v>
      </c>
    </row>
    <row r="339">
      <c r="A339" s="155">
        <v>44055.0</v>
      </c>
      <c r="B339" s="21" t="s">
        <v>220</v>
      </c>
      <c r="C339" s="21" t="s">
        <v>221</v>
      </c>
      <c r="D339" s="156">
        <v>1880000.0</v>
      </c>
      <c r="E339" s="21" t="s">
        <v>201</v>
      </c>
      <c r="F339" s="156">
        <v>0.0</v>
      </c>
      <c r="G339" s="156">
        <v>0.0</v>
      </c>
      <c r="H339" s="156">
        <v>1880000.0</v>
      </c>
      <c r="I339" s="156">
        <v>0.0</v>
      </c>
      <c r="J339" s="156">
        <v>0.0</v>
      </c>
    </row>
    <row r="340">
      <c r="A340" s="155">
        <v>44056.0</v>
      </c>
      <c r="B340" s="21" t="s">
        <v>110</v>
      </c>
      <c r="C340" s="21" t="s">
        <v>195</v>
      </c>
      <c r="D340" s="156">
        <v>1000000.0</v>
      </c>
      <c r="E340" s="21" t="s">
        <v>202</v>
      </c>
      <c r="F340" s="156">
        <v>0.0</v>
      </c>
      <c r="G340" s="156">
        <v>0.0</v>
      </c>
      <c r="H340" s="156">
        <v>0.0</v>
      </c>
      <c r="I340" s="156">
        <v>0.0</v>
      </c>
      <c r="J340" s="156">
        <v>0.0</v>
      </c>
    </row>
    <row r="341">
      <c r="A341" s="155">
        <v>44056.0</v>
      </c>
      <c r="B341" s="21" t="s">
        <v>46</v>
      </c>
      <c r="C341" s="21" t="s">
        <v>195</v>
      </c>
      <c r="D341" s="156">
        <v>500000.0</v>
      </c>
      <c r="E341" s="21" t="s">
        <v>202</v>
      </c>
      <c r="F341" s="156">
        <v>0.0</v>
      </c>
      <c r="G341" s="156">
        <v>0.0</v>
      </c>
      <c r="H341" s="156">
        <v>0.0</v>
      </c>
      <c r="I341" s="156">
        <v>0.0</v>
      </c>
      <c r="J341" s="156">
        <v>0.0</v>
      </c>
    </row>
    <row r="342">
      <c r="A342" s="155">
        <v>44056.0</v>
      </c>
      <c r="B342" s="21" t="s">
        <v>296</v>
      </c>
      <c r="C342" s="21" t="s">
        <v>342</v>
      </c>
      <c r="D342" s="156">
        <v>3500.0</v>
      </c>
      <c r="E342" s="21" t="s">
        <v>205</v>
      </c>
      <c r="F342" s="156">
        <v>0.0</v>
      </c>
      <c r="G342" s="156">
        <v>3500.0</v>
      </c>
      <c r="H342" s="156">
        <v>0.0</v>
      </c>
      <c r="I342" s="156">
        <v>0.0</v>
      </c>
      <c r="J342" s="156">
        <v>0.0</v>
      </c>
    </row>
    <row r="343">
      <c r="A343" s="155">
        <v>44056.0</v>
      </c>
      <c r="B343" s="21" t="s">
        <v>248</v>
      </c>
      <c r="C343" s="21" t="s">
        <v>343</v>
      </c>
      <c r="D343" s="156">
        <v>2000.0</v>
      </c>
      <c r="E343" s="21" t="s">
        <v>205</v>
      </c>
      <c r="F343" s="156">
        <v>0.0</v>
      </c>
      <c r="G343" s="156">
        <v>2000.0</v>
      </c>
      <c r="H343" s="156">
        <v>0.0</v>
      </c>
      <c r="I343" s="156">
        <v>0.0</v>
      </c>
      <c r="J343" s="156">
        <v>0.0</v>
      </c>
    </row>
    <row r="344">
      <c r="A344" s="155">
        <v>44056.0</v>
      </c>
      <c r="B344" s="21" t="s">
        <v>296</v>
      </c>
      <c r="C344" s="21" t="s">
        <v>344</v>
      </c>
      <c r="D344" s="156">
        <v>3000.0</v>
      </c>
      <c r="E344" s="21" t="s">
        <v>205</v>
      </c>
      <c r="F344" s="156">
        <v>0.0</v>
      </c>
      <c r="G344" s="156">
        <v>3000.0</v>
      </c>
      <c r="H344" s="156">
        <v>0.0</v>
      </c>
      <c r="I344" s="156">
        <v>0.0</v>
      </c>
      <c r="J344" s="156">
        <v>0.0</v>
      </c>
    </row>
    <row r="345">
      <c r="A345" s="155">
        <v>44056.0</v>
      </c>
      <c r="B345" s="21" t="s">
        <v>220</v>
      </c>
      <c r="C345" s="21" t="s">
        <v>229</v>
      </c>
      <c r="D345" s="156">
        <v>2000.0</v>
      </c>
      <c r="E345" s="21" t="s">
        <v>205</v>
      </c>
      <c r="F345" s="156">
        <v>0.0</v>
      </c>
      <c r="G345" s="156">
        <v>2000.0</v>
      </c>
      <c r="H345" s="156">
        <v>0.0</v>
      </c>
      <c r="I345" s="156">
        <v>0.0</v>
      </c>
      <c r="J345" s="156">
        <v>0.0</v>
      </c>
    </row>
    <row r="346">
      <c r="A346" s="155">
        <v>44056.0</v>
      </c>
      <c r="B346" s="21" t="s">
        <v>273</v>
      </c>
      <c r="C346" s="21" t="s">
        <v>345</v>
      </c>
      <c r="D346" s="156">
        <v>1000.0</v>
      </c>
      <c r="E346" s="21" t="s">
        <v>205</v>
      </c>
      <c r="F346" s="156">
        <v>0.0</v>
      </c>
      <c r="G346" s="156">
        <v>1000.0</v>
      </c>
      <c r="H346" s="156">
        <v>0.0</v>
      </c>
      <c r="I346" s="156">
        <v>0.0</v>
      </c>
      <c r="J346" s="156">
        <v>0.0</v>
      </c>
    </row>
    <row r="347">
      <c r="A347" s="155">
        <v>44056.0</v>
      </c>
      <c r="B347" s="21" t="s">
        <v>183</v>
      </c>
      <c r="C347" s="21" t="s">
        <v>198</v>
      </c>
      <c r="D347" s="156">
        <v>287000.0</v>
      </c>
      <c r="E347" s="21" t="s">
        <v>211</v>
      </c>
      <c r="F347" s="156">
        <v>0.0</v>
      </c>
      <c r="G347" s="156">
        <v>0.0</v>
      </c>
      <c r="H347" s="156">
        <v>0.0</v>
      </c>
      <c r="I347" s="156">
        <v>287000.0</v>
      </c>
      <c r="J347" s="156">
        <v>0.0</v>
      </c>
    </row>
    <row r="348">
      <c r="A348" s="155">
        <v>44056.0</v>
      </c>
      <c r="B348" s="21" t="s">
        <v>220</v>
      </c>
      <c r="C348" s="21" t="s">
        <v>346</v>
      </c>
      <c r="D348" s="156">
        <v>1800000.0</v>
      </c>
      <c r="E348" s="21" t="s">
        <v>201</v>
      </c>
      <c r="F348" s="156">
        <v>0.0</v>
      </c>
      <c r="G348" s="156">
        <v>0.0</v>
      </c>
      <c r="H348" s="156">
        <v>1800000.0</v>
      </c>
      <c r="I348" s="156">
        <v>0.0</v>
      </c>
      <c r="J348" s="156">
        <v>0.0</v>
      </c>
    </row>
    <row r="349">
      <c r="A349" s="155">
        <v>44055.0</v>
      </c>
      <c r="B349" s="21" t="s">
        <v>117</v>
      </c>
      <c r="C349" s="21" t="s">
        <v>90</v>
      </c>
      <c r="D349" s="156">
        <v>1000000.0</v>
      </c>
      <c r="E349" s="21" t="s">
        <v>202</v>
      </c>
      <c r="F349" s="156">
        <v>0.0</v>
      </c>
      <c r="G349" s="156">
        <v>0.0</v>
      </c>
      <c r="H349" s="156">
        <v>0.0</v>
      </c>
      <c r="I349" s="156">
        <v>0.0</v>
      </c>
      <c r="J349" s="156">
        <v>0.0</v>
      </c>
    </row>
    <row r="350">
      <c r="A350" s="155">
        <v>44055.0</v>
      </c>
      <c r="B350" s="21" t="s">
        <v>150</v>
      </c>
      <c r="C350" s="21" t="s">
        <v>347</v>
      </c>
      <c r="D350" s="156">
        <v>-1000000.0</v>
      </c>
      <c r="E350" s="21" t="s">
        <v>202</v>
      </c>
      <c r="F350" s="156">
        <v>0.0</v>
      </c>
      <c r="G350" s="156">
        <v>0.0</v>
      </c>
      <c r="H350" s="156">
        <v>0.0</v>
      </c>
      <c r="I350" s="156">
        <v>0.0</v>
      </c>
      <c r="J350" s="156">
        <v>0.0</v>
      </c>
    </row>
    <row r="351">
      <c r="A351" s="155">
        <v>44057.0</v>
      </c>
      <c r="B351" s="21" t="s">
        <v>125</v>
      </c>
      <c r="C351" s="21" t="s">
        <v>348</v>
      </c>
      <c r="D351" s="156">
        <v>30000.0</v>
      </c>
      <c r="E351" s="21" t="s">
        <v>202</v>
      </c>
      <c r="F351" s="156">
        <v>0.0</v>
      </c>
      <c r="G351" s="156">
        <v>0.0</v>
      </c>
      <c r="H351" s="156">
        <v>0.0</v>
      </c>
      <c r="I351" s="156">
        <v>0.0</v>
      </c>
      <c r="J351" s="156">
        <v>0.0</v>
      </c>
    </row>
    <row r="352">
      <c r="A352" s="155">
        <v>44057.0</v>
      </c>
      <c r="B352" s="21" t="s">
        <v>170</v>
      </c>
      <c r="C352" s="21" t="s">
        <v>195</v>
      </c>
      <c r="D352" s="156">
        <v>330000.0</v>
      </c>
      <c r="E352" s="21" t="s">
        <v>202</v>
      </c>
      <c r="F352" s="156">
        <v>0.0</v>
      </c>
      <c r="G352" s="156">
        <v>0.0</v>
      </c>
      <c r="H352" s="156">
        <v>0.0</v>
      </c>
      <c r="I352" s="156">
        <v>0.0</v>
      </c>
      <c r="J352" s="156">
        <v>0.0</v>
      </c>
    </row>
    <row r="353">
      <c r="A353" s="155">
        <v>44057.0</v>
      </c>
      <c r="B353" s="21" t="s">
        <v>167</v>
      </c>
      <c r="C353" s="21" t="s">
        <v>195</v>
      </c>
      <c r="D353" s="156">
        <v>500000.0</v>
      </c>
      <c r="E353" s="21" t="s">
        <v>202</v>
      </c>
      <c r="F353" s="156">
        <v>0.0</v>
      </c>
      <c r="G353" s="156">
        <v>0.0</v>
      </c>
      <c r="H353" s="156">
        <v>0.0</v>
      </c>
      <c r="I353" s="156">
        <v>0.0</v>
      </c>
      <c r="J353" s="156">
        <v>0.0</v>
      </c>
    </row>
    <row r="354">
      <c r="A354" s="155">
        <v>44057.0</v>
      </c>
      <c r="B354" s="21" t="s">
        <v>296</v>
      </c>
      <c r="C354" s="21" t="s">
        <v>349</v>
      </c>
      <c r="D354" s="156">
        <v>4000.0</v>
      </c>
      <c r="E354" s="21" t="s">
        <v>205</v>
      </c>
      <c r="F354" s="156">
        <v>0.0</v>
      </c>
      <c r="G354" s="156">
        <v>4000.0</v>
      </c>
      <c r="H354" s="156">
        <v>0.0</v>
      </c>
      <c r="I354" s="156">
        <v>0.0</v>
      </c>
      <c r="J354" s="156">
        <v>0.0</v>
      </c>
    </row>
    <row r="355">
      <c r="A355" s="155">
        <v>44057.0</v>
      </c>
      <c r="B355" s="21" t="s">
        <v>350</v>
      </c>
      <c r="C355" s="21" t="s">
        <v>351</v>
      </c>
      <c r="D355" s="156">
        <v>200.0</v>
      </c>
      <c r="E355" s="21" t="s">
        <v>205</v>
      </c>
      <c r="F355" s="156">
        <v>0.0</v>
      </c>
      <c r="G355" s="156">
        <v>200.0</v>
      </c>
      <c r="H355" s="156">
        <v>0.0</v>
      </c>
      <c r="I355" s="156">
        <v>0.0</v>
      </c>
      <c r="J355" s="156">
        <v>0.0</v>
      </c>
    </row>
    <row r="356">
      <c r="A356" s="155">
        <v>44057.0</v>
      </c>
      <c r="B356" s="21" t="s">
        <v>296</v>
      </c>
      <c r="C356" s="21" t="s">
        <v>352</v>
      </c>
      <c r="D356" s="156">
        <v>3000.0</v>
      </c>
      <c r="E356" s="21" t="s">
        <v>205</v>
      </c>
      <c r="F356" s="156">
        <v>0.0</v>
      </c>
      <c r="G356" s="156">
        <v>3000.0</v>
      </c>
      <c r="H356" s="156">
        <v>0.0</v>
      </c>
      <c r="I356" s="156">
        <v>0.0</v>
      </c>
      <c r="J356" s="156">
        <v>0.0</v>
      </c>
    </row>
    <row r="357">
      <c r="A357" s="155">
        <v>44057.0</v>
      </c>
      <c r="B357" s="21" t="s">
        <v>248</v>
      </c>
      <c r="C357" s="21" t="s">
        <v>353</v>
      </c>
      <c r="D357" s="156">
        <v>2500.0</v>
      </c>
      <c r="E357" s="21" t="s">
        <v>205</v>
      </c>
      <c r="F357" s="156">
        <v>0.0</v>
      </c>
      <c r="G357" s="156">
        <v>2500.0</v>
      </c>
      <c r="H357" s="156">
        <v>0.0</v>
      </c>
      <c r="I357" s="156">
        <v>0.0</v>
      </c>
      <c r="J357" s="156">
        <v>0.0</v>
      </c>
    </row>
    <row r="358">
      <c r="A358" s="155">
        <v>44057.0</v>
      </c>
      <c r="B358" s="21" t="s">
        <v>220</v>
      </c>
      <c r="C358" s="21" t="s">
        <v>348</v>
      </c>
      <c r="D358" s="156">
        <v>2000.0</v>
      </c>
      <c r="E358" s="21" t="s">
        <v>205</v>
      </c>
      <c r="F358" s="156">
        <v>0.0</v>
      </c>
      <c r="G358" s="156">
        <v>2000.0</v>
      </c>
      <c r="H358" s="156">
        <v>0.0</v>
      </c>
      <c r="I358" s="156">
        <v>0.0</v>
      </c>
      <c r="J358" s="156">
        <v>0.0</v>
      </c>
    </row>
    <row r="359">
      <c r="A359" s="155">
        <v>44057.0</v>
      </c>
      <c r="B359" s="21" t="s">
        <v>167</v>
      </c>
      <c r="C359" s="21" t="s">
        <v>354</v>
      </c>
      <c r="D359" s="156">
        <v>20000.0</v>
      </c>
      <c r="E359" s="21" t="s">
        <v>202</v>
      </c>
      <c r="F359" s="156">
        <v>0.0</v>
      </c>
      <c r="G359" s="156">
        <v>0.0</v>
      </c>
      <c r="H359" s="156">
        <v>0.0</v>
      </c>
      <c r="I359" s="156">
        <v>0.0</v>
      </c>
      <c r="J359" s="156">
        <v>0.0</v>
      </c>
    </row>
    <row r="360">
      <c r="A360" s="155">
        <v>44057.0</v>
      </c>
      <c r="B360" s="21" t="s">
        <v>183</v>
      </c>
      <c r="C360" s="21" t="s">
        <v>223</v>
      </c>
      <c r="D360" s="156">
        <v>11700.0</v>
      </c>
      <c r="E360" s="21" t="s">
        <v>211</v>
      </c>
      <c r="F360" s="156">
        <v>0.0</v>
      </c>
      <c r="G360" s="156">
        <v>0.0</v>
      </c>
      <c r="H360" s="156">
        <v>0.0</v>
      </c>
      <c r="I360" s="156">
        <v>11700.0</v>
      </c>
      <c r="J360" s="156">
        <v>0.0</v>
      </c>
    </row>
    <row r="361">
      <c r="A361" s="155">
        <v>44057.0</v>
      </c>
      <c r="B361" s="21" t="s">
        <v>220</v>
      </c>
      <c r="C361" s="21" t="s">
        <v>221</v>
      </c>
      <c r="D361" s="156">
        <v>2300000.0</v>
      </c>
      <c r="E361" s="21" t="s">
        <v>201</v>
      </c>
      <c r="F361" s="156">
        <v>0.0</v>
      </c>
      <c r="G361" s="156">
        <v>0.0</v>
      </c>
      <c r="H361" s="156">
        <v>2300000.0</v>
      </c>
      <c r="I361" s="156">
        <v>0.0</v>
      </c>
      <c r="J361" s="156">
        <v>0.0</v>
      </c>
    </row>
    <row r="362">
      <c r="A362" s="155">
        <v>44057.0</v>
      </c>
      <c r="B362" s="21" t="s">
        <v>216</v>
      </c>
      <c r="C362" s="21" t="s">
        <v>221</v>
      </c>
      <c r="D362" s="156">
        <v>20000.0</v>
      </c>
      <c r="E362" s="21" t="s">
        <v>201</v>
      </c>
      <c r="F362" s="156">
        <v>0.0</v>
      </c>
      <c r="G362" s="156">
        <v>0.0</v>
      </c>
      <c r="H362" s="156">
        <v>20000.0</v>
      </c>
      <c r="I362" s="156">
        <v>0.0</v>
      </c>
      <c r="J362" s="156">
        <v>0.0</v>
      </c>
    </row>
    <row r="363">
      <c r="A363" s="155">
        <v>44058.0</v>
      </c>
      <c r="B363" s="21" t="s">
        <v>125</v>
      </c>
      <c r="C363" s="21" t="s">
        <v>195</v>
      </c>
      <c r="D363" s="156">
        <v>355880.0</v>
      </c>
      <c r="E363" s="21" t="s">
        <v>202</v>
      </c>
      <c r="F363" s="156">
        <v>0.0</v>
      </c>
      <c r="G363" s="156">
        <v>0.0</v>
      </c>
      <c r="H363" s="156">
        <v>0.0</v>
      </c>
      <c r="I363" s="156">
        <v>0.0</v>
      </c>
      <c r="J363" s="156">
        <v>0.0</v>
      </c>
    </row>
    <row r="364">
      <c r="A364" s="155">
        <v>44058.0</v>
      </c>
      <c r="B364" s="21" t="s">
        <v>152</v>
      </c>
      <c r="C364" s="21" t="s">
        <v>195</v>
      </c>
      <c r="D364" s="156">
        <v>250000.0</v>
      </c>
      <c r="E364" s="21" t="s">
        <v>202</v>
      </c>
      <c r="F364" s="156">
        <v>0.0</v>
      </c>
      <c r="G364" s="156">
        <v>0.0</v>
      </c>
      <c r="H364" s="156">
        <v>0.0</v>
      </c>
      <c r="I364" s="156">
        <v>0.0</v>
      </c>
      <c r="J364" s="156">
        <v>0.0</v>
      </c>
    </row>
    <row r="365">
      <c r="A365" s="155">
        <v>44058.0</v>
      </c>
      <c r="B365" s="21" t="s">
        <v>147</v>
      </c>
      <c r="C365" s="21" t="s">
        <v>355</v>
      </c>
      <c r="D365" s="156">
        <v>200000.0</v>
      </c>
      <c r="E365" s="21" t="s">
        <v>202</v>
      </c>
      <c r="F365" s="156">
        <v>0.0</v>
      </c>
      <c r="G365" s="156">
        <v>0.0</v>
      </c>
      <c r="H365" s="156">
        <v>0.0</v>
      </c>
      <c r="I365" s="156">
        <v>0.0</v>
      </c>
      <c r="J365" s="156">
        <v>0.0</v>
      </c>
    </row>
    <row r="366">
      <c r="A366" s="155">
        <v>44058.0</v>
      </c>
      <c r="B366" s="21" t="s">
        <v>356</v>
      </c>
      <c r="C366" s="21" t="s">
        <v>239</v>
      </c>
      <c r="D366" s="156">
        <v>703000.0</v>
      </c>
      <c r="E366" s="21" t="s">
        <v>205</v>
      </c>
      <c r="F366" s="156">
        <v>0.0</v>
      </c>
      <c r="G366" s="156">
        <v>703000.0</v>
      </c>
      <c r="H366" s="156">
        <v>0.0</v>
      </c>
      <c r="I366" s="156">
        <v>0.0</v>
      </c>
      <c r="J366" s="156">
        <v>0.0</v>
      </c>
    </row>
    <row r="367">
      <c r="A367" s="155">
        <v>44058.0</v>
      </c>
      <c r="B367" s="21" t="s">
        <v>216</v>
      </c>
      <c r="C367" s="21" t="s">
        <v>357</v>
      </c>
      <c r="D367" s="156">
        <v>20000.0</v>
      </c>
      <c r="E367" s="21" t="s">
        <v>205</v>
      </c>
      <c r="F367" s="156">
        <v>0.0</v>
      </c>
      <c r="G367" s="156">
        <v>20000.0</v>
      </c>
      <c r="H367" s="156">
        <v>0.0</v>
      </c>
      <c r="I367" s="156">
        <v>0.0</v>
      </c>
      <c r="J367" s="156">
        <v>0.0</v>
      </c>
    </row>
    <row r="368">
      <c r="A368" s="155">
        <v>44058.0</v>
      </c>
      <c r="B368" s="21" t="s">
        <v>228</v>
      </c>
      <c r="C368" s="21" t="s">
        <v>358</v>
      </c>
      <c r="D368" s="156">
        <v>1000.0</v>
      </c>
      <c r="E368" s="21" t="s">
        <v>205</v>
      </c>
      <c r="F368" s="156">
        <v>0.0</v>
      </c>
      <c r="G368" s="156">
        <v>1000.0</v>
      </c>
      <c r="H368" s="156">
        <v>0.0</v>
      </c>
      <c r="I368" s="156">
        <v>0.0</v>
      </c>
      <c r="J368" s="156">
        <v>0.0</v>
      </c>
    </row>
    <row r="369">
      <c r="A369" s="155">
        <v>44058.0</v>
      </c>
      <c r="B369" s="21" t="s">
        <v>359</v>
      </c>
      <c r="C369" s="21" t="s">
        <v>309</v>
      </c>
      <c r="D369" s="156">
        <v>50000.0</v>
      </c>
      <c r="E369" s="21" t="s">
        <v>205</v>
      </c>
      <c r="F369" s="156">
        <v>0.0</v>
      </c>
      <c r="G369" s="156">
        <v>50000.0</v>
      </c>
      <c r="H369" s="156">
        <v>0.0</v>
      </c>
      <c r="I369" s="156">
        <v>0.0</v>
      </c>
      <c r="J369" s="156">
        <v>0.0</v>
      </c>
    </row>
    <row r="370">
      <c r="A370" s="155">
        <v>44058.0</v>
      </c>
      <c r="B370" s="21" t="s">
        <v>296</v>
      </c>
      <c r="C370" s="21" t="s">
        <v>360</v>
      </c>
      <c r="D370" s="156">
        <v>4000.0</v>
      </c>
      <c r="E370" s="21" t="s">
        <v>205</v>
      </c>
      <c r="F370" s="156">
        <v>0.0</v>
      </c>
      <c r="G370" s="156">
        <v>4000.0</v>
      </c>
      <c r="H370" s="156">
        <v>0.0</v>
      </c>
      <c r="I370" s="156">
        <v>0.0</v>
      </c>
      <c r="J370" s="156">
        <v>0.0</v>
      </c>
    </row>
    <row r="371">
      <c r="A371" s="155">
        <v>44058.0</v>
      </c>
      <c r="B371" s="21" t="s">
        <v>281</v>
      </c>
      <c r="C371" s="21" t="s">
        <v>361</v>
      </c>
      <c r="D371" s="156">
        <v>5000.0</v>
      </c>
      <c r="E371" s="21" t="s">
        <v>205</v>
      </c>
      <c r="F371" s="156">
        <v>0.0</v>
      </c>
      <c r="G371" s="156">
        <v>5000.0</v>
      </c>
      <c r="H371" s="156">
        <v>0.0</v>
      </c>
      <c r="I371" s="156">
        <v>0.0</v>
      </c>
      <c r="J371" s="156">
        <v>0.0</v>
      </c>
    </row>
    <row r="372">
      <c r="A372" s="155">
        <v>44058.0</v>
      </c>
      <c r="B372" s="21" t="s">
        <v>248</v>
      </c>
      <c r="C372" s="21" t="s">
        <v>287</v>
      </c>
      <c r="D372" s="156">
        <v>22500.0</v>
      </c>
      <c r="E372" s="21" t="s">
        <v>205</v>
      </c>
      <c r="F372" s="156">
        <v>0.0</v>
      </c>
      <c r="G372" s="156">
        <v>22500.0</v>
      </c>
      <c r="H372" s="156">
        <v>0.0</v>
      </c>
      <c r="I372" s="156">
        <v>0.0</v>
      </c>
      <c r="J372" s="156">
        <v>0.0</v>
      </c>
    </row>
    <row r="373">
      <c r="A373" s="155">
        <v>44058.0</v>
      </c>
      <c r="B373" s="21" t="s">
        <v>183</v>
      </c>
      <c r="C373" s="21" t="s">
        <v>210</v>
      </c>
      <c r="D373" s="156">
        <v>805500.0</v>
      </c>
      <c r="E373" s="21" t="s">
        <v>211</v>
      </c>
      <c r="F373" s="156">
        <v>0.0</v>
      </c>
      <c r="G373" s="156">
        <v>0.0</v>
      </c>
      <c r="H373" s="156">
        <v>0.0</v>
      </c>
      <c r="I373" s="156">
        <v>805500.0</v>
      </c>
      <c r="J373" s="156">
        <v>0.0</v>
      </c>
    </row>
    <row r="374">
      <c r="A374" s="155">
        <v>44058.0</v>
      </c>
      <c r="B374" s="21" t="s">
        <v>216</v>
      </c>
      <c r="C374" s="21" t="s">
        <v>362</v>
      </c>
      <c r="D374" s="156">
        <v>355880.0</v>
      </c>
      <c r="E374" s="21" t="s">
        <v>201</v>
      </c>
      <c r="F374" s="156">
        <v>0.0</v>
      </c>
      <c r="G374" s="156">
        <v>0.0</v>
      </c>
      <c r="H374" s="156">
        <v>355880.0</v>
      </c>
      <c r="I374" s="156">
        <v>0.0</v>
      </c>
      <c r="J374" s="156">
        <v>0.0</v>
      </c>
    </row>
    <row r="375">
      <c r="A375" s="155">
        <v>44060.0</v>
      </c>
      <c r="B375" s="21" t="s">
        <v>169</v>
      </c>
      <c r="C375" s="21" t="s">
        <v>195</v>
      </c>
      <c r="D375" s="156">
        <v>150000.0</v>
      </c>
      <c r="E375" s="21" t="s">
        <v>202</v>
      </c>
      <c r="F375" s="156">
        <v>0.0</v>
      </c>
      <c r="G375" s="156">
        <v>0.0</v>
      </c>
      <c r="H375" s="156">
        <v>0.0</v>
      </c>
      <c r="I375" s="156">
        <v>0.0</v>
      </c>
      <c r="J375" s="156">
        <v>0.0</v>
      </c>
    </row>
    <row r="376">
      <c r="A376" s="155">
        <v>44060.0</v>
      </c>
      <c r="B376" s="21" t="s">
        <v>150</v>
      </c>
      <c r="C376" s="21" t="s">
        <v>195</v>
      </c>
      <c r="D376" s="156">
        <v>1427500.0</v>
      </c>
      <c r="E376" s="21" t="s">
        <v>202</v>
      </c>
      <c r="F376" s="156">
        <v>0.0</v>
      </c>
      <c r="G376" s="156">
        <v>0.0</v>
      </c>
      <c r="H376" s="156">
        <v>0.0</v>
      </c>
      <c r="I376" s="156">
        <v>0.0</v>
      </c>
      <c r="J376" s="156">
        <v>0.0</v>
      </c>
    </row>
    <row r="377">
      <c r="A377" s="155">
        <v>44060.0</v>
      </c>
      <c r="B377" s="21" t="s">
        <v>25</v>
      </c>
      <c r="C377" s="21" t="s">
        <v>195</v>
      </c>
      <c r="D377" s="156">
        <v>2000000.0</v>
      </c>
      <c r="E377" s="21" t="s">
        <v>202</v>
      </c>
      <c r="F377" s="156">
        <v>0.0</v>
      </c>
      <c r="G377" s="156">
        <v>0.0</v>
      </c>
      <c r="H377" s="156">
        <v>0.0</v>
      </c>
      <c r="I377" s="156">
        <v>0.0</v>
      </c>
      <c r="J377" s="156">
        <v>0.0</v>
      </c>
    </row>
    <row r="378">
      <c r="A378" s="155">
        <v>44060.0</v>
      </c>
      <c r="B378" s="21" t="s">
        <v>161</v>
      </c>
      <c r="C378" s="21" t="s">
        <v>363</v>
      </c>
      <c r="D378" s="156">
        <v>5000.0</v>
      </c>
      <c r="E378" s="21" t="s">
        <v>202</v>
      </c>
      <c r="F378" s="156">
        <v>0.0</v>
      </c>
      <c r="G378" s="156">
        <v>0.0</v>
      </c>
      <c r="H378" s="156">
        <v>0.0</v>
      </c>
      <c r="I378" s="156">
        <v>0.0</v>
      </c>
      <c r="J378" s="156">
        <v>0.0</v>
      </c>
    </row>
    <row r="379">
      <c r="A379" s="155">
        <v>44060.0</v>
      </c>
      <c r="B379" s="21" t="s">
        <v>216</v>
      </c>
      <c r="C379" s="21" t="s">
        <v>254</v>
      </c>
      <c r="D379" s="156">
        <v>5000.0</v>
      </c>
      <c r="E379" s="21" t="s">
        <v>205</v>
      </c>
      <c r="F379" s="156">
        <v>0.0</v>
      </c>
      <c r="G379" s="156">
        <v>5000.0</v>
      </c>
      <c r="H379" s="156">
        <v>0.0</v>
      </c>
      <c r="I379" s="156">
        <v>0.0</v>
      </c>
      <c r="J379" s="156">
        <v>0.0</v>
      </c>
    </row>
    <row r="380">
      <c r="A380" s="155">
        <v>44060.0</v>
      </c>
      <c r="B380" s="21" t="s">
        <v>296</v>
      </c>
      <c r="C380" s="21" t="s">
        <v>352</v>
      </c>
      <c r="D380" s="156">
        <v>6500.0</v>
      </c>
      <c r="E380" s="21" t="s">
        <v>205</v>
      </c>
      <c r="F380" s="156">
        <v>0.0</v>
      </c>
      <c r="G380" s="156">
        <v>6500.0</v>
      </c>
      <c r="H380" s="156">
        <v>0.0</v>
      </c>
      <c r="I380" s="156">
        <v>0.0</v>
      </c>
      <c r="J380" s="156">
        <v>0.0</v>
      </c>
    </row>
    <row r="381">
      <c r="A381" s="155">
        <v>44060.0</v>
      </c>
      <c r="B381" s="21" t="s">
        <v>302</v>
      </c>
      <c r="C381" s="21" t="s">
        <v>364</v>
      </c>
      <c r="D381" s="156">
        <v>7000.0</v>
      </c>
      <c r="E381" s="21" t="s">
        <v>205</v>
      </c>
      <c r="F381" s="156">
        <v>0.0</v>
      </c>
      <c r="G381" s="156">
        <v>7000.0</v>
      </c>
      <c r="H381" s="156">
        <v>0.0</v>
      </c>
      <c r="I381" s="156">
        <v>0.0</v>
      </c>
      <c r="J381" s="156">
        <v>0.0</v>
      </c>
    </row>
    <row r="382">
      <c r="A382" s="155">
        <v>44060.0</v>
      </c>
      <c r="B382" s="21" t="s">
        <v>248</v>
      </c>
      <c r="C382" s="21" t="s">
        <v>365</v>
      </c>
      <c r="D382" s="156">
        <v>2100.0</v>
      </c>
      <c r="E382" s="21" t="s">
        <v>205</v>
      </c>
      <c r="F382" s="156">
        <v>0.0</v>
      </c>
      <c r="G382" s="156">
        <v>2100.0</v>
      </c>
      <c r="H382" s="156">
        <v>0.0</v>
      </c>
      <c r="I382" s="156">
        <v>0.0</v>
      </c>
      <c r="J382" s="156">
        <v>0.0</v>
      </c>
    </row>
    <row r="383">
      <c r="A383" s="155">
        <v>44060.0</v>
      </c>
      <c r="B383" s="21" t="s">
        <v>248</v>
      </c>
      <c r="C383" s="21" t="s">
        <v>366</v>
      </c>
      <c r="D383" s="156">
        <v>3000.0</v>
      </c>
      <c r="E383" s="21" t="s">
        <v>205</v>
      </c>
      <c r="F383" s="156">
        <v>0.0</v>
      </c>
      <c r="G383" s="156">
        <v>3000.0</v>
      </c>
      <c r="H383" s="156">
        <v>0.0</v>
      </c>
      <c r="I383" s="156">
        <v>0.0</v>
      </c>
      <c r="J383" s="156">
        <v>0.0</v>
      </c>
    </row>
    <row r="384">
      <c r="A384" s="155">
        <v>44060.0</v>
      </c>
      <c r="B384" s="21" t="s">
        <v>367</v>
      </c>
      <c r="C384" s="21" t="s">
        <v>368</v>
      </c>
      <c r="D384" s="156">
        <v>2000.0</v>
      </c>
      <c r="E384" s="21" t="s">
        <v>205</v>
      </c>
      <c r="F384" s="156">
        <v>0.0</v>
      </c>
      <c r="G384" s="156">
        <v>2000.0</v>
      </c>
      <c r="H384" s="156">
        <v>0.0</v>
      </c>
      <c r="I384" s="156">
        <v>0.0</v>
      </c>
      <c r="J384" s="156">
        <v>0.0</v>
      </c>
    </row>
    <row r="385">
      <c r="A385" s="155">
        <v>44060.0</v>
      </c>
      <c r="B385" s="21" t="s">
        <v>43</v>
      </c>
      <c r="C385" s="21" t="s">
        <v>251</v>
      </c>
      <c r="D385" s="156">
        <v>25000.0</v>
      </c>
      <c r="E385" s="21" t="s">
        <v>205</v>
      </c>
      <c r="F385" s="156">
        <v>0.0</v>
      </c>
      <c r="G385" s="156">
        <v>25000.0</v>
      </c>
      <c r="H385" s="156">
        <v>0.0</v>
      </c>
      <c r="I385" s="156">
        <v>0.0</v>
      </c>
      <c r="J385" s="156">
        <v>0.0</v>
      </c>
    </row>
    <row r="386">
      <c r="A386" s="155">
        <v>44060.0</v>
      </c>
      <c r="B386" s="21" t="s">
        <v>369</v>
      </c>
      <c r="C386" s="21" t="s">
        <v>251</v>
      </c>
      <c r="D386" s="156">
        <v>43000.0</v>
      </c>
      <c r="E386" s="21" t="s">
        <v>205</v>
      </c>
      <c r="F386" s="156">
        <v>0.0</v>
      </c>
      <c r="G386" s="156">
        <v>43000.0</v>
      </c>
      <c r="H386" s="156">
        <v>0.0</v>
      </c>
      <c r="I386" s="156">
        <v>0.0</v>
      </c>
      <c r="J386" s="156">
        <v>0.0</v>
      </c>
    </row>
    <row r="387">
      <c r="A387" s="155">
        <v>44060.0</v>
      </c>
      <c r="B387" s="21" t="s">
        <v>370</v>
      </c>
      <c r="C387" s="21" t="s">
        <v>251</v>
      </c>
      <c r="D387" s="156">
        <v>4000.0</v>
      </c>
      <c r="E387" s="21" t="s">
        <v>205</v>
      </c>
      <c r="F387" s="156">
        <v>0.0</v>
      </c>
      <c r="G387" s="156">
        <v>4000.0</v>
      </c>
      <c r="H387" s="156">
        <v>0.0</v>
      </c>
      <c r="I387" s="156">
        <v>0.0</v>
      </c>
      <c r="J387" s="156">
        <v>0.0</v>
      </c>
    </row>
    <row r="388">
      <c r="A388" s="155">
        <v>44060.0</v>
      </c>
      <c r="B388" s="21" t="s">
        <v>340</v>
      </c>
      <c r="C388" s="21" t="s">
        <v>371</v>
      </c>
      <c r="D388" s="156">
        <v>5000.0</v>
      </c>
      <c r="E388" s="21" t="s">
        <v>205</v>
      </c>
      <c r="F388" s="156">
        <v>0.0</v>
      </c>
      <c r="G388" s="156">
        <v>5000.0</v>
      </c>
      <c r="H388" s="156">
        <v>0.0</v>
      </c>
      <c r="I388" s="156">
        <v>0.0</v>
      </c>
      <c r="J388" s="156">
        <v>0.0</v>
      </c>
    </row>
    <row r="389">
      <c r="A389" s="155">
        <v>44060.0</v>
      </c>
      <c r="B389" s="21" t="s">
        <v>258</v>
      </c>
      <c r="C389" s="21" t="s">
        <v>372</v>
      </c>
      <c r="D389" s="156">
        <v>5000.0</v>
      </c>
      <c r="E389" s="21" t="s">
        <v>205</v>
      </c>
      <c r="F389" s="156">
        <v>0.0</v>
      </c>
      <c r="G389" s="156">
        <v>5000.0</v>
      </c>
      <c r="H389" s="156">
        <v>0.0</v>
      </c>
      <c r="I389" s="156">
        <v>0.0</v>
      </c>
      <c r="J389" s="156">
        <v>0.0</v>
      </c>
    </row>
    <row r="390">
      <c r="A390" s="155">
        <v>44060.0</v>
      </c>
      <c r="B390" s="21" t="s">
        <v>373</v>
      </c>
      <c r="C390" s="21" t="s">
        <v>224</v>
      </c>
      <c r="D390" s="156">
        <v>73000.0</v>
      </c>
      <c r="E390" s="21" t="s">
        <v>205</v>
      </c>
      <c r="F390" s="156">
        <v>0.0</v>
      </c>
      <c r="G390" s="156">
        <v>73000.0</v>
      </c>
      <c r="H390" s="156">
        <v>0.0</v>
      </c>
      <c r="I390" s="156">
        <v>0.0</v>
      </c>
      <c r="J390" s="156">
        <v>0.0</v>
      </c>
    </row>
    <row r="391">
      <c r="A391" s="155">
        <v>44060.0</v>
      </c>
      <c r="B391" s="21" t="s">
        <v>183</v>
      </c>
      <c r="C391" s="21" t="s">
        <v>374</v>
      </c>
      <c r="D391" s="156">
        <v>180600.0</v>
      </c>
      <c r="E391" s="21" t="s">
        <v>211</v>
      </c>
      <c r="F391" s="156">
        <v>0.0</v>
      </c>
      <c r="G391" s="156">
        <v>0.0</v>
      </c>
      <c r="H391" s="156">
        <v>0.0</v>
      </c>
      <c r="I391" s="156">
        <v>180600.0</v>
      </c>
      <c r="J391" s="156">
        <v>0.0</v>
      </c>
    </row>
    <row r="392">
      <c r="A392" s="155">
        <v>44060.0</v>
      </c>
      <c r="B392" s="21" t="s">
        <v>220</v>
      </c>
      <c r="C392" s="21" t="s">
        <v>221</v>
      </c>
      <c r="D392" s="156">
        <v>4100000.0</v>
      </c>
      <c r="E392" s="21" t="s">
        <v>201</v>
      </c>
      <c r="F392" s="156">
        <v>0.0</v>
      </c>
      <c r="G392" s="156">
        <v>0.0</v>
      </c>
      <c r="H392" s="156">
        <v>4100000.0</v>
      </c>
      <c r="I392" s="156">
        <v>0.0</v>
      </c>
      <c r="J392" s="156">
        <v>0.0</v>
      </c>
    </row>
    <row r="393">
      <c r="A393" s="155">
        <v>44061.0</v>
      </c>
      <c r="B393" s="21" t="s">
        <v>161</v>
      </c>
      <c r="C393" s="21" t="s">
        <v>90</v>
      </c>
      <c r="D393" s="156">
        <v>90500.0</v>
      </c>
      <c r="E393" s="21" t="s">
        <v>202</v>
      </c>
      <c r="F393" s="156">
        <v>0.0</v>
      </c>
      <c r="G393" s="156">
        <v>0.0</v>
      </c>
      <c r="H393" s="156">
        <v>0.0</v>
      </c>
      <c r="I393" s="156">
        <v>0.0</v>
      </c>
      <c r="J393" s="156">
        <v>0.0</v>
      </c>
    </row>
    <row r="394">
      <c r="A394" s="155">
        <v>44061.0</v>
      </c>
      <c r="B394" s="21" t="s">
        <v>296</v>
      </c>
      <c r="C394" s="21" t="s">
        <v>375</v>
      </c>
      <c r="D394" s="156">
        <v>4000.0</v>
      </c>
      <c r="E394" s="21" t="s">
        <v>205</v>
      </c>
      <c r="F394" s="156">
        <v>0.0</v>
      </c>
      <c r="G394" s="156">
        <v>4000.0</v>
      </c>
      <c r="H394" s="156">
        <v>0.0</v>
      </c>
      <c r="I394" s="156">
        <v>0.0</v>
      </c>
      <c r="J394" s="156">
        <v>0.0</v>
      </c>
    </row>
    <row r="395">
      <c r="A395" s="155">
        <v>44061.0</v>
      </c>
      <c r="B395" s="21" t="s">
        <v>216</v>
      </c>
      <c r="C395" s="21" t="s">
        <v>322</v>
      </c>
      <c r="D395" s="156">
        <v>30000.0</v>
      </c>
      <c r="E395" s="21" t="s">
        <v>205</v>
      </c>
      <c r="F395" s="156">
        <v>0.0</v>
      </c>
      <c r="G395" s="156">
        <v>30000.0</v>
      </c>
      <c r="H395" s="156">
        <v>0.0</v>
      </c>
      <c r="I395" s="156">
        <v>0.0</v>
      </c>
      <c r="J395" s="156">
        <v>0.0</v>
      </c>
    </row>
    <row r="396">
      <c r="A396" s="155">
        <v>44061.0</v>
      </c>
      <c r="B396" s="21" t="s">
        <v>376</v>
      </c>
      <c r="C396" s="21" t="s">
        <v>377</v>
      </c>
      <c r="D396" s="156">
        <v>70000.0</v>
      </c>
      <c r="E396" s="21" t="s">
        <v>205</v>
      </c>
      <c r="F396" s="156">
        <v>0.0</v>
      </c>
      <c r="G396" s="156">
        <v>70000.0</v>
      </c>
      <c r="H396" s="156">
        <v>0.0</v>
      </c>
      <c r="I396" s="156">
        <v>0.0</v>
      </c>
      <c r="J396" s="156">
        <v>0.0</v>
      </c>
    </row>
    <row r="397">
      <c r="A397" s="155">
        <v>44061.0</v>
      </c>
      <c r="B397" s="21" t="s">
        <v>378</v>
      </c>
      <c r="C397" s="21" t="s">
        <v>379</v>
      </c>
      <c r="D397" s="156">
        <v>201000.0</v>
      </c>
      <c r="E397" s="21" t="s">
        <v>205</v>
      </c>
      <c r="F397" s="156">
        <v>0.0</v>
      </c>
      <c r="G397" s="156">
        <v>201000.0</v>
      </c>
      <c r="H397" s="156">
        <v>0.0</v>
      </c>
      <c r="I397" s="156">
        <v>0.0</v>
      </c>
      <c r="J397" s="156">
        <v>0.0</v>
      </c>
    </row>
    <row r="398">
      <c r="A398" s="155">
        <v>44061.0</v>
      </c>
      <c r="B398" s="21" t="s">
        <v>183</v>
      </c>
      <c r="C398" s="21" t="s">
        <v>380</v>
      </c>
      <c r="D398" s="156">
        <v>3000.0</v>
      </c>
      <c r="E398" s="21" t="s">
        <v>205</v>
      </c>
      <c r="F398" s="156">
        <v>0.0</v>
      </c>
      <c r="G398" s="156">
        <v>3000.0</v>
      </c>
      <c r="H398" s="156">
        <v>0.0</v>
      </c>
      <c r="I398" s="156">
        <v>0.0</v>
      </c>
      <c r="J398" s="156">
        <v>0.0</v>
      </c>
    </row>
    <row r="399">
      <c r="A399" s="155">
        <v>44061.0</v>
      </c>
      <c r="B399" s="21" t="s">
        <v>216</v>
      </c>
      <c r="C399" s="21" t="s">
        <v>381</v>
      </c>
      <c r="D399" s="156">
        <v>50000.0</v>
      </c>
      <c r="E399" s="21" t="s">
        <v>205</v>
      </c>
      <c r="F399" s="156">
        <v>0.0</v>
      </c>
      <c r="G399" s="156">
        <v>50000.0</v>
      </c>
      <c r="H399" s="156">
        <v>0.0</v>
      </c>
      <c r="I399" s="156">
        <v>0.0</v>
      </c>
      <c r="J399" s="156">
        <v>0.0</v>
      </c>
    </row>
    <row r="400">
      <c r="A400" s="155">
        <v>44061.0</v>
      </c>
      <c r="B400" s="21" t="s">
        <v>216</v>
      </c>
      <c r="C400" s="21" t="s">
        <v>382</v>
      </c>
      <c r="D400" s="156">
        <v>20000.0</v>
      </c>
      <c r="E400" s="21" t="s">
        <v>205</v>
      </c>
      <c r="F400" s="156">
        <v>0.0</v>
      </c>
      <c r="G400" s="156">
        <v>20000.0</v>
      </c>
      <c r="H400" s="156">
        <v>0.0</v>
      </c>
      <c r="I400" s="156">
        <v>0.0</v>
      </c>
      <c r="J400" s="156">
        <v>0.0</v>
      </c>
    </row>
    <row r="401">
      <c r="A401" s="155">
        <v>44061.0</v>
      </c>
      <c r="B401" s="21" t="s">
        <v>276</v>
      </c>
      <c r="C401" s="21" t="s">
        <v>277</v>
      </c>
      <c r="D401" s="156">
        <v>5000.0</v>
      </c>
      <c r="E401" s="21" t="s">
        <v>205</v>
      </c>
      <c r="F401" s="156">
        <v>0.0</v>
      </c>
      <c r="G401" s="156">
        <v>5000.0</v>
      </c>
      <c r="H401" s="156">
        <v>0.0</v>
      </c>
      <c r="I401" s="156">
        <v>0.0</v>
      </c>
      <c r="J401" s="156">
        <v>0.0</v>
      </c>
    </row>
    <row r="402">
      <c r="A402" s="155">
        <v>44061.0</v>
      </c>
      <c r="B402" s="21" t="s">
        <v>248</v>
      </c>
      <c r="C402" s="21" t="s">
        <v>383</v>
      </c>
      <c r="D402" s="156">
        <v>1000.0</v>
      </c>
      <c r="E402" s="21" t="s">
        <v>205</v>
      </c>
      <c r="F402" s="156">
        <v>0.0</v>
      </c>
      <c r="G402" s="156">
        <v>1000.0</v>
      </c>
      <c r="H402" s="156">
        <v>0.0</v>
      </c>
      <c r="I402" s="156">
        <v>0.0</v>
      </c>
      <c r="J402" s="156">
        <v>0.0</v>
      </c>
    </row>
    <row r="403">
      <c r="A403" s="155">
        <v>44061.0</v>
      </c>
      <c r="B403" s="21" t="s">
        <v>183</v>
      </c>
      <c r="C403" s="21" t="s">
        <v>223</v>
      </c>
      <c r="D403" s="156">
        <v>384000.0</v>
      </c>
      <c r="E403" s="21" t="s">
        <v>211</v>
      </c>
      <c r="F403" s="156">
        <v>0.0</v>
      </c>
      <c r="G403" s="156">
        <v>0.0</v>
      </c>
      <c r="H403" s="156">
        <v>0.0</v>
      </c>
      <c r="I403" s="156">
        <v>384000.0</v>
      </c>
      <c r="J403" s="156">
        <v>0.0</v>
      </c>
    </row>
    <row r="404">
      <c r="A404" s="155">
        <v>44062.0</v>
      </c>
      <c r="B404" s="21" t="s">
        <v>384</v>
      </c>
      <c r="C404" s="21" t="s">
        <v>364</v>
      </c>
      <c r="D404" s="156">
        <v>11500.0</v>
      </c>
      <c r="E404" s="21" t="s">
        <v>205</v>
      </c>
      <c r="F404" s="156">
        <v>0.0</v>
      </c>
      <c r="G404" s="156">
        <v>11500.0</v>
      </c>
      <c r="H404" s="156">
        <v>0.0</v>
      </c>
      <c r="I404" s="156">
        <v>0.0</v>
      </c>
      <c r="J404" s="156">
        <v>0.0</v>
      </c>
    </row>
    <row r="405">
      <c r="A405" s="155">
        <v>44062.0</v>
      </c>
      <c r="B405" s="21" t="s">
        <v>248</v>
      </c>
      <c r="C405" s="21" t="s">
        <v>366</v>
      </c>
      <c r="D405" s="156">
        <v>2000.0</v>
      </c>
      <c r="E405" s="21" t="s">
        <v>205</v>
      </c>
      <c r="F405" s="156">
        <v>0.0</v>
      </c>
      <c r="G405" s="156">
        <v>2000.0</v>
      </c>
      <c r="H405" s="156">
        <v>0.0</v>
      </c>
      <c r="I405" s="156">
        <v>0.0</v>
      </c>
      <c r="J405" s="156">
        <v>0.0</v>
      </c>
    </row>
    <row r="406">
      <c r="A406" s="155">
        <v>44062.0</v>
      </c>
      <c r="B406" s="21" t="s">
        <v>183</v>
      </c>
      <c r="C406" s="21" t="s">
        <v>198</v>
      </c>
      <c r="D406" s="156">
        <v>218400.0</v>
      </c>
      <c r="E406" s="21" t="s">
        <v>211</v>
      </c>
      <c r="F406" s="156">
        <v>0.0</v>
      </c>
      <c r="G406" s="156">
        <v>0.0</v>
      </c>
      <c r="H406" s="156">
        <v>0.0</v>
      </c>
      <c r="I406" s="156">
        <v>218400.0</v>
      </c>
      <c r="J406" s="156">
        <v>0.0</v>
      </c>
    </row>
    <row r="407">
      <c r="A407" s="155">
        <v>44062.0</v>
      </c>
      <c r="B407" s="21" t="s">
        <v>220</v>
      </c>
      <c r="C407" s="21" t="s">
        <v>385</v>
      </c>
      <c r="D407" s="156">
        <v>1000000.0</v>
      </c>
      <c r="E407" s="21" t="s">
        <v>201</v>
      </c>
      <c r="F407" s="156">
        <v>0.0</v>
      </c>
      <c r="G407" s="156">
        <v>0.0</v>
      </c>
      <c r="H407" s="156">
        <v>1000000.0</v>
      </c>
      <c r="I407" s="156">
        <v>0.0</v>
      </c>
      <c r="J407" s="156">
        <v>0.0</v>
      </c>
    </row>
    <row r="408">
      <c r="A408" s="155">
        <v>44063.0</v>
      </c>
      <c r="B408" s="21" t="s">
        <v>157</v>
      </c>
      <c r="C408" s="21" t="s">
        <v>90</v>
      </c>
      <c r="D408" s="156">
        <v>600000.0</v>
      </c>
      <c r="E408" s="21" t="s">
        <v>202</v>
      </c>
      <c r="F408" s="156">
        <v>0.0</v>
      </c>
      <c r="G408" s="156">
        <v>0.0</v>
      </c>
      <c r="H408" s="156">
        <v>0.0</v>
      </c>
      <c r="I408" s="156">
        <v>0.0</v>
      </c>
      <c r="J408" s="156">
        <v>0.0</v>
      </c>
    </row>
    <row r="409">
      <c r="A409" s="155">
        <v>44063.0</v>
      </c>
      <c r="B409" s="21" t="s">
        <v>110</v>
      </c>
      <c r="C409" s="21" t="s">
        <v>90</v>
      </c>
      <c r="D409" s="156">
        <v>2000000.0</v>
      </c>
      <c r="E409" s="21" t="s">
        <v>202</v>
      </c>
      <c r="F409" s="156">
        <v>0.0</v>
      </c>
      <c r="G409" s="156">
        <v>0.0</v>
      </c>
      <c r="H409" s="156">
        <v>0.0</v>
      </c>
      <c r="I409" s="156">
        <v>0.0</v>
      </c>
      <c r="J409" s="156">
        <v>0.0</v>
      </c>
    </row>
    <row r="410">
      <c r="A410" s="155">
        <v>44063.0</v>
      </c>
      <c r="B410" s="21" t="s">
        <v>386</v>
      </c>
      <c r="C410" s="21" t="s">
        <v>387</v>
      </c>
      <c r="D410" s="156">
        <v>20000.0</v>
      </c>
      <c r="E410" s="21" t="s">
        <v>205</v>
      </c>
      <c r="F410" s="156">
        <v>0.0</v>
      </c>
      <c r="G410" s="156">
        <v>20000.0</v>
      </c>
      <c r="H410" s="156">
        <v>0.0</v>
      </c>
      <c r="I410" s="156">
        <v>0.0</v>
      </c>
      <c r="J410" s="156">
        <v>0.0</v>
      </c>
    </row>
    <row r="411">
      <c r="A411" s="155">
        <v>44063.0</v>
      </c>
      <c r="B411" s="21" t="s">
        <v>289</v>
      </c>
      <c r="C411" s="21" t="s">
        <v>388</v>
      </c>
      <c r="D411" s="156">
        <v>1000.0</v>
      </c>
      <c r="E411" s="21" t="s">
        <v>205</v>
      </c>
      <c r="F411" s="156">
        <v>0.0</v>
      </c>
      <c r="G411" s="156">
        <v>1000.0</v>
      </c>
      <c r="H411" s="156">
        <v>0.0</v>
      </c>
      <c r="I411" s="156">
        <v>0.0</v>
      </c>
      <c r="J411" s="156">
        <v>0.0</v>
      </c>
    </row>
    <row r="412">
      <c r="A412" s="155">
        <v>44063.0</v>
      </c>
      <c r="B412" s="21" t="s">
        <v>157</v>
      </c>
      <c r="C412" s="21" t="s">
        <v>327</v>
      </c>
      <c r="D412" s="156">
        <v>700000.0</v>
      </c>
      <c r="E412" s="21" t="s">
        <v>202</v>
      </c>
      <c r="F412" s="156">
        <v>0.0</v>
      </c>
      <c r="G412" s="156">
        <v>0.0</v>
      </c>
      <c r="H412" s="156">
        <v>0.0</v>
      </c>
      <c r="I412" s="156">
        <v>0.0</v>
      </c>
      <c r="J412" s="156">
        <v>0.0</v>
      </c>
    </row>
    <row r="413">
      <c r="A413" s="155">
        <v>44063.0</v>
      </c>
      <c r="B413" s="21" t="s">
        <v>183</v>
      </c>
      <c r="C413" s="21" t="s">
        <v>223</v>
      </c>
      <c r="D413" s="156">
        <v>21000.0</v>
      </c>
      <c r="E413" s="21" t="s">
        <v>211</v>
      </c>
      <c r="F413" s="156">
        <v>0.0</v>
      </c>
      <c r="G413" s="156">
        <v>0.0</v>
      </c>
      <c r="H413" s="156">
        <v>0.0</v>
      </c>
      <c r="I413" s="156">
        <v>21000.0</v>
      </c>
      <c r="J413" s="156">
        <v>0.0</v>
      </c>
    </row>
    <row r="414">
      <c r="A414" s="155">
        <v>44063.0</v>
      </c>
      <c r="B414" s="21" t="s">
        <v>220</v>
      </c>
      <c r="C414" s="21" t="s">
        <v>221</v>
      </c>
      <c r="D414" s="156">
        <v>540000.0</v>
      </c>
      <c r="E414" s="21" t="s">
        <v>201</v>
      </c>
      <c r="F414" s="156">
        <v>0.0</v>
      </c>
      <c r="G414" s="156">
        <v>0.0</v>
      </c>
      <c r="H414" s="156">
        <v>540000.0</v>
      </c>
      <c r="I414" s="156">
        <v>0.0</v>
      </c>
      <c r="J414" s="156">
        <v>0.0</v>
      </c>
    </row>
    <row r="415">
      <c r="A415" s="155">
        <v>44063.0</v>
      </c>
      <c r="B415" s="21" t="s">
        <v>216</v>
      </c>
      <c r="C415" s="21" t="s">
        <v>221</v>
      </c>
      <c r="D415" s="156">
        <v>2400000.0</v>
      </c>
      <c r="E415" s="21" t="s">
        <v>201</v>
      </c>
      <c r="F415" s="156">
        <v>0.0</v>
      </c>
      <c r="G415" s="156">
        <v>0.0</v>
      </c>
      <c r="H415" s="156">
        <v>2400000.0</v>
      </c>
      <c r="I415" s="156">
        <v>0.0</v>
      </c>
      <c r="J415" s="156">
        <v>0.0</v>
      </c>
    </row>
    <row r="416">
      <c r="A416" s="155">
        <v>44063.0</v>
      </c>
      <c r="B416" s="21" t="s">
        <v>157</v>
      </c>
      <c r="C416" s="21" t="s">
        <v>336</v>
      </c>
      <c r="D416" s="156">
        <v>400000.0</v>
      </c>
      <c r="E416" s="21" t="s">
        <v>202</v>
      </c>
      <c r="F416" s="156">
        <v>0.0</v>
      </c>
      <c r="G416" s="156">
        <v>0.0</v>
      </c>
      <c r="H416" s="156">
        <v>0.0</v>
      </c>
      <c r="I416" s="156">
        <v>0.0</v>
      </c>
      <c r="J416" s="156">
        <v>0.0</v>
      </c>
    </row>
    <row r="417">
      <c r="A417" s="155">
        <v>44064.0</v>
      </c>
      <c r="B417" s="21" t="s">
        <v>25</v>
      </c>
      <c r="C417" s="21" t="s">
        <v>195</v>
      </c>
      <c r="D417" s="156">
        <v>722000.0</v>
      </c>
      <c r="E417" s="21" t="s">
        <v>202</v>
      </c>
      <c r="F417" s="156">
        <v>0.0</v>
      </c>
      <c r="G417" s="156">
        <v>0.0</v>
      </c>
      <c r="H417" s="156">
        <v>0.0</v>
      </c>
      <c r="I417" s="156">
        <v>0.0</v>
      </c>
      <c r="J417" s="156">
        <v>0.0</v>
      </c>
    </row>
    <row r="418">
      <c r="A418" s="155">
        <v>44064.0</v>
      </c>
      <c r="B418" s="21" t="s">
        <v>43</v>
      </c>
      <c r="C418" s="21" t="s">
        <v>389</v>
      </c>
      <c r="D418" s="156">
        <v>50000.0</v>
      </c>
      <c r="E418" s="21" t="s">
        <v>205</v>
      </c>
      <c r="F418" s="156">
        <v>0.0</v>
      </c>
      <c r="G418" s="156">
        <v>50000.0</v>
      </c>
      <c r="H418" s="156">
        <v>0.0</v>
      </c>
      <c r="I418" s="156">
        <v>0.0</v>
      </c>
      <c r="J418" s="156">
        <v>0.0</v>
      </c>
    </row>
    <row r="419">
      <c r="A419" s="155">
        <v>44064.0</v>
      </c>
      <c r="B419" s="21" t="s">
        <v>296</v>
      </c>
      <c r="C419" s="21" t="s">
        <v>382</v>
      </c>
      <c r="D419" s="156">
        <v>3000.0</v>
      </c>
      <c r="E419" s="21" t="s">
        <v>205</v>
      </c>
      <c r="F419" s="156">
        <v>0.0</v>
      </c>
      <c r="G419" s="156">
        <v>3000.0</v>
      </c>
      <c r="H419" s="156">
        <v>0.0</v>
      </c>
      <c r="I419" s="156">
        <v>0.0</v>
      </c>
      <c r="J419" s="156">
        <v>0.0</v>
      </c>
    </row>
    <row r="420">
      <c r="A420" s="155">
        <v>44064.0</v>
      </c>
      <c r="B420" s="21" t="s">
        <v>220</v>
      </c>
      <c r="C420" s="21" t="s">
        <v>390</v>
      </c>
      <c r="D420" s="156">
        <v>3000.0</v>
      </c>
      <c r="E420" s="21" t="s">
        <v>205</v>
      </c>
      <c r="F420" s="156">
        <v>0.0</v>
      </c>
      <c r="G420" s="156">
        <v>3000.0</v>
      </c>
      <c r="H420" s="156">
        <v>0.0</v>
      </c>
      <c r="I420" s="156">
        <v>0.0</v>
      </c>
      <c r="J420" s="156">
        <v>0.0</v>
      </c>
    </row>
    <row r="421">
      <c r="A421" s="155">
        <v>44064.0</v>
      </c>
      <c r="B421" s="21" t="s">
        <v>183</v>
      </c>
      <c r="C421" s="21" t="s">
        <v>223</v>
      </c>
      <c r="D421" s="156">
        <v>56000.0</v>
      </c>
      <c r="E421" s="21" t="s">
        <v>211</v>
      </c>
      <c r="F421" s="156">
        <v>0.0</v>
      </c>
      <c r="G421" s="156">
        <v>0.0</v>
      </c>
      <c r="H421" s="156">
        <v>0.0</v>
      </c>
      <c r="I421" s="156">
        <v>56000.0</v>
      </c>
      <c r="J421" s="156">
        <v>0.0</v>
      </c>
    </row>
    <row r="422">
      <c r="A422" s="155">
        <v>44064.0</v>
      </c>
      <c r="B422" s="21" t="s">
        <v>216</v>
      </c>
      <c r="C422" s="21" t="s">
        <v>221</v>
      </c>
      <c r="D422" s="156">
        <v>2951000.0</v>
      </c>
      <c r="E422" s="21" t="s">
        <v>201</v>
      </c>
      <c r="F422" s="156">
        <v>0.0</v>
      </c>
      <c r="G422" s="156">
        <v>0.0</v>
      </c>
      <c r="H422" s="156">
        <v>2951000.0</v>
      </c>
      <c r="I422" s="156">
        <v>0.0</v>
      </c>
      <c r="J422" s="156">
        <v>0.0</v>
      </c>
    </row>
    <row r="423">
      <c r="A423" s="155">
        <v>44065.0</v>
      </c>
      <c r="B423" s="21" t="s">
        <v>152</v>
      </c>
      <c r="C423" s="21" t="s">
        <v>239</v>
      </c>
      <c r="D423" s="156">
        <v>140000.0</v>
      </c>
      <c r="E423" s="21" t="s">
        <v>202</v>
      </c>
      <c r="F423" s="156">
        <v>0.0</v>
      </c>
      <c r="G423" s="156">
        <v>0.0</v>
      </c>
      <c r="H423" s="156">
        <v>0.0</v>
      </c>
      <c r="I423" s="156">
        <v>0.0</v>
      </c>
      <c r="J423" s="156">
        <v>0.0</v>
      </c>
    </row>
    <row r="424">
      <c r="A424" s="155">
        <v>44065.0</v>
      </c>
      <c r="B424" s="21" t="s">
        <v>216</v>
      </c>
      <c r="C424" s="21" t="s">
        <v>254</v>
      </c>
      <c r="D424" s="156">
        <v>120000.0</v>
      </c>
      <c r="E424" s="21" t="s">
        <v>205</v>
      </c>
      <c r="F424" s="156">
        <v>0.0</v>
      </c>
      <c r="G424" s="156">
        <v>120000.0</v>
      </c>
      <c r="H424" s="156">
        <v>0.0</v>
      </c>
      <c r="I424" s="156">
        <v>0.0</v>
      </c>
      <c r="J424" s="156">
        <v>0.0</v>
      </c>
    </row>
    <row r="425">
      <c r="A425" s="155">
        <v>44065.0</v>
      </c>
      <c r="B425" s="21" t="s">
        <v>248</v>
      </c>
      <c r="C425" s="21" t="s">
        <v>391</v>
      </c>
      <c r="D425" s="156">
        <v>50000.0</v>
      </c>
      <c r="E425" s="21" t="s">
        <v>205</v>
      </c>
      <c r="F425" s="156">
        <v>0.0</v>
      </c>
      <c r="G425" s="156">
        <v>50000.0</v>
      </c>
      <c r="H425" s="156">
        <v>0.0</v>
      </c>
      <c r="I425" s="156">
        <v>0.0</v>
      </c>
      <c r="J425" s="156">
        <v>0.0</v>
      </c>
    </row>
    <row r="426">
      <c r="A426" s="155">
        <v>44065.0</v>
      </c>
      <c r="B426" s="21" t="s">
        <v>183</v>
      </c>
      <c r="C426" s="21" t="s">
        <v>223</v>
      </c>
      <c r="D426" s="156">
        <v>170000.0</v>
      </c>
      <c r="E426" s="21" t="s">
        <v>211</v>
      </c>
      <c r="F426" s="156">
        <v>0.0</v>
      </c>
      <c r="G426" s="156">
        <v>0.0</v>
      </c>
      <c r="H426" s="156">
        <v>0.0</v>
      </c>
      <c r="I426" s="156">
        <v>170000.0</v>
      </c>
      <c r="J426" s="156">
        <v>0.0</v>
      </c>
    </row>
    <row r="427">
      <c r="A427" s="155">
        <v>44067.0</v>
      </c>
      <c r="B427" s="21" t="s">
        <v>117</v>
      </c>
      <c r="C427" s="21" t="s">
        <v>392</v>
      </c>
      <c r="D427" s="156">
        <v>100000.0</v>
      </c>
      <c r="E427" s="21" t="s">
        <v>202</v>
      </c>
      <c r="F427" s="156">
        <v>0.0</v>
      </c>
      <c r="G427" s="156">
        <v>0.0</v>
      </c>
      <c r="H427" s="156">
        <v>0.0</v>
      </c>
      <c r="I427" s="156">
        <v>0.0</v>
      </c>
      <c r="J427" s="156">
        <v>0.0</v>
      </c>
    </row>
    <row r="428">
      <c r="A428" s="155">
        <v>44067.0</v>
      </c>
      <c r="B428" s="21" t="s">
        <v>107</v>
      </c>
      <c r="C428" s="21" t="s">
        <v>90</v>
      </c>
      <c r="D428" s="156">
        <v>100000.0</v>
      </c>
      <c r="E428" s="21" t="s">
        <v>202</v>
      </c>
      <c r="F428" s="156">
        <v>0.0</v>
      </c>
      <c r="G428" s="156">
        <v>0.0</v>
      </c>
      <c r="H428" s="156">
        <v>0.0</v>
      </c>
      <c r="I428" s="156">
        <v>0.0</v>
      </c>
      <c r="J428" s="156">
        <v>0.0</v>
      </c>
    </row>
    <row r="429">
      <c r="A429" s="155">
        <v>44067.0</v>
      </c>
      <c r="B429" s="21" t="s">
        <v>120</v>
      </c>
      <c r="C429" s="21" t="s">
        <v>393</v>
      </c>
      <c r="D429" s="156">
        <v>50000.0</v>
      </c>
      <c r="E429" s="21" t="s">
        <v>202</v>
      </c>
      <c r="F429" s="156">
        <v>0.0</v>
      </c>
      <c r="G429" s="156">
        <v>0.0</v>
      </c>
      <c r="H429" s="156">
        <v>0.0</v>
      </c>
      <c r="I429" s="156">
        <v>0.0</v>
      </c>
      <c r="J429" s="156">
        <v>0.0</v>
      </c>
    </row>
    <row r="430">
      <c r="A430" s="155">
        <v>44067.0</v>
      </c>
      <c r="B430" s="21" t="s">
        <v>98</v>
      </c>
      <c r="C430" s="21" t="s">
        <v>90</v>
      </c>
      <c r="D430" s="156">
        <v>85000.0</v>
      </c>
      <c r="E430" s="21" t="s">
        <v>202</v>
      </c>
      <c r="F430" s="156">
        <v>0.0</v>
      </c>
      <c r="G430" s="156">
        <v>0.0</v>
      </c>
      <c r="H430" s="156">
        <v>0.0</v>
      </c>
      <c r="I430" s="156">
        <v>0.0</v>
      </c>
      <c r="J430" s="156">
        <v>0.0</v>
      </c>
    </row>
    <row r="431">
      <c r="A431" s="155">
        <v>44067.0</v>
      </c>
      <c r="B431" s="21" t="s">
        <v>149</v>
      </c>
      <c r="C431" s="21" t="s">
        <v>90</v>
      </c>
      <c r="D431" s="156">
        <v>20000.0</v>
      </c>
      <c r="E431" s="21" t="s">
        <v>202</v>
      </c>
      <c r="F431" s="156">
        <v>0.0</v>
      </c>
      <c r="G431" s="156">
        <v>0.0</v>
      </c>
      <c r="H431" s="156">
        <v>0.0</v>
      </c>
      <c r="I431" s="156">
        <v>0.0</v>
      </c>
      <c r="J431" s="156">
        <v>0.0</v>
      </c>
    </row>
    <row r="432">
      <c r="A432" s="155">
        <v>44067.0</v>
      </c>
      <c r="B432" s="21" t="s">
        <v>296</v>
      </c>
      <c r="C432" s="21" t="s">
        <v>394</v>
      </c>
      <c r="D432" s="156">
        <v>50000.0</v>
      </c>
      <c r="E432" s="21" t="s">
        <v>205</v>
      </c>
      <c r="F432" s="156">
        <v>0.0</v>
      </c>
      <c r="G432" s="156">
        <v>50000.0</v>
      </c>
      <c r="H432" s="156">
        <v>0.0</v>
      </c>
      <c r="I432" s="156">
        <v>0.0</v>
      </c>
      <c r="J432" s="156">
        <v>0.0</v>
      </c>
    </row>
    <row r="433">
      <c r="A433" s="155">
        <v>44067.0</v>
      </c>
      <c r="B433" s="21" t="s">
        <v>395</v>
      </c>
      <c r="C433" s="21" t="s">
        <v>251</v>
      </c>
      <c r="D433" s="156">
        <v>290000.0</v>
      </c>
      <c r="E433" s="21" t="s">
        <v>205</v>
      </c>
      <c r="F433" s="156">
        <v>0.0</v>
      </c>
      <c r="G433" s="156">
        <v>290000.0</v>
      </c>
      <c r="H433" s="156">
        <v>0.0</v>
      </c>
      <c r="I433" s="156">
        <v>0.0</v>
      </c>
      <c r="J433" s="156">
        <v>0.0</v>
      </c>
    </row>
    <row r="434">
      <c r="A434" s="155">
        <v>44067.0</v>
      </c>
      <c r="B434" s="21" t="s">
        <v>396</v>
      </c>
      <c r="C434" s="21" t="s">
        <v>397</v>
      </c>
      <c r="D434" s="156">
        <v>20000.0</v>
      </c>
      <c r="E434" s="21" t="s">
        <v>205</v>
      </c>
      <c r="F434" s="156">
        <v>0.0</v>
      </c>
      <c r="G434" s="156">
        <v>20000.0</v>
      </c>
      <c r="H434" s="156">
        <v>0.0</v>
      </c>
      <c r="I434" s="156">
        <v>0.0</v>
      </c>
      <c r="J434" s="156">
        <v>0.0</v>
      </c>
    </row>
    <row r="435">
      <c r="A435" s="155">
        <v>44067.0</v>
      </c>
      <c r="B435" s="21" t="s">
        <v>183</v>
      </c>
      <c r="C435" s="21" t="s">
        <v>223</v>
      </c>
      <c r="D435" s="156">
        <v>861000.0</v>
      </c>
      <c r="E435" s="21" t="s">
        <v>211</v>
      </c>
      <c r="F435" s="156">
        <v>0.0</v>
      </c>
      <c r="G435" s="156">
        <v>0.0</v>
      </c>
      <c r="H435" s="156">
        <v>0.0</v>
      </c>
      <c r="I435" s="156">
        <v>861000.0</v>
      </c>
      <c r="J435" s="156">
        <v>0.0</v>
      </c>
    </row>
    <row r="436">
      <c r="A436" s="155">
        <v>44067.0</v>
      </c>
      <c r="B436" s="21" t="s">
        <v>216</v>
      </c>
      <c r="C436" s="21" t="s">
        <v>221</v>
      </c>
      <c r="D436" s="156">
        <v>150000.0</v>
      </c>
      <c r="E436" s="21" t="s">
        <v>201</v>
      </c>
      <c r="F436" s="156">
        <v>0.0</v>
      </c>
      <c r="G436" s="156">
        <v>0.0</v>
      </c>
      <c r="H436" s="156">
        <v>150000.0</v>
      </c>
      <c r="I436" s="156">
        <v>0.0</v>
      </c>
      <c r="J436" s="156">
        <v>0.0</v>
      </c>
    </row>
    <row r="437">
      <c r="A437" s="155">
        <v>44068.0</v>
      </c>
      <c r="B437" s="21" t="s">
        <v>113</v>
      </c>
      <c r="C437" s="21" t="s">
        <v>90</v>
      </c>
      <c r="D437" s="156">
        <v>300000.0</v>
      </c>
      <c r="E437" s="21" t="s">
        <v>202</v>
      </c>
      <c r="F437" s="156">
        <v>0.0</v>
      </c>
      <c r="G437" s="156">
        <v>0.0</v>
      </c>
      <c r="H437" s="156">
        <v>0.0</v>
      </c>
      <c r="I437" s="156">
        <v>0.0</v>
      </c>
      <c r="J437" s="156">
        <v>0.0</v>
      </c>
    </row>
    <row r="438">
      <c r="A438" s="155">
        <v>44068.0</v>
      </c>
      <c r="B438" s="21" t="s">
        <v>113</v>
      </c>
      <c r="C438" s="21" t="s">
        <v>398</v>
      </c>
      <c r="D438" s="156">
        <v>4500.0</v>
      </c>
      <c r="E438" s="21" t="s">
        <v>202</v>
      </c>
      <c r="F438" s="156">
        <v>0.0</v>
      </c>
      <c r="G438" s="156">
        <v>0.0</v>
      </c>
      <c r="H438" s="156">
        <v>0.0</v>
      </c>
      <c r="I438" s="156">
        <v>0.0</v>
      </c>
      <c r="J438" s="156">
        <v>0.0</v>
      </c>
    </row>
    <row r="439">
      <c r="A439" s="155">
        <v>44068.0</v>
      </c>
      <c r="B439" s="21" t="s">
        <v>160</v>
      </c>
      <c r="C439" s="21" t="s">
        <v>90</v>
      </c>
      <c r="D439" s="156">
        <v>200000.0</v>
      </c>
      <c r="E439" s="21" t="s">
        <v>202</v>
      </c>
      <c r="F439" s="156">
        <v>0.0</v>
      </c>
      <c r="G439" s="156">
        <v>0.0</v>
      </c>
      <c r="H439" s="156">
        <v>0.0</v>
      </c>
      <c r="I439" s="156">
        <v>0.0</v>
      </c>
      <c r="J439" s="156">
        <v>0.0</v>
      </c>
    </row>
    <row r="440">
      <c r="A440" s="155">
        <v>44068.0</v>
      </c>
      <c r="B440" s="21" t="s">
        <v>117</v>
      </c>
      <c r="C440" s="21" t="s">
        <v>90</v>
      </c>
      <c r="D440" s="156">
        <v>10000.0</v>
      </c>
      <c r="E440" s="21" t="s">
        <v>202</v>
      </c>
      <c r="F440" s="156">
        <v>0.0</v>
      </c>
      <c r="G440" s="156">
        <v>0.0</v>
      </c>
      <c r="H440" s="156">
        <v>0.0</v>
      </c>
      <c r="I440" s="156">
        <v>0.0</v>
      </c>
      <c r="J440" s="156">
        <v>0.0</v>
      </c>
    </row>
    <row r="441">
      <c r="A441" s="155">
        <v>44068.0</v>
      </c>
      <c r="B441" s="21" t="s">
        <v>171</v>
      </c>
      <c r="C441" s="21" t="s">
        <v>90</v>
      </c>
      <c r="D441" s="156">
        <v>500000.0</v>
      </c>
      <c r="E441" s="21" t="s">
        <v>202</v>
      </c>
      <c r="F441" s="156">
        <v>0.0</v>
      </c>
      <c r="G441" s="156">
        <v>0.0</v>
      </c>
      <c r="H441" s="156">
        <v>0.0</v>
      </c>
      <c r="I441" s="156">
        <v>0.0</v>
      </c>
      <c r="J441" s="156">
        <v>0.0</v>
      </c>
    </row>
    <row r="442">
      <c r="A442" s="155">
        <v>44068.0</v>
      </c>
      <c r="B442" s="21" t="s">
        <v>395</v>
      </c>
      <c r="C442" s="21" t="s">
        <v>399</v>
      </c>
      <c r="D442" s="156">
        <v>850000.0</v>
      </c>
      <c r="E442" s="21" t="s">
        <v>205</v>
      </c>
      <c r="F442" s="156">
        <v>0.0</v>
      </c>
      <c r="G442" s="156">
        <v>850000.0</v>
      </c>
      <c r="H442" s="156">
        <v>0.0</v>
      </c>
      <c r="I442" s="156">
        <v>0.0</v>
      </c>
      <c r="J442" s="156">
        <v>0.0</v>
      </c>
    </row>
    <row r="443">
      <c r="A443" s="155">
        <v>44068.0</v>
      </c>
      <c r="B443" s="21" t="s">
        <v>400</v>
      </c>
      <c r="C443" s="21" t="s">
        <v>251</v>
      </c>
      <c r="D443" s="156">
        <v>5000.0</v>
      </c>
      <c r="E443" s="21" t="s">
        <v>205</v>
      </c>
      <c r="F443" s="156">
        <v>0.0</v>
      </c>
      <c r="G443" s="156">
        <v>5000.0</v>
      </c>
      <c r="H443" s="156">
        <v>0.0</v>
      </c>
      <c r="I443" s="156">
        <v>0.0</v>
      </c>
      <c r="J443" s="156">
        <v>0.0</v>
      </c>
    </row>
    <row r="444">
      <c r="A444" s="155">
        <v>44068.0</v>
      </c>
      <c r="B444" s="21" t="s">
        <v>216</v>
      </c>
      <c r="C444" s="21" t="s">
        <v>251</v>
      </c>
      <c r="D444" s="156">
        <v>700000.0</v>
      </c>
      <c r="E444" s="21" t="s">
        <v>205</v>
      </c>
      <c r="F444" s="156">
        <v>0.0</v>
      </c>
      <c r="G444" s="156">
        <v>700000.0</v>
      </c>
      <c r="H444" s="156">
        <v>0.0</v>
      </c>
      <c r="I444" s="156">
        <v>0.0</v>
      </c>
      <c r="J444" s="156">
        <v>0.0</v>
      </c>
    </row>
    <row r="445">
      <c r="A445" s="155">
        <v>44068.0</v>
      </c>
      <c r="B445" s="21" t="s">
        <v>289</v>
      </c>
      <c r="C445" s="21" t="s">
        <v>390</v>
      </c>
      <c r="D445" s="156">
        <v>10000.0</v>
      </c>
      <c r="E445" s="21" t="s">
        <v>205</v>
      </c>
      <c r="F445" s="156">
        <v>0.0</v>
      </c>
      <c r="G445" s="156">
        <v>10000.0</v>
      </c>
      <c r="H445" s="156">
        <v>0.0</v>
      </c>
      <c r="I445" s="156">
        <v>0.0</v>
      </c>
      <c r="J445" s="156">
        <v>0.0</v>
      </c>
    </row>
    <row r="446">
      <c r="A446" s="155">
        <v>44068.0</v>
      </c>
      <c r="B446" s="21" t="s">
        <v>263</v>
      </c>
      <c r="C446" s="21" t="s">
        <v>398</v>
      </c>
      <c r="D446" s="156">
        <v>200.0</v>
      </c>
      <c r="E446" s="21" t="s">
        <v>205</v>
      </c>
      <c r="F446" s="156">
        <v>0.0</v>
      </c>
      <c r="G446" s="156">
        <v>200.0</v>
      </c>
      <c r="H446" s="156">
        <v>0.0</v>
      </c>
      <c r="I446" s="156">
        <v>0.0</v>
      </c>
      <c r="J446" s="156">
        <v>0.0</v>
      </c>
    </row>
    <row r="447">
      <c r="A447" s="155">
        <v>44068.0</v>
      </c>
      <c r="B447" s="21" t="s">
        <v>216</v>
      </c>
      <c r="C447" s="21" t="s">
        <v>322</v>
      </c>
      <c r="D447" s="156">
        <v>40000.0</v>
      </c>
      <c r="E447" s="21" t="s">
        <v>205</v>
      </c>
      <c r="F447" s="156">
        <v>0.0</v>
      </c>
      <c r="G447" s="156">
        <v>40000.0</v>
      </c>
      <c r="H447" s="156">
        <v>0.0</v>
      </c>
      <c r="I447" s="156">
        <v>0.0</v>
      </c>
      <c r="J447" s="156">
        <v>0.0</v>
      </c>
    </row>
    <row r="448">
      <c r="A448" s="155">
        <v>44068.0</v>
      </c>
      <c r="B448" s="21" t="s">
        <v>296</v>
      </c>
      <c r="C448" s="21" t="s">
        <v>388</v>
      </c>
      <c r="D448" s="156">
        <v>5000.0</v>
      </c>
      <c r="E448" s="21" t="s">
        <v>205</v>
      </c>
      <c r="F448" s="156">
        <v>0.0</v>
      </c>
      <c r="G448" s="156">
        <v>5000.0</v>
      </c>
      <c r="H448" s="156">
        <v>0.0</v>
      </c>
      <c r="I448" s="156">
        <v>0.0</v>
      </c>
      <c r="J448" s="156">
        <v>0.0</v>
      </c>
    </row>
    <row r="449">
      <c r="A449" s="155">
        <v>44068.0</v>
      </c>
      <c r="B449" s="21" t="s">
        <v>183</v>
      </c>
      <c r="C449" s="21" t="s">
        <v>223</v>
      </c>
      <c r="D449" s="156">
        <v>1610200.0</v>
      </c>
      <c r="E449" s="21" t="s">
        <v>211</v>
      </c>
      <c r="F449" s="156">
        <v>0.0</v>
      </c>
      <c r="G449" s="156">
        <v>0.0</v>
      </c>
      <c r="H449" s="156">
        <v>0.0</v>
      </c>
      <c r="I449" s="156">
        <v>1610200.0</v>
      </c>
      <c r="J449" s="156">
        <v>0.0</v>
      </c>
    </row>
    <row r="450">
      <c r="A450" s="155">
        <v>44068.0</v>
      </c>
      <c r="B450" s="21" t="s">
        <v>220</v>
      </c>
      <c r="C450" s="21" t="s">
        <v>221</v>
      </c>
      <c r="D450" s="156">
        <v>2320000.0</v>
      </c>
      <c r="E450" s="21" t="s">
        <v>201</v>
      </c>
      <c r="F450" s="156">
        <v>0.0</v>
      </c>
      <c r="G450" s="156">
        <v>0.0</v>
      </c>
      <c r="H450" s="156">
        <v>2320000.0</v>
      </c>
      <c r="I450" s="156">
        <v>0.0</v>
      </c>
      <c r="J450" s="156">
        <v>0.0</v>
      </c>
    </row>
    <row r="451">
      <c r="A451" s="155">
        <v>44069.0</v>
      </c>
      <c r="B451" s="21" t="s">
        <v>125</v>
      </c>
      <c r="C451" s="21" t="s">
        <v>90</v>
      </c>
      <c r="D451" s="156">
        <v>200000.0</v>
      </c>
      <c r="E451" s="21" t="s">
        <v>202</v>
      </c>
      <c r="F451" s="156">
        <v>0.0</v>
      </c>
      <c r="G451" s="156">
        <v>0.0</v>
      </c>
      <c r="H451" s="156">
        <v>0.0</v>
      </c>
      <c r="I451" s="156">
        <v>0.0</v>
      </c>
      <c r="J451" s="156">
        <v>0.0</v>
      </c>
    </row>
    <row r="452">
      <c r="A452" s="155">
        <v>44069.0</v>
      </c>
      <c r="B452" s="21" t="s">
        <v>98</v>
      </c>
      <c r="C452" s="21" t="s">
        <v>90</v>
      </c>
      <c r="D452" s="156">
        <v>100000.0</v>
      </c>
      <c r="E452" s="21" t="s">
        <v>202</v>
      </c>
      <c r="F452" s="156">
        <v>0.0</v>
      </c>
      <c r="G452" s="156">
        <v>0.0</v>
      </c>
      <c r="H452" s="156">
        <v>0.0</v>
      </c>
      <c r="I452" s="156">
        <v>0.0</v>
      </c>
      <c r="J452" s="156">
        <v>0.0</v>
      </c>
    </row>
    <row r="453">
      <c r="A453" s="155">
        <v>44069.0</v>
      </c>
      <c r="B453" s="21" t="s">
        <v>117</v>
      </c>
      <c r="C453" s="21" t="s">
        <v>90</v>
      </c>
      <c r="D453" s="156">
        <v>1990000.0</v>
      </c>
      <c r="E453" s="21" t="s">
        <v>202</v>
      </c>
      <c r="F453" s="156">
        <v>0.0</v>
      </c>
      <c r="G453" s="156">
        <v>0.0</v>
      </c>
      <c r="H453" s="156">
        <v>0.0</v>
      </c>
      <c r="I453" s="156">
        <v>0.0</v>
      </c>
      <c r="J453" s="156">
        <v>0.0</v>
      </c>
    </row>
    <row r="454">
      <c r="A454" s="155">
        <v>44069.0</v>
      </c>
      <c r="B454" s="21" t="s">
        <v>150</v>
      </c>
      <c r="C454" s="21" t="s">
        <v>90</v>
      </c>
      <c r="D454" s="156">
        <v>2250000.0</v>
      </c>
      <c r="E454" s="21" t="s">
        <v>202</v>
      </c>
      <c r="F454" s="156">
        <v>0.0</v>
      </c>
      <c r="G454" s="156">
        <v>0.0</v>
      </c>
      <c r="H454" s="156">
        <v>0.0</v>
      </c>
      <c r="I454" s="156">
        <v>0.0</v>
      </c>
      <c r="J454" s="156">
        <v>0.0</v>
      </c>
    </row>
    <row r="455">
      <c r="A455" s="155">
        <v>44069.0</v>
      </c>
      <c r="B455" s="21" t="s">
        <v>119</v>
      </c>
      <c r="C455" s="21" t="s">
        <v>90</v>
      </c>
      <c r="D455" s="156">
        <v>500000.0</v>
      </c>
      <c r="E455" s="21" t="s">
        <v>202</v>
      </c>
      <c r="F455" s="156">
        <v>0.0</v>
      </c>
      <c r="G455" s="156">
        <v>0.0</v>
      </c>
      <c r="H455" s="156">
        <v>0.0</v>
      </c>
      <c r="I455" s="156">
        <v>0.0</v>
      </c>
      <c r="J455" s="156">
        <v>0.0</v>
      </c>
    </row>
    <row r="456">
      <c r="A456" s="155">
        <v>44069.0</v>
      </c>
      <c r="B456" s="21" t="s">
        <v>126</v>
      </c>
      <c r="C456" s="21" t="s">
        <v>90</v>
      </c>
      <c r="D456" s="156">
        <v>1052000.0</v>
      </c>
      <c r="E456" s="21" t="s">
        <v>202</v>
      </c>
      <c r="F456" s="156">
        <v>0.0</v>
      </c>
      <c r="G456" s="156">
        <v>0.0</v>
      </c>
      <c r="H456" s="156">
        <v>0.0</v>
      </c>
      <c r="I456" s="156">
        <v>0.0</v>
      </c>
      <c r="J456" s="156">
        <v>0.0</v>
      </c>
    </row>
    <row r="457">
      <c r="A457" s="155">
        <v>44069.0</v>
      </c>
      <c r="B457" s="21" t="s">
        <v>165</v>
      </c>
      <c r="C457" s="21" t="s">
        <v>90</v>
      </c>
      <c r="D457" s="156">
        <v>800000.0</v>
      </c>
      <c r="E457" s="21" t="s">
        <v>202</v>
      </c>
      <c r="F457" s="156">
        <v>0.0</v>
      </c>
      <c r="G457" s="156">
        <v>0.0</v>
      </c>
      <c r="H457" s="156">
        <v>0.0</v>
      </c>
      <c r="I457" s="156">
        <v>0.0</v>
      </c>
      <c r="J457" s="156">
        <v>0.0</v>
      </c>
    </row>
    <row r="458">
      <c r="A458" s="155">
        <v>44069.0</v>
      </c>
      <c r="B458" s="21" t="s">
        <v>401</v>
      </c>
      <c r="C458" s="21" t="s">
        <v>224</v>
      </c>
      <c r="D458" s="156">
        <v>520000.0</v>
      </c>
      <c r="E458" s="21" t="s">
        <v>205</v>
      </c>
      <c r="F458" s="156">
        <v>0.0</v>
      </c>
      <c r="G458" s="156">
        <v>520000.0</v>
      </c>
      <c r="H458" s="156">
        <v>0.0</v>
      </c>
      <c r="I458" s="156">
        <v>0.0</v>
      </c>
      <c r="J458" s="156">
        <v>0.0</v>
      </c>
    </row>
    <row r="459">
      <c r="A459" s="155">
        <v>44069.0</v>
      </c>
      <c r="B459" s="21" t="s">
        <v>220</v>
      </c>
      <c r="C459" s="21" t="s">
        <v>271</v>
      </c>
      <c r="D459" s="156">
        <v>20500.0</v>
      </c>
      <c r="E459" s="21" t="s">
        <v>205</v>
      </c>
      <c r="F459" s="156">
        <v>0.0</v>
      </c>
      <c r="G459" s="156">
        <v>20500.0</v>
      </c>
      <c r="H459" s="156">
        <v>0.0</v>
      </c>
      <c r="I459" s="156">
        <v>0.0</v>
      </c>
      <c r="J459" s="156">
        <v>0.0</v>
      </c>
    </row>
    <row r="460">
      <c r="A460" s="155">
        <v>44069.0</v>
      </c>
      <c r="B460" s="21" t="s">
        <v>296</v>
      </c>
      <c r="C460" s="21" t="s">
        <v>402</v>
      </c>
      <c r="D460" s="156">
        <v>2500.0</v>
      </c>
      <c r="E460" s="21" t="s">
        <v>205</v>
      </c>
      <c r="F460" s="156">
        <v>0.0</v>
      </c>
      <c r="G460" s="156">
        <v>2500.0</v>
      </c>
      <c r="H460" s="156">
        <v>0.0</v>
      </c>
      <c r="I460" s="156">
        <v>0.0</v>
      </c>
      <c r="J460" s="156">
        <v>0.0</v>
      </c>
    </row>
    <row r="461">
      <c r="A461" s="155">
        <v>44069.0</v>
      </c>
      <c r="B461" s="21" t="s">
        <v>248</v>
      </c>
      <c r="C461" s="21" t="s">
        <v>403</v>
      </c>
      <c r="D461" s="156">
        <v>4000.0</v>
      </c>
      <c r="E461" s="21" t="s">
        <v>205</v>
      </c>
      <c r="F461" s="156">
        <v>0.0</v>
      </c>
      <c r="G461" s="156">
        <v>4000.0</v>
      </c>
      <c r="H461" s="156">
        <v>0.0</v>
      </c>
      <c r="I461" s="156">
        <v>0.0</v>
      </c>
      <c r="J461" s="156">
        <v>0.0</v>
      </c>
    </row>
    <row r="462">
      <c r="A462" s="155">
        <v>44069.0</v>
      </c>
      <c r="B462" s="21" t="s">
        <v>43</v>
      </c>
      <c r="C462" s="21" t="s">
        <v>404</v>
      </c>
      <c r="D462" s="156">
        <v>17000.0</v>
      </c>
      <c r="E462" s="21" t="s">
        <v>205</v>
      </c>
      <c r="F462" s="156">
        <v>0.0</v>
      </c>
      <c r="G462" s="156">
        <v>17000.0</v>
      </c>
      <c r="H462" s="156">
        <v>0.0</v>
      </c>
      <c r="I462" s="156">
        <v>0.0</v>
      </c>
      <c r="J462" s="156">
        <v>0.0</v>
      </c>
    </row>
    <row r="463">
      <c r="A463" s="155">
        <v>44069.0</v>
      </c>
      <c r="B463" s="21" t="s">
        <v>216</v>
      </c>
      <c r="C463" s="21" t="s">
        <v>405</v>
      </c>
      <c r="D463" s="156">
        <v>30000.0</v>
      </c>
      <c r="E463" s="21" t="s">
        <v>205</v>
      </c>
      <c r="F463" s="156">
        <v>0.0</v>
      </c>
      <c r="G463" s="156">
        <v>30000.0</v>
      </c>
      <c r="H463" s="156">
        <v>0.0</v>
      </c>
      <c r="I463" s="156">
        <v>0.0</v>
      </c>
      <c r="J463" s="156">
        <v>0.0</v>
      </c>
    </row>
    <row r="464">
      <c r="A464" s="155">
        <v>44069.0</v>
      </c>
      <c r="B464" s="21" t="s">
        <v>183</v>
      </c>
      <c r="C464" s="21" t="s">
        <v>223</v>
      </c>
      <c r="D464" s="156">
        <v>888500.0</v>
      </c>
      <c r="E464" s="21" t="s">
        <v>211</v>
      </c>
      <c r="F464" s="156">
        <v>0.0</v>
      </c>
      <c r="G464" s="156">
        <v>0.0</v>
      </c>
      <c r="H464" s="156">
        <v>0.0</v>
      </c>
      <c r="I464" s="156">
        <v>888500.0</v>
      </c>
      <c r="J464" s="156">
        <v>0.0</v>
      </c>
    </row>
    <row r="465">
      <c r="A465" s="155">
        <v>44069.0</v>
      </c>
      <c r="B465" s="21" t="s">
        <v>216</v>
      </c>
      <c r="C465" s="21" t="s">
        <v>221</v>
      </c>
      <c r="D465" s="156">
        <v>300000.0</v>
      </c>
      <c r="E465" s="21" t="s">
        <v>201</v>
      </c>
      <c r="F465" s="156">
        <v>0.0</v>
      </c>
      <c r="G465" s="156">
        <v>0.0</v>
      </c>
      <c r="H465" s="156">
        <v>300000.0</v>
      </c>
      <c r="I465" s="156">
        <v>0.0</v>
      </c>
      <c r="J465" s="156">
        <v>0.0</v>
      </c>
    </row>
    <row r="466">
      <c r="A466" s="155">
        <v>44069.0</v>
      </c>
      <c r="B466" s="21" t="s">
        <v>220</v>
      </c>
      <c r="C466" s="21" t="s">
        <v>221</v>
      </c>
      <c r="D466" s="156">
        <v>7100000.0</v>
      </c>
      <c r="E466" s="21" t="s">
        <v>201</v>
      </c>
      <c r="F466" s="156">
        <v>0.0</v>
      </c>
      <c r="G466" s="156">
        <v>0.0</v>
      </c>
      <c r="H466" s="156">
        <v>7100000.0</v>
      </c>
      <c r="I466" s="156">
        <v>0.0</v>
      </c>
      <c r="J466" s="156">
        <v>0.0</v>
      </c>
    </row>
    <row r="467">
      <c r="A467" s="155">
        <v>44069.0</v>
      </c>
      <c r="B467" s="21" t="s">
        <v>171</v>
      </c>
      <c r="C467" s="21" t="s">
        <v>327</v>
      </c>
      <c r="D467" s="156">
        <v>20400.0</v>
      </c>
      <c r="E467" s="21" t="s">
        <v>202</v>
      </c>
      <c r="F467" s="156">
        <v>0.0</v>
      </c>
      <c r="G467" s="156">
        <v>0.0</v>
      </c>
      <c r="H467" s="156">
        <v>0.0</v>
      </c>
      <c r="I467" s="156">
        <v>0.0</v>
      </c>
      <c r="J467" s="156">
        <v>0.0</v>
      </c>
    </row>
    <row r="468">
      <c r="A468" s="155">
        <v>44070.0</v>
      </c>
      <c r="B468" s="21" t="s">
        <v>146</v>
      </c>
      <c r="C468" s="21" t="s">
        <v>392</v>
      </c>
      <c r="D468" s="156">
        <v>2000000.0</v>
      </c>
      <c r="E468" s="21" t="s">
        <v>202</v>
      </c>
      <c r="F468" s="156">
        <v>0.0</v>
      </c>
      <c r="G468" s="156">
        <v>0.0</v>
      </c>
      <c r="H468" s="156">
        <v>0.0</v>
      </c>
      <c r="I468" s="156">
        <v>0.0</v>
      </c>
      <c r="J468" s="156">
        <v>0.0</v>
      </c>
    </row>
    <row r="469">
      <c r="A469" s="155">
        <v>44070.0</v>
      </c>
      <c r="B469" s="21" t="s">
        <v>110</v>
      </c>
      <c r="C469" s="21" t="s">
        <v>392</v>
      </c>
      <c r="D469" s="156">
        <v>2000000.0</v>
      </c>
      <c r="E469" s="21" t="s">
        <v>202</v>
      </c>
      <c r="F469" s="156">
        <v>0.0</v>
      </c>
      <c r="G469" s="156">
        <v>0.0</v>
      </c>
      <c r="H469" s="156">
        <v>0.0</v>
      </c>
      <c r="I469" s="156">
        <v>0.0</v>
      </c>
      <c r="J469" s="156">
        <v>0.0</v>
      </c>
    </row>
    <row r="470">
      <c r="A470" s="155">
        <v>44070.0</v>
      </c>
      <c r="B470" s="21" t="s">
        <v>109</v>
      </c>
      <c r="C470" s="21" t="s">
        <v>297</v>
      </c>
      <c r="D470" s="156">
        <v>35000.0</v>
      </c>
      <c r="E470" s="21" t="s">
        <v>202</v>
      </c>
      <c r="F470" s="156">
        <v>0.0</v>
      </c>
      <c r="G470" s="156">
        <v>0.0</v>
      </c>
      <c r="H470" s="156">
        <v>0.0</v>
      </c>
      <c r="I470" s="156">
        <v>0.0</v>
      </c>
      <c r="J470" s="156">
        <v>0.0</v>
      </c>
    </row>
    <row r="471">
      <c r="A471" s="155">
        <v>44070.0</v>
      </c>
      <c r="B471" s="21" t="s">
        <v>406</v>
      </c>
      <c r="C471" s="21" t="s">
        <v>382</v>
      </c>
      <c r="D471" s="156">
        <v>20000.0</v>
      </c>
      <c r="E471" s="21" t="s">
        <v>205</v>
      </c>
      <c r="F471" s="156">
        <v>0.0</v>
      </c>
      <c r="G471" s="156">
        <v>20000.0</v>
      </c>
      <c r="H471" s="156">
        <v>0.0</v>
      </c>
      <c r="I471" s="156">
        <v>0.0</v>
      </c>
      <c r="J471" s="156">
        <v>0.0</v>
      </c>
    </row>
    <row r="472">
      <c r="A472" s="155">
        <v>44070.0</v>
      </c>
      <c r="B472" s="21" t="s">
        <v>216</v>
      </c>
      <c r="C472" s="21" t="s">
        <v>407</v>
      </c>
      <c r="D472" s="156">
        <v>800.0</v>
      </c>
      <c r="E472" s="21" t="s">
        <v>205</v>
      </c>
      <c r="F472" s="156">
        <v>0.0</v>
      </c>
      <c r="G472" s="156">
        <v>800.0</v>
      </c>
      <c r="H472" s="156">
        <v>0.0</v>
      </c>
      <c r="I472" s="156">
        <v>0.0</v>
      </c>
      <c r="J472" s="156">
        <v>0.0</v>
      </c>
    </row>
    <row r="473">
      <c r="A473" s="155">
        <v>44070.0</v>
      </c>
      <c r="B473" s="21" t="s">
        <v>183</v>
      </c>
      <c r="C473" s="21" t="s">
        <v>408</v>
      </c>
      <c r="D473" s="156">
        <v>3200.0</v>
      </c>
      <c r="E473" s="21" t="s">
        <v>205</v>
      </c>
      <c r="F473" s="156">
        <v>0.0</v>
      </c>
      <c r="G473" s="156">
        <v>3200.0</v>
      </c>
      <c r="H473" s="156">
        <v>0.0</v>
      </c>
      <c r="I473" s="156">
        <v>0.0</v>
      </c>
      <c r="J473" s="156">
        <v>0.0</v>
      </c>
    </row>
    <row r="474">
      <c r="A474" s="155">
        <v>44070.0</v>
      </c>
      <c r="B474" s="21" t="s">
        <v>296</v>
      </c>
      <c r="C474" s="21" t="s">
        <v>368</v>
      </c>
      <c r="D474" s="156">
        <v>25000.0</v>
      </c>
      <c r="E474" s="21" t="s">
        <v>205</v>
      </c>
      <c r="F474" s="156">
        <v>0.0</v>
      </c>
      <c r="G474" s="156">
        <v>25000.0</v>
      </c>
      <c r="H474" s="156">
        <v>0.0</v>
      </c>
      <c r="I474" s="156">
        <v>0.0</v>
      </c>
      <c r="J474" s="156">
        <v>0.0</v>
      </c>
    </row>
    <row r="475">
      <c r="A475" s="155">
        <v>44070.0</v>
      </c>
      <c r="B475" s="21" t="s">
        <v>220</v>
      </c>
      <c r="C475" s="21" t="s">
        <v>390</v>
      </c>
      <c r="D475" s="156">
        <v>2000.0</v>
      </c>
      <c r="E475" s="21" t="s">
        <v>205</v>
      </c>
      <c r="F475" s="156">
        <v>0.0</v>
      </c>
      <c r="G475" s="156">
        <v>2000.0</v>
      </c>
      <c r="H475" s="156">
        <v>0.0</v>
      </c>
      <c r="I475" s="156">
        <v>0.0</v>
      </c>
      <c r="J475" s="156">
        <v>0.0</v>
      </c>
    </row>
    <row r="476">
      <c r="A476" s="155">
        <v>44070.0</v>
      </c>
      <c r="B476" s="21" t="s">
        <v>248</v>
      </c>
      <c r="C476" s="21" t="s">
        <v>409</v>
      </c>
      <c r="D476" s="156">
        <v>4000.0</v>
      </c>
      <c r="E476" s="21" t="s">
        <v>205</v>
      </c>
      <c r="F476" s="156">
        <v>0.0</v>
      </c>
      <c r="G476" s="156">
        <v>4000.0</v>
      </c>
      <c r="H476" s="156">
        <v>0.0</v>
      </c>
      <c r="I476" s="156">
        <v>0.0</v>
      </c>
      <c r="J476" s="156">
        <v>0.0</v>
      </c>
    </row>
    <row r="477">
      <c r="A477" s="155">
        <v>44070.0</v>
      </c>
      <c r="B477" s="21" t="s">
        <v>220</v>
      </c>
      <c r="C477" s="21" t="s">
        <v>410</v>
      </c>
      <c r="D477" s="156">
        <v>100.0</v>
      </c>
      <c r="E477" s="21" t="s">
        <v>205</v>
      </c>
      <c r="F477" s="156">
        <v>0.0</v>
      </c>
      <c r="G477" s="156">
        <v>100.0</v>
      </c>
      <c r="H477" s="156">
        <v>0.0</v>
      </c>
      <c r="I477" s="156">
        <v>0.0</v>
      </c>
      <c r="J477" s="156">
        <v>0.0</v>
      </c>
    </row>
    <row r="478">
      <c r="A478" s="155">
        <v>44070.0</v>
      </c>
      <c r="B478" s="21" t="s">
        <v>216</v>
      </c>
      <c r="C478" s="21" t="s">
        <v>322</v>
      </c>
      <c r="D478" s="156">
        <v>2500.0</v>
      </c>
      <c r="E478" s="21" t="s">
        <v>205</v>
      </c>
      <c r="F478" s="156">
        <v>0.0</v>
      </c>
      <c r="G478" s="156">
        <v>2500.0</v>
      </c>
      <c r="H478" s="156">
        <v>0.0</v>
      </c>
      <c r="I478" s="156">
        <v>0.0</v>
      </c>
      <c r="J478" s="156">
        <v>0.0</v>
      </c>
    </row>
    <row r="479">
      <c r="A479" s="155">
        <v>44070.0</v>
      </c>
      <c r="B479" s="21" t="s">
        <v>183</v>
      </c>
      <c r="C479" s="21" t="s">
        <v>223</v>
      </c>
      <c r="D479" s="156">
        <v>428800.0</v>
      </c>
      <c r="E479" s="21" t="s">
        <v>211</v>
      </c>
      <c r="F479" s="156">
        <v>0.0</v>
      </c>
      <c r="G479" s="156">
        <v>0.0</v>
      </c>
      <c r="H479" s="156">
        <v>0.0</v>
      </c>
      <c r="I479" s="156">
        <v>428800.0</v>
      </c>
      <c r="J479" s="156">
        <v>0.0</v>
      </c>
    </row>
    <row r="480">
      <c r="A480" s="155">
        <v>44070.0</v>
      </c>
      <c r="B480" s="21" t="s">
        <v>216</v>
      </c>
      <c r="C480" s="21" t="s">
        <v>411</v>
      </c>
      <c r="D480" s="156">
        <v>71380.0</v>
      </c>
      <c r="E480" s="21" t="s">
        <v>211</v>
      </c>
      <c r="F480" s="156">
        <v>0.0</v>
      </c>
      <c r="G480" s="156">
        <v>0.0</v>
      </c>
      <c r="H480" s="156">
        <v>0.0</v>
      </c>
      <c r="I480" s="156">
        <v>71380.0</v>
      </c>
      <c r="J480" s="156">
        <v>0.0</v>
      </c>
    </row>
    <row r="481">
      <c r="A481" s="155">
        <v>44070.0</v>
      </c>
      <c r="B481" s="21" t="s">
        <v>220</v>
      </c>
      <c r="C481" s="21" t="s">
        <v>221</v>
      </c>
      <c r="D481" s="156">
        <v>600000.0</v>
      </c>
      <c r="E481" s="21" t="s">
        <v>201</v>
      </c>
      <c r="F481" s="156">
        <v>0.0</v>
      </c>
      <c r="G481" s="156">
        <v>0.0</v>
      </c>
      <c r="H481" s="156">
        <v>600000.0</v>
      </c>
      <c r="I481" s="156">
        <v>0.0</v>
      </c>
      <c r="J481" s="156">
        <v>0.0</v>
      </c>
    </row>
    <row r="482">
      <c r="A482" s="155">
        <v>44070.0</v>
      </c>
      <c r="B482" s="21" t="s">
        <v>216</v>
      </c>
      <c r="C482" s="21" t="s">
        <v>412</v>
      </c>
      <c r="D482" s="156">
        <v>4000000.0</v>
      </c>
      <c r="E482" s="21" t="s">
        <v>201</v>
      </c>
      <c r="F482" s="156">
        <v>0.0</v>
      </c>
      <c r="G482" s="156">
        <v>0.0</v>
      </c>
      <c r="H482" s="156">
        <v>4000000.0</v>
      </c>
      <c r="I482" s="156">
        <v>0.0</v>
      </c>
      <c r="J482" s="156">
        <v>0.0</v>
      </c>
    </row>
    <row r="483">
      <c r="A483" s="155">
        <v>44070.0</v>
      </c>
      <c r="B483" s="21" t="s">
        <v>216</v>
      </c>
      <c r="C483" s="21" t="s">
        <v>413</v>
      </c>
      <c r="D483" s="156">
        <v>71380.0</v>
      </c>
      <c r="E483" s="21" t="s">
        <v>201</v>
      </c>
      <c r="F483" s="156">
        <v>0.0</v>
      </c>
      <c r="G483" s="156">
        <v>0.0</v>
      </c>
      <c r="H483" s="156">
        <v>71380.0</v>
      </c>
      <c r="I483" s="156">
        <v>0.0</v>
      </c>
      <c r="J483" s="156">
        <v>0.0</v>
      </c>
    </row>
    <row r="484">
      <c r="A484" s="155">
        <v>44071.0</v>
      </c>
      <c r="B484" s="21" t="s">
        <v>109</v>
      </c>
      <c r="C484" s="21" t="s">
        <v>90</v>
      </c>
      <c r="D484" s="156">
        <v>50000.0</v>
      </c>
      <c r="E484" s="21" t="s">
        <v>202</v>
      </c>
      <c r="F484" s="156">
        <v>0.0</v>
      </c>
      <c r="G484" s="156">
        <v>0.0</v>
      </c>
      <c r="H484" s="156">
        <v>0.0</v>
      </c>
      <c r="I484" s="156">
        <v>0.0</v>
      </c>
      <c r="J484" s="156">
        <v>0.0</v>
      </c>
    </row>
    <row r="485">
      <c r="A485" s="155">
        <v>44071.0</v>
      </c>
      <c r="B485" s="21" t="s">
        <v>118</v>
      </c>
      <c r="C485" s="21" t="s">
        <v>90</v>
      </c>
      <c r="D485" s="156">
        <v>50000.0</v>
      </c>
      <c r="E485" s="21" t="s">
        <v>202</v>
      </c>
      <c r="F485" s="156">
        <v>0.0</v>
      </c>
      <c r="G485" s="156">
        <v>0.0</v>
      </c>
      <c r="H485" s="156">
        <v>0.0</v>
      </c>
      <c r="I485" s="156">
        <v>0.0</v>
      </c>
      <c r="J485" s="156">
        <v>0.0</v>
      </c>
    </row>
    <row r="486">
      <c r="A486" s="155">
        <v>44071.0</v>
      </c>
      <c r="B486" s="21" t="s">
        <v>152</v>
      </c>
      <c r="C486" s="21" t="s">
        <v>90</v>
      </c>
      <c r="D486" s="156">
        <v>100000.0</v>
      </c>
      <c r="E486" s="21" t="s">
        <v>202</v>
      </c>
      <c r="F486" s="156">
        <v>0.0</v>
      </c>
      <c r="G486" s="156">
        <v>0.0</v>
      </c>
      <c r="H486" s="156">
        <v>0.0</v>
      </c>
      <c r="I486" s="156">
        <v>0.0</v>
      </c>
      <c r="J486" s="156">
        <v>0.0</v>
      </c>
    </row>
    <row r="487">
      <c r="A487" s="155">
        <v>44071.0</v>
      </c>
      <c r="B487" s="21" t="s">
        <v>172</v>
      </c>
      <c r="C487" s="21" t="s">
        <v>90</v>
      </c>
      <c r="D487" s="156">
        <v>159000.0</v>
      </c>
      <c r="E487" s="21" t="s">
        <v>202</v>
      </c>
      <c r="F487" s="156">
        <v>0.0</v>
      </c>
      <c r="G487" s="156">
        <v>0.0</v>
      </c>
      <c r="H487" s="156">
        <v>0.0</v>
      </c>
      <c r="I487" s="156">
        <v>0.0</v>
      </c>
      <c r="J487" s="156">
        <v>0.0</v>
      </c>
    </row>
    <row r="488">
      <c r="A488" s="155">
        <v>44071.0</v>
      </c>
      <c r="B488" s="21" t="s">
        <v>258</v>
      </c>
      <c r="C488" s="21" t="s">
        <v>414</v>
      </c>
      <c r="D488" s="156">
        <v>65000.0</v>
      </c>
      <c r="E488" s="21" t="s">
        <v>205</v>
      </c>
      <c r="F488" s="156">
        <v>0.0</v>
      </c>
      <c r="G488" s="156">
        <v>65000.0</v>
      </c>
      <c r="H488" s="156">
        <v>0.0</v>
      </c>
      <c r="I488" s="156">
        <v>0.0</v>
      </c>
      <c r="J488" s="156">
        <v>0.0</v>
      </c>
    </row>
    <row r="489">
      <c r="A489" s="155">
        <v>44071.0</v>
      </c>
      <c r="B489" s="21" t="s">
        <v>220</v>
      </c>
      <c r="C489" s="21" t="s">
        <v>415</v>
      </c>
      <c r="D489" s="156">
        <v>200000.0</v>
      </c>
      <c r="E489" s="21" t="s">
        <v>205</v>
      </c>
      <c r="F489" s="156">
        <v>0.0</v>
      </c>
      <c r="G489" s="156">
        <v>200000.0</v>
      </c>
      <c r="H489" s="156">
        <v>0.0</v>
      </c>
      <c r="I489" s="156">
        <v>0.0</v>
      </c>
      <c r="J489" s="156">
        <v>0.0</v>
      </c>
    </row>
    <row r="490">
      <c r="A490" s="155">
        <v>44071.0</v>
      </c>
      <c r="B490" s="21" t="s">
        <v>296</v>
      </c>
      <c r="C490" s="21" t="s">
        <v>382</v>
      </c>
      <c r="D490" s="156">
        <v>1000.0</v>
      </c>
      <c r="E490" s="21" t="s">
        <v>205</v>
      </c>
      <c r="F490" s="156">
        <v>0.0</v>
      </c>
      <c r="G490" s="156">
        <v>1000.0</v>
      </c>
      <c r="H490" s="156">
        <v>0.0</v>
      </c>
      <c r="I490" s="156">
        <v>0.0</v>
      </c>
      <c r="J490" s="156">
        <v>0.0</v>
      </c>
    </row>
    <row r="491">
      <c r="A491" s="155">
        <v>44071.0</v>
      </c>
      <c r="B491" s="21" t="s">
        <v>416</v>
      </c>
      <c r="C491" s="21" t="s">
        <v>417</v>
      </c>
      <c r="D491" s="156">
        <v>4000.0</v>
      </c>
      <c r="E491" s="21" t="s">
        <v>205</v>
      </c>
      <c r="F491" s="156">
        <v>0.0</v>
      </c>
      <c r="G491" s="156">
        <v>4000.0</v>
      </c>
      <c r="H491" s="156">
        <v>0.0</v>
      </c>
      <c r="I491" s="156">
        <v>0.0</v>
      </c>
      <c r="J491" s="156">
        <v>0.0</v>
      </c>
    </row>
    <row r="492">
      <c r="A492" s="155">
        <v>44071.0</v>
      </c>
      <c r="B492" s="21" t="s">
        <v>406</v>
      </c>
      <c r="C492" s="21" t="s">
        <v>382</v>
      </c>
      <c r="D492" s="156">
        <v>20000.0</v>
      </c>
      <c r="E492" s="21" t="s">
        <v>205</v>
      </c>
      <c r="F492" s="156">
        <v>0.0</v>
      </c>
      <c r="G492" s="156">
        <v>20000.0</v>
      </c>
      <c r="H492" s="156">
        <v>0.0</v>
      </c>
      <c r="I492" s="156">
        <v>0.0</v>
      </c>
      <c r="J492" s="156">
        <v>0.0</v>
      </c>
    </row>
    <row r="493">
      <c r="A493" s="155">
        <v>44071.0</v>
      </c>
      <c r="B493" s="21" t="s">
        <v>225</v>
      </c>
      <c r="C493" s="21" t="s">
        <v>224</v>
      </c>
      <c r="D493" s="156">
        <v>1000.0</v>
      </c>
      <c r="E493" s="21" t="s">
        <v>205</v>
      </c>
      <c r="F493" s="156">
        <v>0.0</v>
      </c>
      <c r="G493" s="156">
        <v>1000.0</v>
      </c>
      <c r="H493" s="156">
        <v>0.0</v>
      </c>
      <c r="I493" s="156">
        <v>0.0</v>
      </c>
      <c r="J493" s="156">
        <v>0.0</v>
      </c>
    </row>
    <row r="494">
      <c r="A494" s="155">
        <v>44071.0</v>
      </c>
      <c r="B494" s="21" t="s">
        <v>248</v>
      </c>
      <c r="C494" s="21" t="s">
        <v>409</v>
      </c>
      <c r="D494" s="156">
        <v>3000.0</v>
      </c>
      <c r="E494" s="21" t="s">
        <v>205</v>
      </c>
      <c r="F494" s="156">
        <v>0.0</v>
      </c>
      <c r="G494" s="156">
        <v>3000.0</v>
      </c>
      <c r="H494" s="156">
        <v>0.0</v>
      </c>
      <c r="I494" s="156">
        <v>0.0</v>
      </c>
      <c r="J494" s="156">
        <v>0.0</v>
      </c>
    </row>
    <row r="495">
      <c r="A495" s="155">
        <v>44071.0</v>
      </c>
      <c r="B495" s="21" t="s">
        <v>183</v>
      </c>
      <c r="C495" s="21" t="s">
        <v>223</v>
      </c>
      <c r="D495" s="156">
        <v>1583400.0</v>
      </c>
      <c r="E495" s="21" t="s">
        <v>211</v>
      </c>
      <c r="F495" s="156">
        <v>0.0</v>
      </c>
      <c r="G495" s="156">
        <v>0.0</v>
      </c>
      <c r="H495" s="156">
        <v>0.0</v>
      </c>
      <c r="I495" s="156">
        <v>1583400.0</v>
      </c>
      <c r="J495" s="156">
        <v>0.0</v>
      </c>
    </row>
    <row r="496">
      <c r="A496" s="155">
        <v>44071.0</v>
      </c>
      <c r="B496" s="21" t="s">
        <v>216</v>
      </c>
      <c r="C496" s="21" t="s">
        <v>221</v>
      </c>
      <c r="D496" s="156">
        <v>3100000.0</v>
      </c>
      <c r="E496" s="21" t="s">
        <v>201</v>
      </c>
      <c r="F496" s="156">
        <v>0.0</v>
      </c>
      <c r="G496" s="156">
        <v>0.0</v>
      </c>
      <c r="H496" s="156">
        <v>3100000.0</v>
      </c>
      <c r="I496" s="156">
        <v>0.0</v>
      </c>
      <c r="J496" s="156">
        <v>0.0</v>
      </c>
    </row>
    <row r="497">
      <c r="A497" s="155">
        <v>44072.0</v>
      </c>
      <c r="B497" s="21" t="s">
        <v>109</v>
      </c>
      <c r="C497" s="21" t="s">
        <v>418</v>
      </c>
      <c r="D497" s="156">
        <v>5000.0</v>
      </c>
      <c r="E497" s="21" t="s">
        <v>202</v>
      </c>
      <c r="F497" s="156">
        <v>0.0</v>
      </c>
      <c r="G497" s="156">
        <v>0.0</v>
      </c>
      <c r="H497" s="156">
        <v>0.0</v>
      </c>
      <c r="I497" s="156">
        <v>0.0</v>
      </c>
      <c r="J497" s="156">
        <v>0.0</v>
      </c>
    </row>
    <row r="498">
      <c r="A498" s="155">
        <v>44072.0</v>
      </c>
      <c r="B498" s="21" t="s">
        <v>328</v>
      </c>
      <c r="C498" s="21" t="s">
        <v>292</v>
      </c>
      <c r="D498" s="156">
        <v>3000.0</v>
      </c>
      <c r="E498" s="21" t="s">
        <v>205</v>
      </c>
      <c r="F498" s="156">
        <v>0.0</v>
      </c>
      <c r="G498" s="156">
        <v>3000.0</v>
      </c>
      <c r="H498" s="156">
        <v>0.0</v>
      </c>
      <c r="I498" s="156">
        <v>0.0</v>
      </c>
      <c r="J498" s="156">
        <v>0.0</v>
      </c>
    </row>
    <row r="499">
      <c r="A499" s="155">
        <v>44072.0</v>
      </c>
      <c r="B499" s="21" t="s">
        <v>183</v>
      </c>
      <c r="C499" s="21" t="s">
        <v>419</v>
      </c>
      <c r="D499" s="156">
        <v>5400.0</v>
      </c>
      <c r="E499" s="21" t="s">
        <v>205</v>
      </c>
      <c r="F499" s="156">
        <v>0.0</v>
      </c>
      <c r="G499" s="156">
        <v>5400.0</v>
      </c>
      <c r="H499" s="156">
        <v>0.0</v>
      </c>
      <c r="I499" s="156">
        <v>0.0</v>
      </c>
      <c r="J499" s="156">
        <v>0.0</v>
      </c>
    </row>
    <row r="500">
      <c r="A500" s="155">
        <v>44072.0</v>
      </c>
      <c r="B500" s="21" t="s">
        <v>420</v>
      </c>
      <c r="C500" s="21" t="s">
        <v>251</v>
      </c>
      <c r="D500" s="156">
        <v>5000.0</v>
      </c>
      <c r="E500" s="21" t="s">
        <v>205</v>
      </c>
      <c r="F500" s="156">
        <v>0.0</v>
      </c>
      <c r="G500" s="156">
        <v>5000.0</v>
      </c>
      <c r="H500" s="156">
        <v>0.0</v>
      </c>
      <c r="I500" s="156">
        <v>0.0</v>
      </c>
      <c r="J500" s="156">
        <v>0.0</v>
      </c>
    </row>
    <row r="501">
      <c r="A501" s="155">
        <v>44072.0</v>
      </c>
      <c r="B501" s="21" t="s">
        <v>331</v>
      </c>
      <c r="C501" s="21" t="s">
        <v>421</v>
      </c>
      <c r="D501" s="156">
        <v>16500.0</v>
      </c>
      <c r="E501" s="21" t="s">
        <v>205</v>
      </c>
      <c r="F501" s="156">
        <v>0.0</v>
      </c>
      <c r="G501" s="156">
        <v>16500.0</v>
      </c>
      <c r="H501" s="156">
        <v>0.0</v>
      </c>
      <c r="I501" s="156">
        <v>0.0</v>
      </c>
      <c r="J501" s="156">
        <v>0.0</v>
      </c>
    </row>
    <row r="502">
      <c r="A502" s="155">
        <v>44072.0</v>
      </c>
      <c r="B502" s="21" t="s">
        <v>216</v>
      </c>
      <c r="C502" s="21" t="s">
        <v>322</v>
      </c>
      <c r="D502" s="156">
        <v>15000.0</v>
      </c>
      <c r="E502" s="21" t="s">
        <v>205</v>
      </c>
      <c r="F502" s="156">
        <v>0.0</v>
      </c>
      <c r="G502" s="156">
        <v>15000.0</v>
      </c>
      <c r="H502" s="156">
        <v>0.0</v>
      </c>
      <c r="I502" s="156">
        <v>0.0</v>
      </c>
      <c r="J502" s="156">
        <v>0.0</v>
      </c>
    </row>
    <row r="503">
      <c r="A503" s="155">
        <v>44072.0</v>
      </c>
      <c r="B503" s="21" t="s">
        <v>248</v>
      </c>
      <c r="C503" s="21" t="s">
        <v>409</v>
      </c>
      <c r="D503" s="156">
        <v>2500.0</v>
      </c>
      <c r="E503" s="21" t="s">
        <v>205</v>
      </c>
      <c r="F503" s="156">
        <v>0.0</v>
      </c>
      <c r="G503" s="156">
        <v>2500.0</v>
      </c>
      <c r="H503" s="156">
        <v>0.0</v>
      </c>
      <c r="I503" s="156">
        <v>0.0</v>
      </c>
      <c r="J503" s="156">
        <v>0.0</v>
      </c>
    </row>
    <row r="504">
      <c r="A504" s="155">
        <v>44072.0</v>
      </c>
      <c r="B504" s="21" t="s">
        <v>216</v>
      </c>
      <c r="C504" s="21" t="s">
        <v>422</v>
      </c>
      <c r="D504" s="156">
        <v>313100.0</v>
      </c>
      <c r="E504" s="21" t="s">
        <v>205</v>
      </c>
      <c r="F504" s="156">
        <v>0.0</v>
      </c>
      <c r="G504" s="156">
        <v>313100.0</v>
      </c>
      <c r="H504" s="156">
        <v>0.0</v>
      </c>
      <c r="I504" s="156">
        <v>0.0</v>
      </c>
      <c r="J504" s="156">
        <v>0.0</v>
      </c>
    </row>
    <row r="505">
      <c r="A505" s="155">
        <v>44072.0</v>
      </c>
      <c r="B505" s="21" t="s">
        <v>423</v>
      </c>
      <c r="C505" s="21"/>
      <c r="D505" s="156"/>
      <c r="E505" s="21"/>
      <c r="F505" s="156">
        <v>0.0</v>
      </c>
      <c r="G505" s="156">
        <v>0.0</v>
      </c>
      <c r="H505" s="156">
        <v>0.0</v>
      </c>
      <c r="I505" s="156">
        <v>0.0</v>
      </c>
      <c r="J505" s="156">
        <v>0.0</v>
      </c>
    </row>
    <row r="506">
      <c r="A506" s="155">
        <v>44072.0</v>
      </c>
      <c r="B506" s="21" t="s">
        <v>423</v>
      </c>
      <c r="C506" s="21" t="s">
        <v>327</v>
      </c>
      <c r="D506" s="156">
        <v>90000.0</v>
      </c>
      <c r="E506" s="21" t="s">
        <v>205</v>
      </c>
      <c r="F506" s="156">
        <v>0.0</v>
      </c>
      <c r="G506" s="156">
        <v>90000.0</v>
      </c>
      <c r="H506" s="156">
        <v>0.0</v>
      </c>
      <c r="I506" s="156">
        <v>0.0</v>
      </c>
      <c r="J506" s="156">
        <v>0.0</v>
      </c>
    </row>
    <row r="507">
      <c r="A507" s="155">
        <v>44072.0</v>
      </c>
      <c r="B507" s="21" t="s">
        <v>183</v>
      </c>
      <c r="C507" s="21" t="s">
        <v>223</v>
      </c>
      <c r="D507" s="156">
        <v>450500.0</v>
      </c>
      <c r="E507" s="21" t="s">
        <v>211</v>
      </c>
      <c r="F507" s="156">
        <v>0.0</v>
      </c>
      <c r="G507" s="156">
        <v>0.0</v>
      </c>
      <c r="H507" s="156">
        <v>0.0</v>
      </c>
      <c r="I507" s="156">
        <v>450500.0</v>
      </c>
      <c r="J507" s="156">
        <v>0.0</v>
      </c>
    </row>
    <row r="508">
      <c r="A508" s="155">
        <v>44074.0</v>
      </c>
      <c r="B508" s="21" t="s">
        <v>124</v>
      </c>
      <c r="C508" s="21" t="s">
        <v>90</v>
      </c>
      <c r="D508" s="156">
        <v>220000.0</v>
      </c>
      <c r="E508" s="21" t="s">
        <v>202</v>
      </c>
      <c r="F508" s="156">
        <v>0.0</v>
      </c>
      <c r="G508" s="156">
        <v>0.0</v>
      </c>
      <c r="H508" s="156">
        <v>0.0</v>
      </c>
      <c r="I508" s="156">
        <v>0.0</v>
      </c>
      <c r="J508" s="156">
        <v>0.0</v>
      </c>
    </row>
    <row r="509">
      <c r="A509" s="155">
        <v>44074.0</v>
      </c>
      <c r="B509" s="21" t="s">
        <v>117</v>
      </c>
      <c r="C509" s="21" t="s">
        <v>90</v>
      </c>
      <c r="D509" s="156">
        <v>35000.0</v>
      </c>
      <c r="E509" s="21" t="s">
        <v>202</v>
      </c>
      <c r="F509" s="156">
        <v>0.0</v>
      </c>
      <c r="G509" s="156">
        <v>0.0</v>
      </c>
      <c r="H509" s="156">
        <v>0.0</v>
      </c>
      <c r="I509" s="156">
        <v>0.0</v>
      </c>
      <c r="J509" s="156">
        <v>0.0</v>
      </c>
    </row>
    <row r="510">
      <c r="A510" s="155">
        <v>44074.0</v>
      </c>
      <c r="B510" s="21" t="s">
        <v>177</v>
      </c>
      <c r="C510" s="21" t="s">
        <v>251</v>
      </c>
      <c r="D510" s="156">
        <v>5000.0</v>
      </c>
      <c r="E510" s="21" t="s">
        <v>205</v>
      </c>
      <c r="F510" s="156">
        <v>0.0</v>
      </c>
      <c r="G510" s="156">
        <v>5000.0</v>
      </c>
      <c r="H510" s="156">
        <v>0.0</v>
      </c>
      <c r="I510" s="156">
        <v>0.0</v>
      </c>
      <c r="J510" s="156">
        <v>0.0</v>
      </c>
    </row>
    <row r="511">
      <c r="A511" s="155">
        <v>44074.0</v>
      </c>
      <c r="B511" s="21" t="s">
        <v>220</v>
      </c>
      <c r="C511" s="21" t="s">
        <v>382</v>
      </c>
      <c r="D511" s="156">
        <v>10000.0</v>
      </c>
      <c r="E511" s="21" t="s">
        <v>205</v>
      </c>
      <c r="F511" s="156">
        <v>0.0</v>
      </c>
      <c r="G511" s="156">
        <v>10000.0</v>
      </c>
      <c r="H511" s="156">
        <v>0.0</v>
      </c>
      <c r="I511" s="156">
        <v>0.0</v>
      </c>
      <c r="J511" s="156">
        <v>0.0</v>
      </c>
    </row>
    <row r="512">
      <c r="A512" s="155">
        <v>44074.0</v>
      </c>
      <c r="B512" s="21" t="s">
        <v>276</v>
      </c>
      <c r="C512" s="21" t="s">
        <v>277</v>
      </c>
      <c r="D512" s="156">
        <v>5000.0</v>
      </c>
      <c r="E512" s="21" t="s">
        <v>205</v>
      </c>
      <c r="F512" s="156">
        <v>0.0</v>
      </c>
      <c r="G512" s="156">
        <v>5000.0</v>
      </c>
      <c r="H512" s="156">
        <v>0.0</v>
      </c>
      <c r="I512" s="156">
        <v>0.0</v>
      </c>
      <c r="J512" s="156">
        <v>0.0</v>
      </c>
    </row>
    <row r="513">
      <c r="A513" s="155">
        <v>44074.0</v>
      </c>
      <c r="B513" s="21" t="s">
        <v>220</v>
      </c>
      <c r="C513" s="21" t="s">
        <v>424</v>
      </c>
      <c r="D513" s="156">
        <v>1000.0</v>
      </c>
      <c r="E513" s="21" t="s">
        <v>205</v>
      </c>
      <c r="F513" s="156">
        <v>0.0</v>
      </c>
      <c r="G513" s="156">
        <v>1000.0</v>
      </c>
      <c r="H513" s="156">
        <v>0.0</v>
      </c>
      <c r="I513" s="156">
        <v>0.0</v>
      </c>
      <c r="J513" s="156">
        <v>0.0</v>
      </c>
    </row>
    <row r="514">
      <c r="A514" s="155">
        <v>44074.0</v>
      </c>
      <c r="B514" s="21" t="s">
        <v>425</v>
      </c>
      <c r="C514" s="21" t="s">
        <v>426</v>
      </c>
      <c r="D514" s="156">
        <v>50000.0</v>
      </c>
      <c r="E514" s="21" t="s">
        <v>205</v>
      </c>
      <c r="F514" s="156">
        <v>0.0</v>
      </c>
      <c r="G514" s="156">
        <v>50000.0</v>
      </c>
      <c r="H514" s="156">
        <v>0.0</v>
      </c>
      <c r="I514" s="156">
        <v>0.0</v>
      </c>
      <c r="J514" s="156">
        <v>0.0</v>
      </c>
    </row>
    <row r="515">
      <c r="A515" s="155">
        <v>44074.0</v>
      </c>
      <c r="B515" s="21" t="s">
        <v>248</v>
      </c>
      <c r="C515" s="21" t="s">
        <v>409</v>
      </c>
      <c r="D515" s="156">
        <v>1500.0</v>
      </c>
      <c r="E515" s="21" t="s">
        <v>205</v>
      </c>
      <c r="F515" s="156">
        <v>0.0</v>
      </c>
      <c r="G515" s="156">
        <v>1500.0</v>
      </c>
      <c r="H515" s="156">
        <v>0.0</v>
      </c>
      <c r="I515" s="156">
        <v>0.0</v>
      </c>
      <c r="J515" s="156">
        <v>0.0</v>
      </c>
    </row>
    <row r="516">
      <c r="A516" s="155">
        <v>44074.0</v>
      </c>
      <c r="B516" s="21" t="s">
        <v>183</v>
      </c>
      <c r="C516" s="21" t="s">
        <v>223</v>
      </c>
      <c r="D516" s="156">
        <v>741500.0</v>
      </c>
      <c r="E516" s="21" t="s">
        <v>211</v>
      </c>
      <c r="F516" s="156">
        <v>0.0</v>
      </c>
      <c r="G516" s="156">
        <v>0.0</v>
      </c>
      <c r="H516" s="156">
        <v>0.0</v>
      </c>
      <c r="I516" s="156">
        <v>741500.0</v>
      </c>
      <c r="J516" s="156">
        <v>0.0</v>
      </c>
    </row>
    <row r="517">
      <c r="A517" s="155">
        <v>44074.0</v>
      </c>
      <c r="B517" s="21" t="s">
        <v>173</v>
      </c>
      <c r="C517" s="21" t="s">
        <v>90</v>
      </c>
      <c r="D517" s="156">
        <v>2500000.0</v>
      </c>
      <c r="E517" s="21" t="s">
        <v>202</v>
      </c>
      <c r="F517" s="156">
        <v>0.0</v>
      </c>
      <c r="G517" s="156">
        <v>0.0</v>
      </c>
      <c r="H517" s="156">
        <v>0.0</v>
      </c>
      <c r="I517" s="156">
        <v>0.0</v>
      </c>
      <c r="J517" s="156">
        <v>0.0</v>
      </c>
    </row>
    <row r="518">
      <c r="A518" s="155">
        <v>44074.0</v>
      </c>
      <c r="B518" s="21" t="s">
        <v>220</v>
      </c>
      <c r="C518" s="21" t="s">
        <v>221</v>
      </c>
      <c r="D518" s="156">
        <v>2500000.0</v>
      </c>
      <c r="E518" s="21" t="s">
        <v>201</v>
      </c>
      <c r="F518" s="156">
        <v>0.0</v>
      </c>
      <c r="G518" s="156">
        <v>0.0</v>
      </c>
      <c r="H518" s="156">
        <v>2500000.0</v>
      </c>
      <c r="I518" s="156">
        <v>0.0</v>
      </c>
      <c r="J518" s="156">
        <v>0.0</v>
      </c>
    </row>
    <row r="519">
      <c r="A519" s="155">
        <v>44075.0</v>
      </c>
      <c r="B519" s="21" t="s">
        <v>169</v>
      </c>
      <c r="C519" s="21" t="s">
        <v>90</v>
      </c>
      <c r="D519" s="156">
        <v>1105000.0</v>
      </c>
      <c r="E519" s="21" t="s">
        <v>202</v>
      </c>
      <c r="F519" s="156">
        <v>0.0</v>
      </c>
      <c r="G519" s="156">
        <v>0.0</v>
      </c>
      <c r="H519" s="156">
        <v>0.0</v>
      </c>
      <c r="I519" s="156">
        <v>0.0</v>
      </c>
      <c r="J519" s="156">
        <v>0.0</v>
      </c>
    </row>
    <row r="520">
      <c r="A520" s="155">
        <v>44075.0</v>
      </c>
      <c r="B520" s="21" t="s">
        <v>109</v>
      </c>
      <c r="C520" s="21" t="s">
        <v>90</v>
      </c>
      <c r="D520" s="156">
        <v>20000.0</v>
      </c>
      <c r="E520" s="21" t="s">
        <v>202</v>
      </c>
      <c r="F520" s="156">
        <v>0.0</v>
      </c>
      <c r="G520" s="156">
        <v>0.0</v>
      </c>
      <c r="H520" s="156">
        <v>0.0</v>
      </c>
      <c r="I520" s="156">
        <v>0.0</v>
      </c>
      <c r="J520" s="156">
        <v>0.0</v>
      </c>
    </row>
    <row r="521">
      <c r="A521" s="155">
        <v>44075.0</v>
      </c>
      <c r="B521" s="21" t="s">
        <v>159</v>
      </c>
      <c r="C521" s="21" t="s">
        <v>90</v>
      </c>
      <c r="D521" s="156">
        <v>936000.0</v>
      </c>
      <c r="E521" s="21" t="s">
        <v>202</v>
      </c>
      <c r="F521" s="156">
        <v>0.0</v>
      </c>
      <c r="G521" s="156">
        <v>0.0</v>
      </c>
      <c r="H521" s="156">
        <v>0.0</v>
      </c>
      <c r="I521" s="156">
        <v>0.0</v>
      </c>
      <c r="J521" s="156">
        <v>0.0</v>
      </c>
    </row>
    <row r="522">
      <c r="A522" s="155">
        <v>44075.0</v>
      </c>
      <c r="B522" s="21" t="s">
        <v>340</v>
      </c>
      <c r="C522" s="21" t="s">
        <v>226</v>
      </c>
      <c r="D522" s="156">
        <v>4000.0</v>
      </c>
      <c r="E522" s="21" t="s">
        <v>205</v>
      </c>
      <c r="F522" s="156">
        <v>0.0</v>
      </c>
      <c r="G522" s="156">
        <v>4000.0</v>
      </c>
      <c r="H522" s="156">
        <v>0.0</v>
      </c>
      <c r="I522" s="156">
        <v>0.0</v>
      </c>
      <c r="J522" s="156">
        <v>0.0</v>
      </c>
    </row>
    <row r="523">
      <c r="A523" s="155">
        <v>44075.0</v>
      </c>
      <c r="B523" s="21" t="s">
        <v>328</v>
      </c>
      <c r="C523" s="21" t="s">
        <v>390</v>
      </c>
      <c r="D523" s="156">
        <v>500.0</v>
      </c>
      <c r="E523" s="21" t="s">
        <v>205</v>
      </c>
      <c r="F523" s="156">
        <v>0.0</v>
      </c>
      <c r="G523" s="156">
        <v>500.0</v>
      </c>
      <c r="H523" s="156">
        <v>0.0</v>
      </c>
      <c r="I523" s="156">
        <v>0.0</v>
      </c>
      <c r="J523" s="156">
        <v>0.0</v>
      </c>
    </row>
    <row r="524">
      <c r="A524" s="155">
        <v>44075.0</v>
      </c>
      <c r="B524" s="21" t="s">
        <v>273</v>
      </c>
      <c r="C524" s="21" t="s">
        <v>427</v>
      </c>
      <c r="D524" s="156">
        <v>1000.0</v>
      </c>
      <c r="E524" s="21" t="s">
        <v>205</v>
      </c>
      <c r="F524" s="156">
        <v>0.0</v>
      </c>
      <c r="G524" s="156">
        <v>1000.0</v>
      </c>
      <c r="H524" s="156">
        <v>0.0</v>
      </c>
      <c r="I524" s="156">
        <v>0.0</v>
      </c>
      <c r="J524" s="156">
        <v>0.0</v>
      </c>
    </row>
    <row r="525">
      <c r="A525" s="155">
        <v>44075.0</v>
      </c>
      <c r="B525" s="21" t="s">
        <v>350</v>
      </c>
      <c r="C525" s="21" t="s">
        <v>224</v>
      </c>
      <c r="D525" s="156">
        <v>100.0</v>
      </c>
      <c r="E525" s="21" t="s">
        <v>205</v>
      </c>
      <c r="F525" s="156">
        <v>0.0</v>
      </c>
      <c r="G525" s="156">
        <v>100.0</v>
      </c>
      <c r="H525" s="156">
        <v>0.0</v>
      </c>
      <c r="I525" s="156">
        <v>0.0</v>
      </c>
      <c r="J525" s="156">
        <v>0.0</v>
      </c>
    </row>
    <row r="526">
      <c r="A526" s="155">
        <v>44075.0</v>
      </c>
      <c r="B526" s="21" t="s">
        <v>225</v>
      </c>
      <c r="C526" s="21" t="s">
        <v>428</v>
      </c>
      <c r="D526" s="156">
        <v>11500.0</v>
      </c>
      <c r="E526" s="21" t="s">
        <v>205</v>
      </c>
      <c r="F526" s="156">
        <v>0.0</v>
      </c>
      <c r="G526" s="156">
        <v>11500.0</v>
      </c>
      <c r="H526" s="156">
        <v>0.0</v>
      </c>
      <c r="I526" s="156">
        <v>0.0</v>
      </c>
      <c r="J526" s="156">
        <v>0.0</v>
      </c>
    </row>
    <row r="527">
      <c r="A527" s="155">
        <v>44075.0</v>
      </c>
      <c r="B527" s="21" t="s">
        <v>429</v>
      </c>
      <c r="C527" s="21" t="s">
        <v>409</v>
      </c>
      <c r="D527" s="156">
        <v>20000.0</v>
      </c>
      <c r="E527" s="21" t="s">
        <v>205</v>
      </c>
      <c r="F527" s="156">
        <v>0.0</v>
      </c>
      <c r="G527" s="156">
        <v>20000.0</v>
      </c>
      <c r="H527" s="156">
        <v>0.0</v>
      </c>
      <c r="I527" s="156">
        <v>0.0</v>
      </c>
      <c r="J527" s="156">
        <v>0.0</v>
      </c>
    </row>
    <row r="528">
      <c r="A528" s="155">
        <v>44075.0</v>
      </c>
      <c r="B528" s="21" t="s">
        <v>183</v>
      </c>
      <c r="C528" s="21" t="s">
        <v>223</v>
      </c>
      <c r="D528" s="156">
        <v>941900.0</v>
      </c>
      <c r="E528" s="21" t="s">
        <v>211</v>
      </c>
      <c r="F528" s="156">
        <v>0.0</v>
      </c>
      <c r="G528" s="156">
        <v>0.0</v>
      </c>
      <c r="H528" s="156">
        <v>0.0</v>
      </c>
      <c r="I528" s="156">
        <v>941900.0</v>
      </c>
      <c r="J528" s="156">
        <v>0.0</v>
      </c>
    </row>
    <row r="529">
      <c r="A529" s="155">
        <v>44075.0</v>
      </c>
      <c r="B529" s="21" t="s">
        <v>220</v>
      </c>
      <c r="C529" s="21" t="s">
        <v>221</v>
      </c>
      <c r="D529" s="156">
        <v>3000000.0</v>
      </c>
      <c r="E529" s="21" t="s">
        <v>201</v>
      </c>
      <c r="F529" s="156">
        <v>0.0</v>
      </c>
      <c r="G529" s="156">
        <v>0.0</v>
      </c>
      <c r="H529" s="156">
        <v>3000000.0</v>
      </c>
      <c r="I529" s="156">
        <v>0.0</v>
      </c>
      <c r="J529" s="156">
        <v>0.0</v>
      </c>
    </row>
    <row r="530">
      <c r="A530" s="155">
        <v>44077.0</v>
      </c>
      <c r="B530" s="21" t="s">
        <v>107</v>
      </c>
      <c r="C530" s="21" t="s">
        <v>90</v>
      </c>
      <c r="D530" s="156">
        <v>500000.0</v>
      </c>
      <c r="E530" s="21" t="s">
        <v>202</v>
      </c>
      <c r="F530" s="156">
        <v>0.0</v>
      </c>
      <c r="G530" s="156">
        <v>0.0</v>
      </c>
      <c r="H530" s="156">
        <v>0.0</v>
      </c>
      <c r="I530" s="156">
        <v>0.0</v>
      </c>
      <c r="J530" s="156">
        <v>0.0</v>
      </c>
    </row>
    <row r="531">
      <c r="A531" s="155">
        <v>44077.0</v>
      </c>
      <c r="B531" s="21" t="s">
        <v>328</v>
      </c>
      <c r="C531" s="21" t="s">
        <v>390</v>
      </c>
      <c r="D531" s="156">
        <v>5000.0</v>
      </c>
      <c r="E531" s="21" t="s">
        <v>205</v>
      </c>
      <c r="F531" s="156">
        <v>0.0</v>
      </c>
      <c r="G531" s="156">
        <v>5000.0</v>
      </c>
      <c r="H531" s="156">
        <v>0.0</v>
      </c>
      <c r="I531" s="156">
        <v>0.0</v>
      </c>
      <c r="J531" s="156">
        <v>0.0</v>
      </c>
    </row>
    <row r="532">
      <c r="A532" s="155">
        <v>44077.0</v>
      </c>
      <c r="B532" s="21" t="s">
        <v>216</v>
      </c>
      <c r="C532" s="21" t="s">
        <v>430</v>
      </c>
      <c r="D532" s="156">
        <v>8500.0</v>
      </c>
      <c r="E532" s="21" t="s">
        <v>205</v>
      </c>
      <c r="F532" s="156">
        <v>0.0</v>
      </c>
      <c r="G532" s="156">
        <v>8500.0</v>
      </c>
      <c r="H532" s="156">
        <v>0.0</v>
      </c>
      <c r="I532" s="156">
        <v>0.0</v>
      </c>
      <c r="J532" s="156">
        <v>0.0</v>
      </c>
    </row>
    <row r="533">
      <c r="A533" s="155">
        <v>44077.0</v>
      </c>
      <c r="B533" s="21" t="s">
        <v>248</v>
      </c>
      <c r="C533" s="21" t="s">
        <v>409</v>
      </c>
      <c r="D533" s="156">
        <v>2500.0</v>
      </c>
      <c r="E533" s="21" t="s">
        <v>205</v>
      </c>
      <c r="F533" s="156">
        <v>0.0</v>
      </c>
      <c r="G533" s="156">
        <v>2500.0</v>
      </c>
      <c r="H533" s="156">
        <v>0.0</v>
      </c>
      <c r="I533" s="156">
        <v>0.0</v>
      </c>
      <c r="J533" s="156">
        <v>0.0</v>
      </c>
    </row>
    <row r="534">
      <c r="A534" s="155">
        <v>44077.0</v>
      </c>
      <c r="B534" s="21" t="s">
        <v>225</v>
      </c>
      <c r="C534" s="21" t="s">
        <v>368</v>
      </c>
      <c r="D534" s="156">
        <v>1000.0</v>
      </c>
      <c r="E534" s="21" t="s">
        <v>205</v>
      </c>
      <c r="F534" s="156">
        <v>0.0</v>
      </c>
      <c r="G534" s="156">
        <v>1000.0</v>
      </c>
      <c r="H534" s="156">
        <v>0.0</v>
      </c>
      <c r="I534" s="156">
        <v>0.0</v>
      </c>
      <c r="J534" s="156">
        <v>0.0</v>
      </c>
    </row>
    <row r="535">
      <c r="A535" s="155">
        <v>44077.0</v>
      </c>
      <c r="B535" s="21" t="s">
        <v>225</v>
      </c>
      <c r="C535" s="21" t="s">
        <v>226</v>
      </c>
      <c r="D535" s="156">
        <v>4000.0</v>
      </c>
      <c r="E535" s="21" t="s">
        <v>205</v>
      </c>
      <c r="F535" s="156">
        <v>0.0</v>
      </c>
      <c r="G535" s="156">
        <v>4000.0</v>
      </c>
      <c r="H535" s="156">
        <v>0.0</v>
      </c>
      <c r="I535" s="156">
        <v>0.0</v>
      </c>
      <c r="J535" s="156">
        <v>0.0</v>
      </c>
    </row>
    <row r="536">
      <c r="A536" s="155">
        <v>44077.0</v>
      </c>
      <c r="B536" s="21" t="s">
        <v>302</v>
      </c>
      <c r="C536" s="21" t="s">
        <v>224</v>
      </c>
      <c r="D536" s="156">
        <v>1000.0</v>
      </c>
      <c r="E536" s="21" t="s">
        <v>205</v>
      </c>
      <c r="F536" s="156">
        <v>0.0</v>
      </c>
      <c r="G536" s="156">
        <v>1000.0</v>
      </c>
      <c r="H536" s="156">
        <v>0.0</v>
      </c>
      <c r="I536" s="156">
        <v>0.0</v>
      </c>
      <c r="J536" s="156">
        <v>0.0</v>
      </c>
    </row>
    <row r="537">
      <c r="A537" s="155">
        <v>44077.0</v>
      </c>
      <c r="B537" s="21" t="s">
        <v>183</v>
      </c>
      <c r="C537" s="21" t="s">
        <v>223</v>
      </c>
      <c r="D537" s="156">
        <v>53000.0</v>
      </c>
      <c r="E537" s="21" t="s">
        <v>211</v>
      </c>
      <c r="F537" s="156">
        <v>0.0</v>
      </c>
      <c r="G537" s="156">
        <v>0.0</v>
      </c>
      <c r="H537" s="156">
        <v>0.0</v>
      </c>
      <c r="I537" s="156">
        <v>53000.0</v>
      </c>
      <c r="J537" s="156">
        <v>0.0</v>
      </c>
    </row>
    <row r="538">
      <c r="A538" s="155">
        <v>44077.0</v>
      </c>
      <c r="B538" s="21" t="s">
        <v>220</v>
      </c>
      <c r="C538" s="21" t="s">
        <v>221</v>
      </c>
      <c r="D538" s="156">
        <v>2300000.0</v>
      </c>
      <c r="E538" s="21" t="s">
        <v>201</v>
      </c>
      <c r="F538" s="156">
        <v>0.0</v>
      </c>
      <c r="G538" s="156">
        <v>0.0</v>
      </c>
      <c r="H538" s="156">
        <v>2300000.0</v>
      </c>
      <c r="I538" s="156">
        <v>0.0</v>
      </c>
      <c r="J538" s="156">
        <v>0.0</v>
      </c>
    </row>
    <row r="539">
      <c r="A539" s="155">
        <v>44077.0</v>
      </c>
      <c r="B539" s="21" t="s">
        <v>156</v>
      </c>
      <c r="C539" s="21" t="s">
        <v>90</v>
      </c>
      <c r="D539" s="156">
        <v>635000.0</v>
      </c>
      <c r="E539" s="21"/>
      <c r="F539" s="156">
        <v>0.0</v>
      </c>
      <c r="G539" s="156">
        <v>0.0</v>
      </c>
      <c r="H539" s="156">
        <v>0.0</v>
      </c>
      <c r="I539" s="156">
        <v>0.0</v>
      </c>
      <c r="J539" s="156">
        <v>0.0</v>
      </c>
    </row>
    <row r="540">
      <c r="A540" s="155">
        <v>44077.0</v>
      </c>
      <c r="B540" s="21" t="s">
        <v>156</v>
      </c>
      <c r="C540" s="21" t="s">
        <v>90</v>
      </c>
      <c r="D540" s="156">
        <v>635000.0</v>
      </c>
      <c r="E540" s="21" t="s">
        <v>202</v>
      </c>
      <c r="F540" s="156">
        <v>0.0</v>
      </c>
      <c r="G540" s="156">
        <v>0.0</v>
      </c>
      <c r="H540" s="156">
        <v>0.0</v>
      </c>
      <c r="I540" s="156">
        <v>0.0</v>
      </c>
      <c r="J540" s="156">
        <v>0.0</v>
      </c>
    </row>
    <row r="541">
      <c r="A541" s="155">
        <v>44078.0</v>
      </c>
      <c r="B541" s="21" t="s">
        <v>150</v>
      </c>
      <c r="C541" s="21" t="s">
        <v>90</v>
      </c>
      <c r="D541" s="156">
        <v>1000000.0</v>
      </c>
      <c r="E541" s="21" t="s">
        <v>202</v>
      </c>
      <c r="F541" s="156">
        <v>0.0</v>
      </c>
      <c r="G541" s="156">
        <v>0.0</v>
      </c>
      <c r="H541" s="156">
        <v>0.0</v>
      </c>
      <c r="I541" s="156">
        <v>0.0</v>
      </c>
      <c r="J541" s="156">
        <v>0.0</v>
      </c>
    </row>
    <row r="542">
      <c r="A542" s="155">
        <v>44078.0</v>
      </c>
      <c r="B542" s="21" t="s">
        <v>431</v>
      </c>
      <c r="C542" s="21" t="s">
        <v>421</v>
      </c>
      <c r="D542" s="156">
        <v>11500.0</v>
      </c>
      <c r="E542" s="21" t="s">
        <v>205</v>
      </c>
      <c r="F542" s="156">
        <v>0.0</v>
      </c>
      <c r="G542" s="156">
        <v>11500.0</v>
      </c>
      <c r="H542" s="156">
        <v>0.0</v>
      </c>
      <c r="I542" s="156">
        <v>0.0</v>
      </c>
      <c r="J542" s="156">
        <v>0.0</v>
      </c>
    </row>
    <row r="543">
      <c r="A543" s="155">
        <v>44078.0</v>
      </c>
      <c r="B543" s="21" t="s">
        <v>248</v>
      </c>
      <c r="C543" s="21" t="s">
        <v>409</v>
      </c>
      <c r="D543" s="156">
        <v>1500.0</v>
      </c>
      <c r="E543" s="21" t="s">
        <v>205</v>
      </c>
      <c r="F543" s="156">
        <v>0.0</v>
      </c>
      <c r="G543" s="156">
        <v>1500.0</v>
      </c>
      <c r="H543" s="156">
        <v>0.0</v>
      </c>
      <c r="I543" s="156">
        <v>0.0</v>
      </c>
      <c r="J543" s="156">
        <v>0.0</v>
      </c>
    </row>
    <row r="544">
      <c r="A544" s="155">
        <v>44078.0</v>
      </c>
      <c r="B544" s="21" t="s">
        <v>183</v>
      </c>
      <c r="C544" s="21" t="s">
        <v>223</v>
      </c>
      <c r="D544" s="156">
        <v>13000.0</v>
      </c>
      <c r="E544" s="21" t="s">
        <v>211</v>
      </c>
      <c r="F544" s="156">
        <v>0.0</v>
      </c>
      <c r="G544" s="156">
        <v>0.0</v>
      </c>
      <c r="H544" s="156">
        <v>0.0</v>
      </c>
      <c r="I544" s="156">
        <v>13000.0</v>
      </c>
      <c r="J544" s="156">
        <v>0.0</v>
      </c>
    </row>
    <row r="545">
      <c r="A545" s="155">
        <v>44078.0</v>
      </c>
      <c r="B545" s="21" t="s">
        <v>220</v>
      </c>
      <c r="C545" s="21" t="s">
        <v>221</v>
      </c>
      <c r="D545" s="156">
        <v>1000000.0</v>
      </c>
      <c r="E545" s="21" t="s">
        <v>201</v>
      </c>
      <c r="F545" s="156">
        <v>0.0</v>
      </c>
      <c r="G545" s="156">
        <v>0.0</v>
      </c>
      <c r="H545" s="156">
        <v>1000000.0</v>
      </c>
      <c r="I545" s="156">
        <v>0.0</v>
      </c>
      <c r="J545" s="156">
        <v>0.0</v>
      </c>
    </row>
    <row r="546">
      <c r="A546" s="155">
        <v>44079.0</v>
      </c>
      <c r="B546" s="21" t="s">
        <v>248</v>
      </c>
      <c r="C546" s="21" t="s">
        <v>432</v>
      </c>
      <c r="D546" s="156">
        <v>21500.0</v>
      </c>
      <c r="E546" s="21" t="s">
        <v>205</v>
      </c>
      <c r="F546" s="156">
        <v>0.0</v>
      </c>
      <c r="G546" s="156">
        <v>21500.0</v>
      </c>
      <c r="H546" s="156">
        <v>0.0</v>
      </c>
      <c r="I546" s="156">
        <v>0.0</v>
      </c>
      <c r="J546" s="156">
        <v>0.0</v>
      </c>
    </row>
    <row r="547">
      <c r="A547" s="155">
        <v>44079.0</v>
      </c>
      <c r="B547" s="21" t="s">
        <v>183</v>
      </c>
      <c r="C547" s="21" t="s">
        <v>223</v>
      </c>
      <c r="D547" s="156">
        <v>50000.0</v>
      </c>
      <c r="E547" s="21" t="s">
        <v>211</v>
      </c>
      <c r="F547" s="156">
        <v>0.0</v>
      </c>
      <c r="G547" s="156">
        <v>0.0</v>
      </c>
      <c r="H547" s="156">
        <v>0.0</v>
      </c>
      <c r="I547" s="156">
        <v>50000.0</v>
      </c>
      <c r="J547" s="156">
        <v>0.0</v>
      </c>
    </row>
    <row r="548">
      <c r="A548" s="155">
        <v>44081.0</v>
      </c>
      <c r="B548" s="21" t="s">
        <v>107</v>
      </c>
      <c r="C548" s="21" t="s">
        <v>90</v>
      </c>
      <c r="D548" s="156">
        <v>20000.0</v>
      </c>
      <c r="E548" s="21" t="s">
        <v>202</v>
      </c>
      <c r="F548" s="156">
        <v>0.0</v>
      </c>
      <c r="G548" s="156">
        <v>0.0</v>
      </c>
      <c r="H548" s="156">
        <v>0.0</v>
      </c>
      <c r="I548" s="156">
        <v>0.0</v>
      </c>
      <c r="J548" s="156">
        <v>0.0</v>
      </c>
    </row>
    <row r="549">
      <c r="A549" s="155">
        <v>44081.0</v>
      </c>
      <c r="B549" s="21" t="s">
        <v>144</v>
      </c>
      <c r="C549" s="21" t="s">
        <v>90</v>
      </c>
      <c r="D549" s="156">
        <v>250000.0</v>
      </c>
      <c r="E549" s="21" t="s">
        <v>202</v>
      </c>
      <c r="F549" s="156">
        <v>0.0</v>
      </c>
      <c r="G549" s="156">
        <v>0.0</v>
      </c>
      <c r="H549" s="156">
        <v>0.0</v>
      </c>
      <c r="I549" s="156">
        <v>0.0</v>
      </c>
      <c r="J549" s="156">
        <v>0.0</v>
      </c>
    </row>
    <row r="550">
      <c r="A550" s="155">
        <v>44081.0</v>
      </c>
      <c r="B550" s="21" t="s">
        <v>228</v>
      </c>
      <c r="C550" s="21" t="s">
        <v>433</v>
      </c>
      <c r="D550" s="156">
        <v>1000.0</v>
      </c>
      <c r="E550" s="21" t="s">
        <v>205</v>
      </c>
      <c r="F550" s="156">
        <v>0.0</v>
      </c>
      <c r="G550" s="156">
        <v>1000.0</v>
      </c>
      <c r="H550" s="156">
        <v>0.0</v>
      </c>
      <c r="I550" s="156">
        <v>0.0</v>
      </c>
      <c r="J550" s="156">
        <v>0.0</v>
      </c>
    </row>
    <row r="551">
      <c r="A551" s="155">
        <v>44081.0</v>
      </c>
      <c r="B551" s="21" t="s">
        <v>225</v>
      </c>
      <c r="C551" s="21" t="s">
        <v>434</v>
      </c>
      <c r="D551" s="156">
        <v>3000.0</v>
      </c>
      <c r="E551" s="21" t="s">
        <v>205</v>
      </c>
      <c r="F551" s="156">
        <v>0.0</v>
      </c>
      <c r="G551" s="156">
        <v>3000.0</v>
      </c>
      <c r="H551" s="156">
        <v>0.0</v>
      </c>
      <c r="I551" s="156">
        <v>0.0</v>
      </c>
      <c r="J551" s="156">
        <v>0.0</v>
      </c>
    </row>
    <row r="552">
      <c r="A552" s="155">
        <v>44081.0</v>
      </c>
      <c r="B552" s="21" t="s">
        <v>216</v>
      </c>
      <c r="C552" s="21" t="s">
        <v>372</v>
      </c>
      <c r="D552" s="156">
        <v>900000.0</v>
      </c>
      <c r="E552" s="21" t="s">
        <v>205</v>
      </c>
      <c r="F552" s="156">
        <v>0.0</v>
      </c>
      <c r="G552" s="156">
        <v>900000.0</v>
      </c>
      <c r="H552" s="156">
        <v>0.0</v>
      </c>
      <c r="I552" s="156">
        <v>0.0</v>
      </c>
      <c r="J552" s="156">
        <v>0.0</v>
      </c>
    </row>
    <row r="553">
      <c r="A553" s="155">
        <v>44081.0</v>
      </c>
      <c r="B553" s="21" t="s">
        <v>183</v>
      </c>
      <c r="C553" s="21" t="s">
        <v>223</v>
      </c>
      <c r="D553" s="156">
        <v>1203500.0</v>
      </c>
      <c r="E553" s="21" t="s">
        <v>211</v>
      </c>
      <c r="F553" s="156">
        <v>0.0</v>
      </c>
      <c r="G553" s="156">
        <v>0.0</v>
      </c>
      <c r="H553" s="156">
        <v>0.0</v>
      </c>
      <c r="I553" s="156">
        <v>1203500.0</v>
      </c>
      <c r="J553" s="156">
        <v>0.0</v>
      </c>
    </row>
    <row r="554">
      <c r="A554" s="155">
        <v>44081.0</v>
      </c>
      <c r="B554" s="21" t="s">
        <v>220</v>
      </c>
      <c r="C554" s="21" t="s">
        <v>221</v>
      </c>
      <c r="D554" s="156">
        <v>500000.0</v>
      </c>
      <c r="E554" s="21" t="s">
        <v>201</v>
      </c>
      <c r="F554" s="156">
        <v>0.0</v>
      </c>
      <c r="G554" s="156">
        <v>0.0</v>
      </c>
      <c r="H554" s="156">
        <v>500000.0</v>
      </c>
      <c r="I554" s="156">
        <v>0.0</v>
      </c>
      <c r="J554" s="156">
        <v>0.0</v>
      </c>
    </row>
    <row r="555">
      <c r="A555" s="155">
        <v>44082.0</v>
      </c>
      <c r="B555" s="21" t="s">
        <v>107</v>
      </c>
      <c r="C555" s="21" t="s">
        <v>90</v>
      </c>
      <c r="D555" s="156">
        <v>262000.0</v>
      </c>
      <c r="E555" s="21" t="s">
        <v>202</v>
      </c>
      <c r="F555" s="156">
        <v>0.0</v>
      </c>
      <c r="G555" s="156">
        <v>0.0</v>
      </c>
      <c r="H555" s="156">
        <v>0.0</v>
      </c>
      <c r="I555" s="156">
        <v>0.0</v>
      </c>
      <c r="J555" s="156">
        <v>0.0</v>
      </c>
    </row>
    <row r="556">
      <c r="A556" s="155">
        <v>44082.0</v>
      </c>
      <c r="B556" s="21" t="s">
        <v>143</v>
      </c>
      <c r="C556" s="21" t="s">
        <v>90</v>
      </c>
      <c r="D556" s="156">
        <v>50000.0</v>
      </c>
      <c r="E556" s="21" t="s">
        <v>202</v>
      </c>
      <c r="F556" s="156">
        <v>0.0</v>
      </c>
      <c r="G556" s="156">
        <v>0.0</v>
      </c>
      <c r="H556" s="156">
        <v>0.0</v>
      </c>
      <c r="I556" s="156">
        <v>0.0</v>
      </c>
      <c r="J556" s="156">
        <v>0.0</v>
      </c>
    </row>
    <row r="557">
      <c r="A557" s="155">
        <v>44082.0</v>
      </c>
      <c r="B557" s="21" t="s">
        <v>36</v>
      </c>
      <c r="C557" s="21" t="s">
        <v>435</v>
      </c>
      <c r="D557" s="156">
        <v>10000.0</v>
      </c>
      <c r="E557" s="21" t="s">
        <v>202</v>
      </c>
      <c r="F557" s="156">
        <v>0.0</v>
      </c>
      <c r="G557" s="156">
        <v>0.0</v>
      </c>
      <c r="H557" s="156">
        <v>0.0</v>
      </c>
      <c r="I557" s="156">
        <v>0.0</v>
      </c>
      <c r="J557" s="156">
        <v>0.0</v>
      </c>
    </row>
    <row r="558">
      <c r="A558" s="155">
        <v>44082.0</v>
      </c>
      <c r="B558" s="21" t="s">
        <v>174</v>
      </c>
      <c r="C558" s="21" t="s">
        <v>436</v>
      </c>
      <c r="D558" s="156">
        <v>4000.0</v>
      </c>
      <c r="E558" s="21" t="s">
        <v>202</v>
      </c>
      <c r="F558" s="156">
        <v>0.0</v>
      </c>
      <c r="G558" s="156">
        <v>0.0</v>
      </c>
      <c r="H558" s="156">
        <v>0.0</v>
      </c>
      <c r="I558" s="156">
        <v>0.0</v>
      </c>
      <c r="J558" s="156">
        <v>0.0</v>
      </c>
    </row>
    <row r="559">
      <c r="A559" s="155">
        <v>44082.0</v>
      </c>
      <c r="B559" s="21" t="s">
        <v>273</v>
      </c>
      <c r="C559" s="21" t="s">
        <v>437</v>
      </c>
      <c r="D559" s="156">
        <v>1000.0</v>
      </c>
      <c r="E559" s="21" t="s">
        <v>205</v>
      </c>
      <c r="F559" s="156">
        <v>0.0</v>
      </c>
      <c r="G559" s="156">
        <v>1000.0</v>
      </c>
      <c r="H559" s="156">
        <v>0.0</v>
      </c>
      <c r="I559" s="156">
        <v>0.0</v>
      </c>
      <c r="J559" s="156">
        <v>0.0</v>
      </c>
    </row>
    <row r="560">
      <c r="A560" s="155">
        <v>44082.0</v>
      </c>
      <c r="B560" s="21" t="s">
        <v>225</v>
      </c>
      <c r="C560" s="21" t="s">
        <v>388</v>
      </c>
      <c r="D560" s="156">
        <v>2000.0</v>
      </c>
      <c r="E560" s="21" t="s">
        <v>205</v>
      </c>
      <c r="F560" s="156">
        <v>0.0</v>
      </c>
      <c r="G560" s="156">
        <v>2000.0</v>
      </c>
      <c r="H560" s="156">
        <v>0.0</v>
      </c>
      <c r="I560" s="156">
        <v>0.0</v>
      </c>
      <c r="J560" s="156">
        <v>0.0</v>
      </c>
    </row>
    <row r="561">
      <c r="A561" s="155">
        <v>44082.0</v>
      </c>
      <c r="B561" s="21" t="s">
        <v>248</v>
      </c>
      <c r="C561" s="21" t="s">
        <v>438</v>
      </c>
      <c r="D561" s="156">
        <v>500.0</v>
      </c>
      <c r="E561" s="21" t="s">
        <v>205</v>
      </c>
      <c r="F561" s="156">
        <v>0.0</v>
      </c>
      <c r="G561" s="156">
        <v>500.0</v>
      </c>
      <c r="H561" s="156">
        <v>0.0</v>
      </c>
      <c r="I561" s="156">
        <v>0.0</v>
      </c>
      <c r="J561" s="156">
        <v>0.0</v>
      </c>
    </row>
    <row r="562">
      <c r="A562" s="155">
        <v>44082.0</v>
      </c>
      <c r="B562" s="21" t="s">
        <v>439</v>
      </c>
      <c r="C562" s="21" t="s">
        <v>405</v>
      </c>
      <c r="D562" s="156">
        <v>3000.0</v>
      </c>
      <c r="E562" s="21" t="s">
        <v>205</v>
      </c>
      <c r="F562" s="156">
        <v>0.0</v>
      </c>
      <c r="G562" s="156">
        <v>3000.0</v>
      </c>
      <c r="H562" s="156">
        <v>0.0</v>
      </c>
      <c r="I562" s="156">
        <v>0.0</v>
      </c>
      <c r="J562" s="156">
        <v>0.0</v>
      </c>
    </row>
    <row r="563">
      <c r="A563" s="155">
        <v>44082.0</v>
      </c>
      <c r="B563" s="21" t="s">
        <v>183</v>
      </c>
      <c r="C563" s="21" t="s">
        <v>223</v>
      </c>
      <c r="D563" s="156">
        <v>6500.0</v>
      </c>
      <c r="E563" s="21" t="s">
        <v>211</v>
      </c>
      <c r="F563" s="156">
        <v>0.0</v>
      </c>
      <c r="G563" s="156">
        <v>0.0</v>
      </c>
      <c r="H563" s="156">
        <v>0.0</v>
      </c>
      <c r="I563" s="156">
        <v>6500.0</v>
      </c>
      <c r="J563" s="156">
        <v>0.0</v>
      </c>
    </row>
    <row r="564">
      <c r="A564" s="155">
        <v>44082.0</v>
      </c>
      <c r="B564" s="21" t="s">
        <v>216</v>
      </c>
      <c r="C564" s="21" t="s">
        <v>221</v>
      </c>
      <c r="D564" s="156">
        <v>600000.0</v>
      </c>
      <c r="E564" s="21" t="s">
        <v>201</v>
      </c>
      <c r="F564" s="156">
        <v>0.0</v>
      </c>
      <c r="G564" s="156">
        <v>0.0</v>
      </c>
      <c r="H564" s="156">
        <v>600000.0</v>
      </c>
      <c r="I564" s="156">
        <v>0.0</v>
      </c>
      <c r="J564" s="156">
        <v>0.0</v>
      </c>
    </row>
    <row r="565">
      <c r="A565" s="155">
        <v>44082.0</v>
      </c>
      <c r="B565" s="21" t="s">
        <v>228</v>
      </c>
      <c r="C565" s="21" t="s">
        <v>290</v>
      </c>
      <c r="D565" s="156">
        <v>30000.0</v>
      </c>
      <c r="E565" s="21" t="s">
        <v>205</v>
      </c>
      <c r="F565" s="156">
        <v>0.0</v>
      </c>
      <c r="G565" s="156">
        <v>30000.0</v>
      </c>
      <c r="H565" s="156">
        <v>0.0</v>
      </c>
      <c r="I565" s="156">
        <v>0.0</v>
      </c>
      <c r="J565" s="156">
        <v>0.0</v>
      </c>
    </row>
    <row r="566">
      <c r="A566" s="155">
        <v>44082.0</v>
      </c>
      <c r="B566" s="21" t="s">
        <v>216</v>
      </c>
      <c r="C566" s="21" t="s">
        <v>440</v>
      </c>
      <c r="D566" s="156">
        <v>30000.0</v>
      </c>
      <c r="E566" s="21" t="s">
        <v>201</v>
      </c>
      <c r="F566" s="156">
        <v>0.0</v>
      </c>
      <c r="G566" s="156">
        <v>0.0</v>
      </c>
      <c r="H566" s="156">
        <v>30000.0</v>
      </c>
      <c r="I566" s="156">
        <v>0.0</v>
      </c>
      <c r="J566" s="156">
        <v>0.0</v>
      </c>
    </row>
    <row r="567">
      <c r="A567" s="155">
        <v>44082.0</v>
      </c>
      <c r="B567" s="21" t="s">
        <v>216</v>
      </c>
      <c r="C567" s="21" t="s">
        <v>280</v>
      </c>
      <c r="D567" s="156">
        <v>30000.0</v>
      </c>
      <c r="E567" s="21" t="s">
        <v>211</v>
      </c>
      <c r="F567" s="156">
        <v>0.0</v>
      </c>
      <c r="G567" s="156">
        <v>0.0</v>
      </c>
      <c r="H567" s="156">
        <v>0.0</v>
      </c>
      <c r="I567" s="156">
        <v>30000.0</v>
      </c>
      <c r="J567" s="156">
        <v>0.0</v>
      </c>
    </row>
    <row r="568">
      <c r="A568" s="155">
        <v>44055.0</v>
      </c>
      <c r="B568" s="21" t="s">
        <v>147</v>
      </c>
      <c r="C568" s="21" t="s">
        <v>441</v>
      </c>
      <c r="D568" s="156">
        <v>-100000.0</v>
      </c>
      <c r="E568" s="21" t="s">
        <v>202</v>
      </c>
      <c r="F568" s="156">
        <v>0.0</v>
      </c>
      <c r="G568" s="156">
        <v>0.0</v>
      </c>
      <c r="H568" s="156">
        <v>0.0</v>
      </c>
      <c r="I568" s="156">
        <v>0.0</v>
      </c>
      <c r="J568" s="156">
        <v>0.0</v>
      </c>
    </row>
    <row r="569">
      <c r="A569" s="155">
        <v>44055.0</v>
      </c>
      <c r="B569" s="21" t="s">
        <v>172</v>
      </c>
      <c r="C569" s="21" t="s">
        <v>90</v>
      </c>
      <c r="D569" s="156">
        <v>100000.0</v>
      </c>
      <c r="E569" s="21" t="s">
        <v>202</v>
      </c>
      <c r="F569" s="156">
        <v>0.0</v>
      </c>
      <c r="G569" s="156">
        <v>0.0</v>
      </c>
      <c r="H569" s="156">
        <v>0.0</v>
      </c>
      <c r="I569" s="156">
        <v>0.0</v>
      </c>
      <c r="J569" s="156">
        <v>0.0</v>
      </c>
    </row>
    <row r="570">
      <c r="A570" s="155">
        <v>44058.0</v>
      </c>
      <c r="B570" s="21" t="s">
        <v>147</v>
      </c>
      <c r="C570" s="21" t="s">
        <v>441</v>
      </c>
      <c r="D570" s="156">
        <v>-200000.0</v>
      </c>
      <c r="E570" s="21" t="s">
        <v>202</v>
      </c>
      <c r="F570" s="156">
        <v>0.0</v>
      </c>
      <c r="G570" s="156">
        <v>0.0</v>
      </c>
      <c r="H570" s="156">
        <v>0.0</v>
      </c>
      <c r="I570" s="156">
        <v>0.0</v>
      </c>
      <c r="J570" s="156">
        <v>0.0</v>
      </c>
    </row>
    <row r="571">
      <c r="A571" s="155">
        <v>44058.0</v>
      </c>
      <c r="B571" s="21" t="s">
        <v>174</v>
      </c>
      <c r="C571" s="21" t="s">
        <v>90</v>
      </c>
      <c r="D571" s="156">
        <v>200000.0</v>
      </c>
      <c r="E571" s="21" t="s">
        <v>202</v>
      </c>
      <c r="F571" s="156">
        <v>0.0</v>
      </c>
      <c r="G571" s="156">
        <v>0.0</v>
      </c>
      <c r="H571" s="156">
        <v>0.0</v>
      </c>
      <c r="I571" s="156">
        <v>0.0</v>
      </c>
      <c r="J571" s="156">
        <v>0.0</v>
      </c>
    </row>
    <row r="572">
      <c r="A572" s="155">
        <v>44083.0</v>
      </c>
      <c r="B572" s="21" t="s">
        <v>125</v>
      </c>
      <c r="C572" s="21" t="s">
        <v>90</v>
      </c>
      <c r="D572" s="156">
        <v>700000.0</v>
      </c>
      <c r="E572" s="21" t="s">
        <v>202</v>
      </c>
      <c r="F572" s="156">
        <v>0.0</v>
      </c>
      <c r="G572" s="156">
        <v>0.0</v>
      </c>
      <c r="H572" s="156">
        <v>0.0</v>
      </c>
      <c r="I572" s="156">
        <v>0.0</v>
      </c>
      <c r="J572" s="156">
        <v>0.0</v>
      </c>
    </row>
    <row r="573">
      <c r="A573" s="155">
        <v>44083.0</v>
      </c>
      <c r="B573" s="21" t="s">
        <v>160</v>
      </c>
      <c r="C573" s="21" t="s">
        <v>90</v>
      </c>
      <c r="D573" s="156">
        <v>20000.0</v>
      </c>
      <c r="E573" s="21" t="s">
        <v>202</v>
      </c>
      <c r="F573" s="156">
        <v>0.0</v>
      </c>
      <c r="G573" s="156">
        <v>0.0</v>
      </c>
      <c r="H573" s="156">
        <v>0.0</v>
      </c>
      <c r="I573" s="156">
        <v>0.0</v>
      </c>
      <c r="J573" s="156">
        <v>0.0</v>
      </c>
    </row>
    <row r="574">
      <c r="A574" s="155">
        <v>44083.0</v>
      </c>
      <c r="B574" s="21" t="s">
        <v>36</v>
      </c>
      <c r="C574" s="21" t="s">
        <v>297</v>
      </c>
      <c r="D574" s="156">
        <v>1140000.0</v>
      </c>
      <c r="E574" s="21" t="s">
        <v>202</v>
      </c>
      <c r="F574" s="156">
        <v>0.0</v>
      </c>
      <c r="G574" s="156">
        <v>0.0</v>
      </c>
      <c r="H574" s="156">
        <v>0.0</v>
      </c>
      <c r="I574" s="156">
        <v>0.0</v>
      </c>
      <c r="J574" s="156">
        <v>0.0</v>
      </c>
    </row>
    <row r="575">
      <c r="A575" s="155">
        <v>44083.0</v>
      </c>
      <c r="B575" s="21" t="s">
        <v>132</v>
      </c>
      <c r="C575" s="21" t="s">
        <v>442</v>
      </c>
      <c r="D575" s="156">
        <v>500.0</v>
      </c>
      <c r="E575" s="21" t="s">
        <v>202</v>
      </c>
      <c r="F575" s="156">
        <v>0.0</v>
      </c>
      <c r="G575" s="156">
        <v>0.0</v>
      </c>
      <c r="H575" s="156">
        <v>0.0</v>
      </c>
      <c r="I575" s="156">
        <v>0.0</v>
      </c>
      <c r="J575" s="156">
        <v>0.0</v>
      </c>
    </row>
    <row r="576">
      <c r="A576" s="155">
        <v>44083.0</v>
      </c>
      <c r="B576" s="21" t="s">
        <v>248</v>
      </c>
      <c r="C576" s="21" t="s">
        <v>409</v>
      </c>
      <c r="D576" s="156">
        <v>3000.0</v>
      </c>
      <c r="E576" s="21" t="s">
        <v>205</v>
      </c>
      <c r="F576" s="156">
        <v>0.0</v>
      </c>
      <c r="G576" s="156">
        <v>3000.0</v>
      </c>
      <c r="H576" s="156">
        <v>0.0</v>
      </c>
      <c r="I576" s="156">
        <v>0.0</v>
      </c>
      <c r="J576" s="156">
        <v>0.0</v>
      </c>
    </row>
    <row r="577">
      <c r="A577" s="155">
        <v>44083.0</v>
      </c>
      <c r="B577" s="21" t="s">
        <v>216</v>
      </c>
      <c r="C577" s="21" t="s">
        <v>322</v>
      </c>
      <c r="D577" s="156">
        <v>100000.0</v>
      </c>
      <c r="E577" s="21" t="s">
        <v>205</v>
      </c>
      <c r="F577" s="156">
        <v>0.0</v>
      </c>
      <c r="G577" s="156">
        <v>100000.0</v>
      </c>
      <c r="H577" s="156">
        <v>0.0</v>
      </c>
      <c r="I577" s="156">
        <v>0.0</v>
      </c>
      <c r="J577" s="156">
        <v>0.0</v>
      </c>
    </row>
    <row r="578">
      <c r="A578" s="155">
        <v>44083.0</v>
      </c>
      <c r="B578" s="21" t="s">
        <v>220</v>
      </c>
      <c r="C578" s="21" t="s">
        <v>390</v>
      </c>
      <c r="D578" s="156">
        <v>500.0</v>
      </c>
      <c r="E578" s="21" t="s">
        <v>205</v>
      </c>
      <c r="F578" s="156">
        <v>0.0</v>
      </c>
      <c r="G578" s="156">
        <v>500.0</v>
      </c>
      <c r="H578" s="156">
        <v>0.0</v>
      </c>
      <c r="I578" s="156">
        <v>0.0</v>
      </c>
      <c r="J578" s="156">
        <v>0.0</v>
      </c>
    </row>
    <row r="579">
      <c r="A579" s="155">
        <v>44083.0</v>
      </c>
      <c r="B579" s="21" t="s">
        <v>183</v>
      </c>
      <c r="C579" s="21" t="s">
        <v>223</v>
      </c>
      <c r="D579" s="156">
        <v>106500.0</v>
      </c>
      <c r="E579" s="21" t="s">
        <v>211</v>
      </c>
      <c r="F579" s="156">
        <v>0.0</v>
      </c>
      <c r="G579" s="156">
        <v>0.0</v>
      </c>
      <c r="H579" s="156">
        <v>0.0</v>
      </c>
      <c r="I579" s="156">
        <v>106500.0</v>
      </c>
      <c r="J579" s="156">
        <v>0.0</v>
      </c>
    </row>
    <row r="580">
      <c r="A580" s="155">
        <v>44083.0</v>
      </c>
      <c r="B580" s="21" t="s">
        <v>45</v>
      </c>
      <c r="C580" s="21" t="s">
        <v>443</v>
      </c>
      <c r="D580" s="156">
        <v>3000.0</v>
      </c>
      <c r="E580" s="21" t="s">
        <v>205</v>
      </c>
      <c r="F580" s="156">
        <v>0.0</v>
      </c>
      <c r="G580" s="156">
        <v>3000.0</v>
      </c>
      <c r="H580" s="156">
        <v>0.0</v>
      </c>
      <c r="I580" s="156">
        <v>0.0</v>
      </c>
      <c r="J580" s="156">
        <v>0.0</v>
      </c>
    </row>
    <row r="581">
      <c r="A581" s="155">
        <v>44083.0</v>
      </c>
      <c r="B581" s="21" t="s">
        <v>220</v>
      </c>
      <c r="C581" s="21" t="s">
        <v>221</v>
      </c>
      <c r="D581" s="156">
        <v>1400000.0</v>
      </c>
      <c r="E581" s="21" t="s">
        <v>201</v>
      </c>
      <c r="F581" s="156">
        <v>0.0</v>
      </c>
      <c r="G581" s="156">
        <v>0.0</v>
      </c>
      <c r="H581" s="156">
        <v>1400000.0</v>
      </c>
      <c r="I581" s="156">
        <v>0.0</v>
      </c>
      <c r="J581" s="156">
        <v>0.0</v>
      </c>
    </row>
    <row r="582">
      <c r="A582" s="155">
        <v>44083.0</v>
      </c>
      <c r="B582" s="21" t="s">
        <v>216</v>
      </c>
      <c r="C582" s="21" t="s">
        <v>412</v>
      </c>
      <c r="D582" s="156">
        <v>700000.0</v>
      </c>
      <c r="E582" s="21" t="s">
        <v>201</v>
      </c>
      <c r="F582" s="156">
        <v>0.0</v>
      </c>
      <c r="G582" s="156">
        <v>0.0</v>
      </c>
      <c r="H582" s="156">
        <v>700000.0</v>
      </c>
      <c r="I582" s="156">
        <v>0.0</v>
      </c>
      <c r="J582" s="156">
        <v>0.0</v>
      </c>
    </row>
    <row r="583">
      <c r="A583" s="155">
        <v>44084.0</v>
      </c>
      <c r="B583" s="21" t="s">
        <v>156</v>
      </c>
      <c r="C583" s="21" t="s">
        <v>90</v>
      </c>
      <c r="D583" s="156">
        <v>200000.0</v>
      </c>
      <c r="E583" s="21" t="s">
        <v>202</v>
      </c>
      <c r="F583" s="156">
        <v>0.0</v>
      </c>
      <c r="G583" s="156">
        <v>0.0</v>
      </c>
      <c r="H583" s="156">
        <v>0.0</v>
      </c>
      <c r="I583" s="156">
        <v>0.0</v>
      </c>
      <c r="J583" s="156">
        <v>0.0</v>
      </c>
    </row>
    <row r="584">
      <c r="A584" s="155">
        <v>44084.0</v>
      </c>
      <c r="B584" s="21" t="s">
        <v>132</v>
      </c>
      <c r="C584" s="21" t="s">
        <v>90</v>
      </c>
      <c r="D584" s="156">
        <v>49500.0</v>
      </c>
      <c r="E584" s="21" t="s">
        <v>202</v>
      </c>
      <c r="F584" s="156">
        <v>0.0</v>
      </c>
      <c r="G584" s="156">
        <v>0.0</v>
      </c>
      <c r="H584" s="156">
        <v>0.0</v>
      </c>
      <c r="I584" s="156">
        <v>0.0</v>
      </c>
      <c r="J584" s="156">
        <v>0.0</v>
      </c>
    </row>
    <row r="585">
      <c r="A585" s="155">
        <v>44084.0</v>
      </c>
      <c r="B585" s="21" t="s">
        <v>248</v>
      </c>
      <c r="C585" s="21" t="s">
        <v>409</v>
      </c>
      <c r="D585" s="156">
        <v>500.0</v>
      </c>
      <c r="E585" s="21" t="s">
        <v>205</v>
      </c>
      <c r="F585" s="156">
        <v>0.0</v>
      </c>
      <c r="G585" s="156">
        <v>500.0</v>
      </c>
      <c r="H585" s="156">
        <v>0.0</v>
      </c>
      <c r="I585" s="156">
        <v>0.0</v>
      </c>
      <c r="J585" s="156">
        <v>0.0</v>
      </c>
    </row>
    <row r="586">
      <c r="A586" s="155">
        <v>44084.0</v>
      </c>
      <c r="B586" s="21" t="s">
        <v>43</v>
      </c>
      <c r="C586" s="21" t="s">
        <v>295</v>
      </c>
      <c r="D586" s="156">
        <v>74000.0</v>
      </c>
      <c r="E586" s="21" t="s">
        <v>202</v>
      </c>
      <c r="F586" s="156">
        <v>0.0</v>
      </c>
      <c r="G586" s="156">
        <v>0.0</v>
      </c>
      <c r="H586" s="156">
        <v>0.0</v>
      </c>
      <c r="I586" s="156">
        <v>0.0</v>
      </c>
      <c r="J586" s="156">
        <v>0.0</v>
      </c>
    </row>
    <row r="587">
      <c r="A587" s="155">
        <v>44084.0</v>
      </c>
      <c r="B587" s="21" t="s">
        <v>183</v>
      </c>
      <c r="C587" s="21" t="s">
        <v>223</v>
      </c>
      <c r="D587" s="156">
        <v>500.0</v>
      </c>
      <c r="E587" s="21" t="s">
        <v>211</v>
      </c>
      <c r="F587" s="156">
        <v>0.0</v>
      </c>
      <c r="G587" s="156">
        <v>0.0</v>
      </c>
      <c r="H587" s="156">
        <v>0.0</v>
      </c>
      <c r="I587" s="156">
        <v>500.0</v>
      </c>
      <c r="J587" s="156">
        <v>0.0</v>
      </c>
    </row>
    <row r="588">
      <c r="A588" s="155">
        <v>44085.0</v>
      </c>
      <c r="B588" s="21" t="s">
        <v>107</v>
      </c>
      <c r="C588" s="21" t="s">
        <v>444</v>
      </c>
      <c r="D588" s="156">
        <v>500000.0</v>
      </c>
      <c r="E588" s="21" t="s">
        <v>202</v>
      </c>
      <c r="F588" s="156">
        <v>0.0</v>
      </c>
      <c r="G588" s="156">
        <v>0.0</v>
      </c>
      <c r="H588" s="156">
        <v>0.0</v>
      </c>
      <c r="I588" s="156">
        <v>0.0</v>
      </c>
      <c r="J588" s="156">
        <v>0.0</v>
      </c>
    </row>
    <row r="589">
      <c r="A589" s="155">
        <v>44085.0</v>
      </c>
      <c r="B589" s="21" t="s">
        <v>113</v>
      </c>
      <c r="C589" s="21" t="s">
        <v>297</v>
      </c>
      <c r="D589" s="156">
        <v>192580.0</v>
      </c>
      <c r="E589" s="21" t="s">
        <v>202</v>
      </c>
      <c r="F589" s="156">
        <v>0.0</v>
      </c>
      <c r="G589" s="156">
        <v>0.0</v>
      </c>
      <c r="H589" s="156">
        <v>0.0</v>
      </c>
      <c r="I589" s="156">
        <v>0.0</v>
      </c>
      <c r="J589" s="156">
        <v>0.0</v>
      </c>
    </row>
    <row r="590">
      <c r="A590" s="155">
        <v>44085.0</v>
      </c>
      <c r="B590" s="21" t="s">
        <v>36</v>
      </c>
      <c r="C590" s="21" t="s">
        <v>297</v>
      </c>
      <c r="D590" s="156">
        <v>790000.0</v>
      </c>
      <c r="E590" s="21" t="s">
        <v>202</v>
      </c>
      <c r="F590" s="156">
        <v>0.0</v>
      </c>
      <c r="G590" s="156">
        <v>0.0</v>
      </c>
      <c r="H590" s="156">
        <v>0.0</v>
      </c>
      <c r="I590" s="156">
        <v>0.0</v>
      </c>
      <c r="J590" s="156">
        <v>0.0</v>
      </c>
    </row>
    <row r="591">
      <c r="A591" s="155">
        <v>44085.0</v>
      </c>
      <c r="B591" s="21" t="s">
        <v>110</v>
      </c>
      <c r="C591" s="21" t="s">
        <v>297</v>
      </c>
      <c r="D591" s="156">
        <v>3000000.0</v>
      </c>
      <c r="E591" s="21" t="s">
        <v>202</v>
      </c>
      <c r="F591" s="156">
        <v>0.0</v>
      </c>
      <c r="G591" s="156">
        <v>0.0</v>
      </c>
      <c r="H591" s="156">
        <v>0.0</v>
      </c>
      <c r="I591" s="156">
        <v>0.0</v>
      </c>
      <c r="J591" s="156">
        <v>0.0</v>
      </c>
    </row>
    <row r="592">
      <c r="A592" s="155">
        <v>44085.0</v>
      </c>
      <c r="B592" s="21" t="s">
        <v>149</v>
      </c>
      <c r="C592" s="21" t="s">
        <v>295</v>
      </c>
      <c r="D592" s="156">
        <v>160000.0</v>
      </c>
      <c r="E592" s="21" t="s">
        <v>202</v>
      </c>
      <c r="F592" s="156">
        <v>0.0</v>
      </c>
      <c r="G592" s="156">
        <v>0.0</v>
      </c>
      <c r="H592" s="156">
        <v>0.0</v>
      </c>
      <c r="I592" s="156">
        <v>0.0</v>
      </c>
      <c r="J592" s="156">
        <v>0.0</v>
      </c>
    </row>
    <row r="593">
      <c r="A593" s="155">
        <v>44085.0</v>
      </c>
      <c r="B593" s="21" t="s">
        <v>132</v>
      </c>
      <c r="C593" s="21" t="s">
        <v>445</v>
      </c>
      <c r="D593" s="156">
        <v>1930000.0</v>
      </c>
      <c r="E593" s="21" t="s">
        <v>202</v>
      </c>
      <c r="F593" s="156">
        <v>0.0</v>
      </c>
      <c r="G593" s="156">
        <v>0.0</v>
      </c>
      <c r="H593" s="156">
        <v>0.0</v>
      </c>
      <c r="I593" s="156">
        <v>0.0</v>
      </c>
      <c r="J593" s="156">
        <v>0.0</v>
      </c>
    </row>
    <row r="594">
      <c r="A594" s="155">
        <v>44085.0</v>
      </c>
      <c r="B594" s="21" t="s">
        <v>98</v>
      </c>
      <c r="C594" s="21" t="s">
        <v>90</v>
      </c>
      <c r="D594" s="156">
        <v>9500000.0</v>
      </c>
      <c r="E594" s="21" t="s">
        <v>202</v>
      </c>
      <c r="F594" s="156">
        <v>0.0</v>
      </c>
      <c r="G594" s="156">
        <v>0.0</v>
      </c>
      <c r="H594" s="156">
        <v>0.0</v>
      </c>
      <c r="I594" s="156">
        <v>0.0</v>
      </c>
      <c r="J594" s="156">
        <v>0.0</v>
      </c>
    </row>
    <row r="595">
      <c r="A595" s="155">
        <v>44085.0</v>
      </c>
      <c r="B595" s="21" t="s">
        <v>144</v>
      </c>
      <c r="C595" s="21" t="s">
        <v>90</v>
      </c>
      <c r="D595" s="156">
        <v>100000.0</v>
      </c>
      <c r="E595" s="21" t="s">
        <v>202</v>
      </c>
      <c r="F595" s="156">
        <v>0.0</v>
      </c>
      <c r="G595" s="156">
        <v>0.0</v>
      </c>
      <c r="H595" s="156">
        <v>0.0</v>
      </c>
      <c r="I595" s="156">
        <v>0.0</v>
      </c>
      <c r="J595" s="156">
        <v>0.0</v>
      </c>
    </row>
    <row r="596">
      <c r="A596" s="155">
        <v>44085.0</v>
      </c>
      <c r="B596" s="21" t="s">
        <v>139</v>
      </c>
      <c r="C596" s="21" t="s">
        <v>90</v>
      </c>
      <c r="D596" s="156">
        <v>311280.0</v>
      </c>
      <c r="E596" s="21" t="s">
        <v>202</v>
      </c>
      <c r="F596" s="156">
        <v>0.0</v>
      </c>
      <c r="G596" s="156">
        <v>0.0</v>
      </c>
      <c r="H596" s="156">
        <v>0.0</v>
      </c>
      <c r="I596" s="156">
        <v>0.0</v>
      </c>
      <c r="J596" s="156">
        <v>0.0</v>
      </c>
    </row>
    <row r="597">
      <c r="A597" s="155">
        <v>44085.0</v>
      </c>
      <c r="B597" s="21" t="s">
        <v>154</v>
      </c>
      <c r="C597" s="21" t="s">
        <v>90</v>
      </c>
      <c r="D597" s="156">
        <v>50000.0</v>
      </c>
      <c r="E597" s="21" t="s">
        <v>202</v>
      </c>
      <c r="F597" s="156">
        <v>0.0</v>
      </c>
      <c r="G597" s="156">
        <v>0.0</v>
      </c>
      <c r="H597" s="156">
        <v>0.0</v>
      </c>
      <c r="I597" s="156">
        <v>0.0</v>
      </c>
      <c r="J597" s="156">
        <v>0.0</v>
      </c>
    </row>
    <row r="598">
      <c r="A598" s="155">
        <v>44085.0</v>
      </c>
      <c r="B598" s="21" t="s">
        <v>105</v>
      </c>
      <c r="C598" s="21" t="s">
        <v>90</v>
      </c>
      <c r="D598" s="156">
        <v>250000.0</v>
      </c>
      <c r="E598" s="21" t="s">
        <v>202</v>
      </c>
      <c r="F598" s="156">
        <v>0.0</v>
      </c>
      <c r="G598" s="156">
        <v>0.0</v>
      </c>
      <c r="H598" s="156">
        <v>0.0</v>
      </c>
      <c r="I598" s="156">
        <v>0.0</v>
      </c>
      <c r="J598" s="156">
        <v>0.0</v>
      </c>
    </row>
    <row r="599">
      <c r="A599" s="155">
        <v>44085.0</v>
      </c>
      <c r="B599" s="21" t="s">
        <v>140</v>
      </c>
      <c r="C599" s="21" t="s">
        <v>90</v>
      </c>
      <c r="D599" s="156">
        <v>400000.0</v>
      </c>
      <c r="E599" s="21" t="s">
        <v>202</v>
      </c>
      <c r="F599" s="156">
        <v>0.0</v>
      </c>
      <c r="G599" s="156">
        <v>0.0</v>
      </c>
      <c r="H599" s="156">
        <v>0.0</v>
      </c>
      <c r="I599" s="156">
        <v>0.0</v>
      </c>
      <c r="J599" s="156">
        <v>0.0</v>
      </c>
    </row>
    <row r="600">
      <c r="A600" s="155">
        <v>44085.0</v>
      </c>
      <c r="B600" s="21" t="s">
        <v>216</v>
      </c>
      <c r="C600" s="21" t="s">
        <v>441</v>
      </c>
      <c r="D600" s="156">
        <v>1.718386E7</v>
      </c>
      <c r="E600" s="21" t="s">
        <v>201</v>
      </c>
      <c r="F600" s="156">
        <v>0.0</v>
      </c>
      <c r="G600" s="156">
        <v>0.0</v>
      </c>
      <c r="H600" s="156">
        <v>1.718386E7</v>
      </c>
      <c r="I600" s="156">
        <v>0.0</v>
      </c>
      <c r="J600" s="156">
        <v>0.0</v>
      </c>
    </row>
    <row r="601">
      <c r="A601" s="155">
        <v>44085.0</v>
      </c>
      <c r="B601" s="21" t="s">
        <v>175</v>
      </c>
      <c r="C601" s="21" t="s">
        <v>90</v>
      </c>
      <c r="D601" s="156">
        <v>100000.0</v>
      </c>
      <c r="E601" s="21" t="s">
        <v>202</v>
      </c>
      <c r="F601" s="156">
        <v>0.0</v>
      </c>
      <c r="G601" s="156">
        <v>0.0</v>
      </c>
      <c r="H601" s="156">
        <v>0.0</v>
      </c>
      <c r="I601" s="156">
        <v>0.0</v>
      </c>
      <c r="J601" s="156">
        <v>0.0</v>
      </c>
    </row>
    <row r="602">
      <c r="A602" s="155">
        <v>44085.0</v>
      </c>
      <c r="B602" s="21" t="s">
        <v>46</v>
      </c>
      <c r="C602" s="21" t="s">
        <v>90</v>
      </c>
      <c r="D602" s="156">
        <v>1281400.0</v>
      </c>
      <c r="E602" s="21" t="s">
        <v>202</v>
      </c>
      <c r="F602" s="156">
        <v>0.0</v>
      </c>
      <c r="G602" s="156">
        <v>0.0</v>
      </c>
      <c r="H602" s="156">
        <v>0.0</v>
      </c>
      <c r="I602" s="156">
        <v>0.0</v>
      </c>
      <c r="J602" s="156">
        <v>0.0</v>
      </c>
    </row>
    <row r="603">
      <c r="A603" s="155">
        <v>44085.0</v>
      </c>
      <c r="B603" s="21" t="s">
        <v>164</v>
      </c>
      <c r="C603" s="21" t="s">
        <v>442</v>
      </c>
      <c r="D603" s="156">
        <v>6000.0</v>
      </c>
      <c r="E603" s="21" t="s">
        <v>202</v>
      </c>
      <c r="F603" s="156">
        <v>0.0</v>
      </c>
      <c r="G603" s="156">
        <v>0.0</v>
      </c>
      <c r="H603" s="156">
        <v>0.0</v>
      </c>
      <c r="I603" s="156">
        <v>0.0</v>
      </c>
      <c r="J603" s="156">
        <v>0.0</v>
      </c>
    </row>
    <row r="604">
      <c r="A604" s="155">
        <v>44085.0</v>
      </c>
      <c r="B604" s="21" t="s">
        <v>216</v>
      </c>
      <c r="C604" s="21" t="s">
        <v>322</v>
      </c>
      <c r="D604" s="156">
        <v>100000.0</v>
      </c>
      <c r="E604" s="21" t="s">
        <v>205</v>
      </c>
      <c r="F604" s="156">
        <v>0.0</v>
      </c>
      <c r="G604" s="156">
        <v>100000.0</v>
      </c>
      <c r="H604" s="156">
        <v>0.0</v>
      </c>
      <c r="I604" s="156">
        <v>0.0</v>
      </c>
      <c r="J604" s="156">
        <v>0.0</v>
      </c>
    </row>
    <row r="605">
      <c r="A605" s="155">
        <v>44085.0</v>
      </c>
      <c r="B605" s="21" t="s">
        <v>220</v>
      </c>
      <c r="C605" s="21" t="s">
        <v>446</v>
      </c>
      <c r="D605" s="156">
        <v>200000.0</v>
      </c>
      <c r="E605" s="21" t="s">
        <v>205</v>
      </c>
      <c r="F605" s="156">
        <v>0.0</v>
      </c>
      <c r="G605" s="156">
        <v>200000.0</v>
      </c>
      <c r="H605" s="156">
        <v>0.0</v>
      </c>
      <c r="I605" s="156">
        <v>0.0</v>
      </c>
      <c r="J605" s="156">
        <v>0.0</v>
      </c>
    </row>
    <row r="606">
      <c r="A606" s="155">
        <v>44085.0</v>
      </c>
      <c r="B606" s="21" t="s">
        <v>220</v>
      </c>
      <c r="C606" s="21" t="s">
        <v>224</v>
      </c>
      <c r="D606" s="156">
        <v>500.0</v>
      </c>
      <c r="E606" s="21" t="s">
        <v>205</v>
      </c>
      <c r="F606" s="156">
        <v>0.0</v>
      </c>
      <c r="G606" s="156">
        <v>500.0</v>
      </c>
      <c r="H606" s="156">
        <v>0.0</v>
      </c>
      <c r="I606" s="156">
        <v>0.0</v>
      </c>
      <c r="J606" s="156">
        <v>0.0</v>
      </c>
    </row>
    <row r="607">
      <c r="A607" s="155">
        <v>44085.0</v>
      </c>
      <c r="B607" s="21" t="s">
        <v>225</v>
      </c>
      <c r="C607" s="21" t="s">
        <v>226</v>
      </c>
      <c r="D607" s="156">
        <v>4000.0</v>
      </c>
      <c r="E607" s="21" t="s">
        <v>205</v>
      </c>
      <c r="F607" s="156">
        <v>0.0</v>
      </c>
      <c r="G607" s="156">
        <v>4000.0</v>
      </c>
      <c r="H607" s="156">
        <v>0.0</v>
      </c>
      <c r="I607" s="156">
        <v>0.0</v>
      </c>
      <c r="J607" s="156">
        <v>0.0</v>
      </c>
    </row>
    <row r="608">
      <c r="A608" s="155">
        <v>44085.0</v>
      </c>
      <c r="B608" s="21" t="s">
        <v>216</v>
      </c>
      <c r="C608" s="21" t="s">
        <v>322</v>
      </c>
      <c r="D608" s="156">
        <v>50000.0</v>
      </c>
      <c r="E608" s="21" t="s">
        <v>205</v>
      </c>
      <c r="F608" s="156">
        <v>0.0</v>
      </c>
      <c r="G608" s="156">
        <v>50000.0</v>
      </c>
      <c r="H608" s="156">
        <v>0.0</v>
      </c>
      <c r="I608" s="156">
        <v>0.0</v>
      </c>
      <c r="J608" s="156">
        <v>0.0</v>
      </c>
    </row>
    <row r="609">
      <c r="A609" s="155">
        <v>44085.0</v>
      </c>
      <c r="B609" s="21" t="s">
        <v>66</v>
      </c>
      <c r="C609" s="21" t="s">
        <v>224</v>
      </c>
      <c r="D609" s="156">
        <v>89000.0</v>
      </c>
      <c r="E609" s="21" t="s">
        <v>205</v>
      </c>
      <c r="F609" s="156">
        <v>0.0</v>
      </c>
      <c r="G609" s="156">
        <v>89000.0</v>
      </c>
      <c r="H609" s="156">
        <v>0.0</v>
      </c>
      <c r="I609" s="156">
        <v>0.0</v>
      </c>
      <c r="J609" s="156">
        <v>0.0</v>
      </c>
    </row>
    <row r="610">
      <c r="A610" s="155">
        <v>44085.0</v>
      </c>
      <c r="B610" s="21" t="s">
        <v>248</v>
      </c>
      <c r="C610" s="21" t="s">
        <v>409</v>
      </c>
      <c r="D610" s="156">
        <v>1500.0</v>
      </c>
      <c r="E610" s="21" t="s">
        <v>205</v>
      </c>
      <c r="F610" s="156">
        <v>0.0</v>
      </c>
      <c r="G610" s="156">
        <v>1500.0</v>
      </c>
      <c r="H610" s="156">
        <v>0.0</v>
      </c>
      <c r="I610" s="156">
        <v>0.0</v>
      </c>
      <c r="J610" s="156">
        <v>0.0</v>
      </c>
    </row>
    <row r="611">
      <c r="A611" s="155">
        <v>44085.0</v>
      </c>
      <c r="B611" s="21" t="s">
        <v>150</v>
      </c>
      <c r="C611" s="21" t="s">
        <v>447</v>
      </c>
      <c r="D611" s="156">
        <v>121300.0</v>
      </c>
      <c r="E611" s="21" t="s">
        <v>205</v>
      </c>
      <c r="F611" s="156">
        <v>0.0</v>
      </c>
      <c r="G611" s="156">
        <v>121300.0</v>
      </c>
      <c r="H611" s="156">
        <v>0.0</v>
      </c>
      <c r="I611" s="156">
        <v>0.0</v>
      </c>
      <c r="J611" s="156">
        <v>0.0</v>
      </c>
    </row>
    <row r="612">
      <c r="A612" s="155">
        <v>44085.0</v>
      </c>
      <c r="B612" s="21" t="s">
        <v>183</v>
      </c>
      <c r="C612" s="21" t="s">
        <v>223</v>
      </c>
      <c r="D612" s="156">
        <v>566300.0</v>
      </c>
      <c r="E612" s="21" t="s">
        <v>211</v>
      </c>
      <c r="F612" s="156">
        <v>0.0</v>
      </c>
      <c r="G612" s="156">
        <v>0.0</v>
      </c>
      <c r="H612" s="156">
        <v>0.0</v>
      </c>
      <c r="I612" s="156">
        <v>566300.0</v>
      </c>
      <c r="J612" s="156">
        <v>0.0</v>
      </c>
    </row>
    <row r="613">
      <c r="A613" s="155">
        <v>44085.0</v>
      </c>
      <c r="B613" s="21" t="s">
        <v>220</v>
      </c>
      <c r="C613" s="21" t="s">
        <v>221</v>
      </c>
      <c r="D613" s="156">
        <v>2500000.0</v>
      </c>
      <c r="E613" s="21" t="s">
        <v>201</v>
      </c>
      <c r="F613" s="156">
        <v>0.0</v>
      </c>
      <c r="G613" s="156">
        <v>0.0</v>
      </c>
      <c r="H613" s="156">
        <v>2500000.0</v>
      </c>
      <c r="I613" s="156">
        <v>0.0</v>
      </c>
      <c r="J613" s="156">
        <v>0.0</v>
      </c>
    </row>
    <row r="614">
      <c r="A614" s="155">
        <v>44086.0</v>
      </c>
      <c r="B614" s="21" t="s">
        <v>113</v>
      </c>
      <c r="C614" s="21" t="s">
        <v>236</v>
      </c>
      <c r="D614" s="156">
        <v>100000.0</v>
      </c>
      <c r="E614" s="21" t="s">
        <v>202</v>
      </c>
      <c r="F614" s="156">
        <v>0.0</v>
      </c>
      <c r="G614" s="156">
        <v>0.0</v>
      </c>
      <c r="H614" s="156">
        <v>0.0</v>
      </c>
      <c r="I614" s="156">
        <v>0.0</v>
      </c>
      <c r="J614" s="156">
        <v>0.0</v>
      </c>
    </row>
    <row r="615">
      <c r="A615" s="155">
        <v>44086.0</v>
      </c>
      <c r="B615" s="21" t="s">
        <v>228</v>
      </c>
      <c r="C615" s="21" t="s">
        <v>448</v>
      </c>
      <c r="D615" s="156">
        <v>2000.0</v>
      </c>
      <c r="E615" s="21" t="s">
        <v>205</v>
      </c>
      <c r="F615" s="156">
        <v>0.0</v>
      </c>
      <c r="G615" s="156">
        <v>2000.0</v>
      </c>
      <c r="H615" s="156">
        <v>0.0</v>
      </c>
      <c r="I615" s="156">
        <v>0.0</v>
      </c>
      <c r="J615" s="156">
        <v>0.0</v>
      </c>
    </row>
    <row r="616">
      <c r="A616" s="155">
        <v>44086.0</v>
      </c>
      <c r="B616" s="21" t="s">
        <v>225</v>
      </c>
      <c r="C616" s="21" t="s">
        <v>217</v>
      </c>
      <c r="D616" s="156">
        <v>4000.0</v>
      </c>
      <c r="E616" s="21" t="s">
        <v>205</v>
      </c>
      <c r="F616" s="156">
        <v>0.0</v>
      </c>
      <c r="G616" s="156">
        <v>4000.0</v>
      </c>
      <c r="H616" s="156">
        <v>0.0</v>
      </c>
      <c r="I616" s="156">
        <v>0.0</v>
      </c>
      <c r="J616" s="156">
        <v>0.0</v>
      </c>
    </row>
    <row r="617">
      <c r="A617" s="155">
        <v>44086.0</v>
      </c>
      <c r="B617" s="21" t="s">
        <v>248</v>
      </c>
      <c r="C617" s="21" t="s">
        <v>287</v>
      </c>
      <c r="D617" s="156">
        <v>15400.0</v>
      </c>
      <c r="E617" s="21" t="s">
        <v>205</v>
      </c>
      <c r="F617" s="156">
        <v>0.0</v>
      </c>
      <c r="G617" s="156">
        <v>15400.0</v>
      </c>
      <c r="H617" s="156">
        <v>0.0</v>
      </c>
      <c r="I617" s="156">
        <v>0.0</v>
      </c>
      <c r="J617" s="156">
        <v>0.0</v>
      </c>
    </row>
    <row r="618">
      <c r="A618" s="155">
        <v>44086.0</v>
      </c>
      <c r="B618" s="21" t="s">
        <v>263</v>
      </c>
      <c r="C618" s="21" t="s">
        <v>284</v>
      </c>
      <c r="D618" s="156">
        <v>200.0</v>
      </c>
      <c r="E618" s="21" t="s">
        <v>205</v>
      </c>
      <c r="F618" s="156">
        <v>0.0</v>
      </c>
      <c r="G618" s="156">
        <v>200.0</v>
      </c>
      <c r="H618" s="156">
        <v>0.0</v>
      </c>
      <c r="I618" s="156">
        <v>0.0</v>
      </c>
      <c r="J618" s="156">
        <v>0.0</v>
      </c>
    </row>
    <row r="619">
      <c r="A619" s="155">
        <v>44086.0</v>
      </c>
      <c r="B619" s="21" t="s">
        <v>396</v>
      </c>
      <c r="C619" s="21" t="s">
        <v>449</v>
      </c>
      <c r="D619" s="156">
        <v>900.0</v>
      </c>
      <c r="E619" s="21" t="s">
        <v>205</v>
      </c>
      <c r="F619" s="156">
        <v>0.0</v>
      </c>
      <c r="G619" s="156">
        <v>900.0</v>
      </c>
      <c r="H619" s="156">
        <v>0.0</v>
      </c>
      <c r="I619" s="156">
        <v>0.0</v>
      </c>
      <c r="J619" s="156">
        <v>0.0</v>
      </c>
    </row>
    <row r="620">
      <c r="A620" s="155">
        <v>44086.0</v>
      </c>
      <c r="B620" s="21" t="s">
        <v>183</v>
      </c>
      <c r="C620" s="21" t="s">
        <v>223</v>
      </c>
      <c r="D620" s="156">
        <v>172100.0</v>
      </c>
      <c r="E620" s="21" t="s">
        <v>211</v>
      </c>
      <c r="F620" s="156">
        <v>0.0</v>
      </c>
      <c r="G620" s="156">
        <v>0.0</v>
      </c>
      <c r="H620" s="156">
        <v>0.0</v>
      </c>
      <c r="I620" s="156">
        <v>172100.0</v>
      </c>
      <c r="J620" s="156">
        <v>0.0</v>
      </c>
    </row>
    <row r="621">
      <c r="A621" s="155">
        <v>44086.0</v>
      </c>
      <c r="B621" s="21" t="s">
        <v>135</v>
      </c>
      <c r="C621" s="21" t="s">
        <v>216</v>
      </c>
      <c r="D621" s="156">
        <v>80000.0</v>
      </c>
      <c r="E621" s="21" t="s">
        <v>202</v>
      </c>
      <c r="F621" s="156">
        <v>0.0</v>
      </c>
      <c r="G621" s="156">
        <v>0.0</v>
      </c>
      <c r="H621" s="156">
        <v>0.0</v>
      </c>
      <c r="I621" s="156">
        <v>0.0</v>
      </c>
      <c r="J621" s="156">
        <v>0.0</v>
      </c>
    </row>
    <row r="622">
      <c r="A622" s="155">
        <v>44088.0</v>
      </c>
      <c r="B622" s="21" t="s">
        <v>176</v>
      </c>
      <c r="C622" s="21" t="s">
        <v>90</v>
      </c>
      <c r="D622" s="156">
        <v>100000.0</v>
      </c>
      <c r="E622" s="21" t="s">
        <v>202</v>
      </c>
      <c r="F622" s="156">
        <v>0.0</v>
      </c>
      <c r="G622" s="156">
        <v>0.0</v>
      </c>
      <c r="H622" s="156">
        <v>0.0</v>
      </c>
      <c r="I622" s="156">
        <v>0.0</v>
      </c>
      <c r="J622" s="156">
        <v>0.0</v>
      </c>
    </row>
    <row r="623">
      <c r="A623" s="155">
        <v>44088.0</v>
      </c>
      <c r="B623" s="21" t="s">
        <v>169</v>
      </c>
      <c r="C623" s="21" t="s">
        <v>90</v>
      </c>
      <c r="D623" s="156">
        <v>200000.0</v>
      </c>
      <c r="E623" s="21" t="s">
        <v>202</v>
      </c>
      <c r="F623" s="156">
        <v>0.0</v>
      </c>
      <c r="G623" s="156">
        <v>0.0</v>
      </c>
      <c r="H623" s="156">
        <v>0.0</v>
      </c>
      <c r="I623" s="156">
        <v>0.0</v>
      </c>
      <c r="J623" s="156">
        <v>0.0</v>
      </c>
    </row>
    <row r="624">
      <c r="A624" s="155">
        <v>44088.0</v>
      </c>
      <c r="B624" s="21" t="s">
        <v>177</v>
      </c>
      <c r="C624" s="21" t="s">
        <v>90</v>
      </c>
      <c r="D624" s="156">
        <v>50000.0</v>
      </c>
      <c r="E624" s="21" t="s">
        <v>202</v>
      </c>
      <c r="F624" s="156">
        <v>0.0</v>
      </c>
      <c r="G624" s="156">
        <v>0.0</v>
      </c>
      <c r="H624" s="156">
        <v>0.0</v>
      </c>
      <c r="I624" s="156">
        <v>0.0</v>
      </c>
      <c r="J624" s="156">
        <v>0.0</v>
      </c>
    </row>
    <row r="625">
      <c r="A625" s="155">
        <v>44088.0</v>
      </c>
      <c r="B625" s="21" t="s">
        <v>139</v>
      </c>
      <c r="C625" s="21" t="s">
        <v>224</v>
      </c>
      <c r="D625" s="156">
        <v>3000.0</v>
      </c>
      <c r="E625" s="21" t="s">
        <v>202</v>
      </c>
      <c r="F625" s="156">
        <v>0.0</v>
      </c>
      <c r="G625" s="156">
        <v>0.0</v>
      </c>
      <c r="H625" s="156">
        <v>0.0</v>
      </c>
      <c r="I625" s="156">
        <v>0.0</v>
      </c>
      <c r="J625" s="156">
        <v>0.0</v>
      </c>
    </row>
    <row r="626">
      <c r="A626" s="155">
        <v>44088.0</v>
      </c>
      <c r="B626" s="21" t="s">
        <v>141</v>
      </c>
      <c r="C626" s="21" t="s">
        <v>224</v>
      </c>
      <c r="D626" s="156">
        <v>250000.0</v>
      </c>
      <c r="E626" s="21" t="s">
        <v>202</v>
      </c>
      <c r="F626" s="156">
        <v>0.0</v>
      </c>
      <c r="G626" s="156">
        <v>0.0</v>
      </c>
      <c r="H626" s="156">
        <v>0.0</v>
      </c>
      <c r="I626" s="156">
        <v>0.0</v>
      </c>
      <c r="J626" s="156">
        <v>0.0</v>
      </c>
    </row>
    <row r="627">
      <c r="A627" s="155">
        <v>44088.0</v>
      </c>
      <c r="B627" s="21" t="s">
        <v>107</v>
      </c>
      <c r="C627" s="21" t="s">
        <v>90</v>
      </c>
      <c r="D627" s="156">
        <v>70000.0</v>
      </c>
      <c r="E627" s="21" t="s">
        <v>202</v>
      </c>
      <c r="F627" s="156">
        <v>0.0</v>
      </c>
      <c r="G627" s="156">
        <v>0.0</v>
      </c>
      <c r="H627" s="156">
        <v>0.0</v>
      </c>
      <c r="I627" s="156">
        <v>0.0</v>
      </c>
      <c r="J627" s="156">
        <v>0.0</v>
      </c>
    </row>
    <row r="628">
      <c r="A628" s="155">
        <v>44088.0</v>
      </c>
      <c r="B628" s="21" t="s">
        <v>124</v>
      </c>
      <c r="C628" s="21" t="s">
        <v>450</v>
      </c>
      <c r="D628" s="156">
        <v>48000.0</v>
      </c>
      <c r="E628" s="21" t="s">
        <v>202</v>
      </c>
      <c r="F628" s="156">
        <v>0.0</v>
      </c>
      <c r="G628" s="156">
        <v>0.0</v>
      </c>
      <c r="H628" s="156">
        <v>0.0</v>
      </c>
      <c r="I628" s="156">
        <v>0.0</v>
      </c>
      <c r="J628" s="156">
        <v>0.0</v>
      </c>
    </row>
    <row r="629">
      <c r="A629" s="155">
        <v>44088.0</v>
      </c>
      <c r="B629" s="21" t="s">
        <v>107</v>
      </c>
      <c r="C629" s="21" t="s">
        <v>450</v>
      </c>
      <c r="D629" s="156">
        <v>48000.0</v>
      </c>
      <c r="E629" s="21" t="s">
        <v>202</v>
      </c>
      <c r="F629" s="156">
        <v>0.0</v>
      </c>
      <c r="G629" s="156">
        <v>0.0</v>
      </c>
      <c r="H629" s="156">
        <v>0.0</v>
      </c>
      <c r="I629" s="156">
        <v>0.0</v>
      </c>
      <c r="J629" s="156">
        <v>0.0</v>
      </c>
    </row>
    <row r="630">
      <c r="A630" s="155">
        <v>44088.0</v>
      </c>
      <c r="B630" s="21" t="s">
        <v>109</v>
      </c>
      <c r="C630" s="21" t="s">
        <v>332</v>
      </c>
      <c r="D630" s="156">
        <v>56000.0</v>
      </c>
      <c r="E630" s="21" t="s">
        <v>202</v>
      </c>
      <c r="F630" s="156">
        <v>0.0</v>
      </c>
      <c r="G630" s="156">
        <v>0.0</v>
      </c>
      <c r="H630" s="156">
        <v>0.0</v>
      </c>
      <c r="I630" s="156">
        <v>0.0</v>
      </c>
      <c r="J630" s="156">
        <v>0.0</v>
      </c>
    </row>
    <row r="631">
      <c r="A631" s="155">
        <v>44088.0</v>
      </c>
      <c r="B631" s="21" t="s">
        <v>141</v>
      </c>
      <c r="C631" s="21" t="s">
        <v>332</v>
      </c>
      <c r="D631" s="156">
        <v>36000.0</v>
      </c>
      <c r="E631" s="21" t="s">
        <v>202</v>
      </c>
      <c r="F631" s="156">
        <v>0.0</v>
      </c>
      <c r="G631" s="156">
        <v>0.0</v>
      </c>
      <c r="H631" s="156">
        <v>0.0</v>
      </c>
      <c r="I631" s="156">
        <v>0.0</v>
      </c>
      <c r="J631" s="156">
        <v>0.0</v>
      </c>
    </row>
    <row r="632">
      <c r="A632" s="155">
        <v>44088.0</v>
      </c>
      <c r="B632" s="21" t="s">
        <v>216</v>
      </c>
      <c r="C632" s="21" t="s">
        <v>451</v>
      </c>
      <c r="D632" s="156">
        <v>20000.0</v>
      </c>
      <c r="E632" s="21" t="s">
        <v>205</v>
      </c>
      <c r="F632" s="156">
        <v>0.0</v>
      </c>
      <c r="G632" s="156">
        <v>20000.0</v>
      </c>
      <c r="H632" s="156">
        <v>0.0</v>
      </c>
      <c r="I632" s="156">
        <v>0.0</v>
      </c>
      <c r="J632" s="156">
        <v>0.0</v>
      </c>
    </row>
    <row r="633">
      <c r="A633" s="155">
        <v>44088.0</v>
      </c>
      <c r="B633" s="21" t="s">
        <v>452</v>
      </c>
      <c r="C633" s="21" t="s">
        <v>453</v>
      </c>
      <c r="D633" s="156">
        <v>1000.0</v>
      </c>
      <c r="E633" s="21" t="s">
        <v>205</v>
      </c>
      <c r="F633" s="156">
        <v>0.0</v>
      </c>
      <c r="G633" s="156">
        <v>1000.0</v>
      </c>
      <c r="H633" s="156">
        <v>0.0</v>
      </c>
      <c r="I633" s="156">
        <v>0.0</v>
      </c>
      <c r="J633" s="156">
        <v>0.0</v>
      </c>
    </row>
    <row r="634">
      <c r="A634" s="155">
        <v>44088.0</v>
      </c>
      <c r="B634" s="21" t="s">
        <v>454</v>
      </c>
      <c r="C634" s="21" t="s">
        <v>455</v>
      </c>
      <c r="D634" s="156">
        <v>25000.0</v>
      </c>
      <c r="E634" s="21" t="s">
        <v>205</v>
      </c>
      <c r="F634" s="156">
        <v>0.0</v>
      </c>
      <c r="G634" s="156">
        <v>25000.0</v>
      </c>
      <c r="H634" s="156">
        <v>0.0</v>
      </c>
      <c r="I634" s="156">
        <v>0.0</v>
      </c>
      <c r="J634" s="156">
        <v>0.0</v>
      </c>
    </row>
    <row r="635">
      <c r="A635" s="155">
        <v>44088.0</v>
      </c>
      <c r="B635" s="21" t="s">
        <v>456</v>
      </c>
      <c r="C635" s="21" t="s">
        <v>457</v>
      </c>
      <c r="D635" s="156">
        <v>40000.0</v>
      </c>
      <c r="E635" s="21" t="s">
        <v>205</v>
      </c>
      <c r="F635" s="156">
        <v>0.0</v>
      </c>
      <c r="G635" s="156">
        <v>40000.0</v>
      </c>
      <c r="H635" s="156">
        <v>0.0</v>
      </c>
      <c r="I635" s="156">
        <v>0.0</v>
      </c>
      <c r="J635" s="156">
        <v>0.0</v>
      </c>
    </row>
    <row r="636">
      <c r="A636" s="155">
        <v>44088.0</v>
      </c>
      <c r="B636" s="21" t="s">
        <v>458</v>
      </c>
      <c r="C636" s="21" t="s">
        <v>295</v>
      </c>
      <c r="D636" s="156">
        <v>18000.0</v>
      </c>
      <c r="E636" s="21" t="s">
        <v>205</v>
      </c>
      <c r="F636" s="156">
        <v>0.0</v>
      </c>
      <c r="G636" s="156">
        <v>18000.0</v>
      </c>
      <c r="H636" s="156">
        <v>0.0</v>
      </c>
      <c r="I636" s="156">
        <v>0.0</v>
      </c>
      <c r="J636" s="156">
        <v>0.0</v>
      </c>
    </row>
    <row r="637">
      <c r="A637" s="155">
        <v>44088.0</v>
      </c>
      <c r="B637" s="21" t="s">
        <v>183</v>
      </c>
      <c r="C637" s="21" t="s">
        <v>223</v>
      </c>
      <c r="D637" s="156">
        <v>419300.0</v>
      </c>
      <c r="E637" s="21" t="s">
        <v>211</v>
      </c>
      <c r="F637" s="156">
        <v>0.0</v>
      </c>
      <c r="G637" s="156">
        <v>0.0</v>
      </c>
      <c r="H637" s="156">
        <v>0.0</v>
      </c>
      <c r="I637" s="156">
        <v>419300.0</v>
      </c>
      <c r="J637" s="156">
        <v>0.0</v>
      </c>
    </row>
    <row r="638">
      <c r="A638" s="155">
        <v>44088.0</v>
      </c>
      <c r="B638" s="21" t="s">
        <v>220</v>
      </c>
      <c r="C638" s="21" t="s">
        <v>221</v>
      </c>
      <c r="D638" s="156">
        <v>1000000.0</v>
      </c>
      <c r="E638" s="21" t="s">
        <v>201</v>
      </c>
      <c r="F638" s="156">
        <v>0.0</v>
      </c>
      <c r="G638" s="156">
        <v>0.0</v>
      </c>
      <c r="H638" s="156">
        <v>1000000.0</v>
      </c>
      <c r="I638" s="156">
        <v>0.0</v>
      </c>
      <c r="J638" s="156">
        <v>0.0</v>
      </c>
    </row>
    <row r="639">
      <c r="A639" s="155">
        <v>44085.0</v>
      </c>
      <c r="B639" s="21" t="s">
        <v>139</v>
      </c>
      <c r="C639" s="21" t="s">
        <v>441</v>
      </c>
      <c r="D639" s="156">
        <v>600.0</v>
      </c>
      <c r="E639" s="21" t="s">
        <v>202</v>
      </c>
      <c r="F639" s="156">
        <v>0.0</v>
      </c>
      <c r="G639" s="156">
        <v>0.0</v>
      </c>
      <c r="H639" s="156">
        <v>0.0</v>
      </c>
      <c r="I639" s="156">
        <v>0.0</v>
      </c>
      <c r="J639" s="156">
        <v>0.0</v>
      </c>
    </row>
    <row r="640">
      <c r="A640" s="155">
        <v>44074.0</v>
      </c>
      <c r="B640" s="21" t="s">
        <v>117</v>
      </c>
      <c r="C640" s="21" t="s">
        <v>441</v>
      </c>
      <c r="D640" s="156">
        <v>-35000.0</v>
      </c>
      <c r="E640" s="21" t="s">
        <v>202</v>
      </c>
      <c r="F640" s="156">
        <v>0.0</v>
      </c>
      <c r="G640" s="156">
        <v>0.0</v>
      </c>
      <c r="H640" s="156">
        <v>0.0</v>
      </c>
      <c r="I640" s="156">
        <v>0.0</v>
      </c>
      <c r="J640" s="156">
        <v>0.0</v>
      </c>
    </row>
    <row r="641">
      <c r="A641" s="155">
        <v>44074.0</v>
      </c>
      <c r="B641" s="21" t="s">
        <v>139</v>
      </c>
      <c r="C641" s="21" t="s">
        <v>459</v>
      </c>
      <c r="D641" s="156">
        <v>35000.0</v>
      </c>
      <c r="E641" s="21" t="s">
        <v>202</v>
      </c>
      <c r="F641" s="156">
        <v>0.0</v>
      </c>
      <c r="G641" s="156">
        <v>0.0</v>
      </c>
      <c r="H641" s="156">
        <v>0.0</v>
      </c>
      <c r="I641" s="156">
        <v>0.0</v>
      </c>
      <c r="J641" s="156">
        <v>0.0</v>
      </c>
    </row>
    <row r="642">
      <c r="A642" s="155">
        <v>44089.0</v>
      </c>
      <c r="B642" s="21" t="s">
        <v>178</v>
      </c>
      <c r="C642" s="21" t="s">
        <v>460</v>
      </c>
      <c r="D642" s="156">
        <v>10000.0</v>
      </c>
      <c r="E642" s="21" t="s">
        <v>202</v>
      </c>
      <c r="F642" s="156">
        <v>0.0</v>
      </c>
      <c r="G642" s="156">
        <v>0.0</v>
      </c>
      <c r="H642" s="156">
        <v>0.0</v>
      </c>
      <c r="I642" s="156">
        <v>0.0</v>
      </c>
      <c r="J642" s="156">
        <v>0.0</v>
      </c>
    </row>
    <row r="643">
      <c r="A643" s="155">
        <v>44089.0</v>
      </c>
      <c r="B643" s="21" t="s">
        <v>58</v>
      </c>
      <c r="C643" s="21" t="s">
        <v>90</v>
      </c>
      <c r="D643" s="156">
        <v>50000.0</v>
      </c>
      <c r="E643" s="21" t="s">
        <v>202</v>
      </c>
      <c r="F643" s="156">
        <v>0.0</v>
      </c>
      <c r="G643" s="156">
        <v>0.0</v>
      </c>
      <c r="H643" s="156">
        <v>0.0</v>
      </c>
      <c r="I643" s="156">
        <v>0.0</v>
      </c>
      <c r="J643" s="156">
        <v>0.0</v>
      </c>
    </row>
    <row r="644">
      <c r="A644" s="155">
        <v>44089.0</v>
      </c>
      <c r="B644" s="21" t="s">
        <v>113</v>
      </c>
      <c r="C644" s="21" t="s">
        <v>224</v>
      </c>
      <c r="D644" s="156">
        <v>4500.0</v>
      </c>
      <c r="E644" s="21" t="s">
        <v>202</v>
      </c>
      <c r="F644" s="156">
        <v>0.0</v>
      </c>
      <c r="G644" s="156">
        <v>0.0</v>
      </c>
      <c r="H644" s="156">
        <v>0.0</v>
      </c>
      <c r="I644" s="156">
        <v>0.0</v>
      </c>
      <c r="J644" s="156">
        <v>0.0</v>
      </c>
    </row>
    <row r="645">
      <c r="A645" s="155">
        <v>44089.0</v>
      </c>
      <c r="B645" s="21" t="s">
        <v>107</v>
      </c>
      <c r="C645" s="21" t="s">
        <v>90</v>
      </c>
      <c r="D645" s="156">
        <v>750000.0</v>
      </c>
      <c r="E645" s="21" t="s">
        <v>202</v>
      </c>
      <c r="F645" s="156">
        <v>0.0</v>
      </c>
      <c r="G645" s="156">
        <v>0.0</v>
      </c>
      <c r="H645" s="156">
        <v>0.0</v>
      </c>
      <c r="I645" s="156">
        <v>0.0</v>
      </c>
      <c r="J645" s="156">
        <v>0.0</v>
      </c>
    </row>
    <row r="646">
      <c r="A646" s="155">
        <v>44089.0</v>
      </c>
      <c r="B646" s="21" t="s">
        <v>124</v>
      </c>
      <c r="C646" s="21" t="s">
        <v>90</v>
      </c>
      <c r="D646" s="156">
        <v>500000.0</v>
      </c>
      <c r="E646" s="21" t="s">
        <v>202</v>
      </c>
      <c r="F646" s="156">
        <v>0.0</v>
      </c>
      <c r="G646" s="156">
        <v>0.0</v>
      </c>
      <c r="H646" s="156">
        <v>0.0</v>
      </c>
      <c r="I646" s="156">
        <v>0.0</v>
      </c>
      <c r="J646" s="156">
        <v>0.0</v>
      </c>
    </row>
    <row r="647">
      <c r="A647" s="155">
        <v>44089.0</v>
      </c>
      <c r="B647" s="21" t="s">
        <v>169</v>
      </c>
      <c r="C647" s="21" t="s">
        <v>90</v>
      </c>
      <c r="D647" s="156">
        <v>340000.0</v>
      </c>
      <c r="E647" s="21" t="s">
        <v>202</v>
      </c>
      <c r="F647" s="156">
        <v>0.0</v>
      </c>
      <c r="G647" s="156">
        <v>0.0</v>
      </c>
      <c r="H647" s="156">
        <v>0.0</v>
      </c>
      <c r="I647" s="156">
        <v>0.0</v>
      </c>
      <c r="J647" s="156">
        <v>0.0</v>
      </c>
    </row>
    <row r="648">
      <c r="A648" s="155">
        <v>44089.0</v>
      </c>
      <c r="B648" s="21" t="s">
        <v>140</v>
      </c>
      <c r="C648" s="21" t="s">
        <v>90</v>
      </c>
      <c r="D648" s="156">
        <v>10000.0</v>
      </c>
      <c r="E648" s="21" t="s">
        <v>202</v>
      </c>
      <c r="F648" s="156">
        <v>0.0</v>
      </c>
      <c r="G648" s="156">
        <v>0.0</v>
      </c>
      <c r="H648" s="156">
        <v>0.0</v>
      </c>
      <c r="I648" s="156">
        <v>0.0</v>
      </c>
      <c r="J648" s="156">
        <v>0.0</v>
      </c>
    </row>
    <row r="649">
      <c r="A649" s="155">
        <v>44089.0</v>
      </c>
      <c r="B649" s="21" t="s">
        <v>216</v>
      </c>
      <c r="C649" s="21" t="s">
        <v>461</v>
      </c>
      <c r="D649" s="156">
        <v>25000.0</v>
      </c>
      <c r="E649" s="21" t="s">
        <v>201</v>
      </c>
      <c r="F649" s="156">
        <v>0.0</v>
      </c>
      <c r="G649" s="156">
        <v>0.0</v>
      </c>
      <c r="H649" s="156">
        <v>25000.0</v>
      </c>
      <c r="I649" s="156">
        <v>0.0</v>
      </c>
      <c r="J649" s="156">
        <v>0.0</v>
      </c>
    </row>
    <row r="650">
      <c r="A650" s="155">
        <v>44089.0</v>
      </c>
      <c r="B650" s="21" t="s">
        <v>228</v>
      </c>
      <c r="C650" s="21" t="s">
        <v>390</v>
      </c>
      <c r="D650" s="156">
        <v>15000.0</v>
      </c>
      <c r="E650" s="21" t="s">
        <v>205</v>
      </c>
      <c r="F650" s="156">
        <v>0.0</v>
      </c>
      <c r="G650" s="156">
        <v>15000.0</v>
      </c>
      <c r="H650" s="156">
        <v>0.0</v>
      </c>
      <c r="I650" s="156">
        <v>0.0</v>
      </c>
      <c r="J650" s="156">
        <v>0.0</v>
      </c>
    </row>
    <row r="651">
      <c r="A651" s="155">
        <v>44089.0</v>
      </c>
      <c r="B651" s="21" t="s">
        <v>248</v>
      </c>
      <c r="C651" s="21" t="s">
        <v>409</v>
      </c>
      <c r="D651" s="156">
        <v>4000.0</v>
      </c>
      <c r="E651" s="21" t="s">
        <v>205</v>
      </c>
      <c r="F651" s="156">
        <v>0.0</v>
      </c>
      <c r="G651" s="156">
        <v>4000.0</v>
      </c>
      <c r="H651" s="156">
        <v>0.0</v>
      </c>
      <c r="I651" s="156">
        <v>0.0</v>
      </c>
      <c r="J651" s="156">
        <v>0.0</v>
      </c>
    </row>
    <row r="652">
      <c r="A652" s="155">
        <v>44089.0</v>
      </c>
      <c r="B652" s="21" t="s">
        <v>220</v>
      </c>
      <c r="C652" s="21" t="s">
        <v>417</v>
      </c>
      <c r="D652" s="156">
        <v>2500.0</v>
      </c>
      <c r="E652" s="21" t="s">
        <v>205</v>
      </c>
      <c r="F652" s="156">
        <v>0.0</v>
      </c>
      <c r="G652" s="156">
        <v>2500.0</v>
      </c>
      <c r="H652" s="156">
        <v>0.0</v>
      </c>
      <c r="I652" s="156">
        <v>0.0</v>
      </c>
      <c r="J652" s="156">
        <v>0.0</v>
      </c>
    </row>
    <row r="653">
      <c r="A653" s="155">
        <v>44089.0</v>
      </c>
      <c r="B653" s="21" t="s">
        <v>220</v>
      </c>
      <c r="C653" s="21" t="s">
        <v>372</v>
      </c>
      <c r="D653" s="156">
        <v>500.0</v>
      </c>
      <c r="E653" s="21" t="s">
        <v>205</v>
      </c>
      <c r="F653" s="156">
        <v>0.0</v>
      </c>
      <c r="G653" s="156">
        <v>500.0</v>
      </c>
      <c r="H653" s="156">
        <v>0.0</v>
      </c>
      <c r="I653" s="156">
        <v>0.0</v>
      </c>
      <c r="J653" s="156">
        <v>0.0</v>
      </c>
    </row>
    <row r="654">
      <c r="A654" s="155">
        <v>44089.0</v>
      </c>
      <c r="B654" s="21" t="s">
        <v>378</v>
      </c>
      <c r="C654" s="21" t="s">
        <v>462</v>
      </c>
      <c r="D654" s="156">
        <v>340000.0</v>
      </c>
      <c r="E654" s="21" t="s">
        <v>205</v>
      </c>
      <c r="F654" s="156">
        <v>0.0</v>
      </c>
      <c r="G654" s="156">
        <v>340000.0</v>
      </c>
      <c r="H654" s="156">
        <v>0.0</v>
      </c>
      <c r="I654" s="156">
        <v>0.0</v>
      </c>
      <c r="J654" s="156">
        <v>0.0</v>
      </c>
    </row>
    <row r="655">
      <c r="A655" s="155">
        <v>44089.0</v>
      </c>
      <c r="B655" s="21" t="s">
        <v>376</v>
      </c>
      <c r="C655" s="21" t="s">
        <v>427</v>
      </c>
      <c r="D655" s="156">
        <v>60000.0</v>
      </c>
      <c r="E655" s="21" t="s">
        <v>205</v>
      </c>
      <c r="F655" s="156">
        <v>0.0</v>
      </c>
      <c r="G655" s="156">
        <v>60000.0</v>
      </c>
      <c r="H655" s="156">
        <v>0.0</v>
      </c>
      <c r="I655" s="156">
        <v>0.0</v>
      </c>
      <c r="J655" s="156">
        <v>0.0</v>
      </c>
    </row>
    <row r="656">
      <c r="A656" s="155">
        <v>44089.0</v>
      </c>
      <c r="B656" s="21" t="s">
        <v>273</v>
      </c>
      <c r="C656" s="21" t="s">
        <v>437</v>
      </c>
      <c r="D656" s="156">
        <v>1000.0</v>
      </c>
      <c r="E656" s="21" t="s">
        <v>205</v>
      </c>
      <c r="F656" s="156">
        <v>0.0</v>
      </c>
      <c r="G656" s="156">
        <v>1000.0</v>
      </c>
      <c r="H656" s="156">
        <v>0.0</v>
      </c>
      <c r="I656" s="156">
        <v>0.0</v>
      </c>
      <c r="J656" s="156">
        <v>0.0</v>
      </c>
    </row>
    <row r="657">
      <c r="A657" s="155">
        <v>44089.0</v>
      </c>
      <c r="B657" s="21" t="s">
        <v>216</v>
      </c>
      <c r="C657" s="21" t="s">
        <v>463</v>
      </c>
      <c r="D657" s="156">
        <v>15000.0</v>
      </c>
      <c r="E657" s="21" t="s">
        <v>211</v>
      </c>
      <c r="F657" s="156">
        <v>0.0</v>
      </c>
      <c r="G657" s="156">
        <v>0.0</v>
      </c>
      <c r="H657" s="156">
        <v>0.0</v>
      </c>
      <c r="I657" s="156">
        <v>15000.0</v>
      </c>
      <c r="J657" s="156">
        <v>0.0</v>
      </c>
    </row>
    <row r="658">
      <c r="A658" s="155">
        <v>44089.0</v>
      </c>
      <c r="B658" s="21" t="s">
        <v>183</v>
      </c>
      <c r="C658" s="21" t="s">
        <v>223</v>
      </c>
      <c r="D658" s="156">
        <v>408000.0</v>
      </c>
      <c r="E658" s="21" t="s">
        <v>211</v>
      </c>
      <c r="F658" s="156">
        <v>0.0</v>
      </c>
      <c r="G658" s="156">
        <v>0.0</v>
      </c>
      <c r="H658" s="156">
        <v>0.0</v>
      </c>
      <c r="I658" s="156">
        <v>408000.0</v>
      </c>
      <c r="J658" s="156">
        <v>0.0</v>
      </c>
    </row>
    <row r="659">
      <c r="A659" s="155">
        <v>44089.0</v>
      </c>
      <c r="B659" s="21" t="s">
        <v>220</v>
      </c>
      <c r="C659" s="21" t="s">
        <v>221</v>
      </c>
      <c r="D659" s="156">
        <v>2000000.0</v>
      </c>
      <c r="E659" s="21" t="s">
        <v>201</v>
      </c>
      <c r="F659" s="156">
        <v>0.0</v>
      </c>
      <c r="G659" s="156">
        <v>0.0</v>
      </c>
      <c r="H659" s="156">
        <v>2000000.0</v>
      </c>
      <c r="I659" s="156">
        <v>0.0</v>
      </c>
      <c r="J659" s="156">
        <v>0.0</v>
      </c>
    </row>
    <row r="660">
      <c r="A660" s="155">
        <v>44090.0</v>
      </c>
      <c r="B660" s="21" t="s">
        <v>113</v>
      </c>
      <c r="C660" s="21" t="s">
        <v>90</v>
      </c>
      <c r="D660" s="156">
        <v>1553900.0</v>
      </c>
      <c r="E660" s="21" t="s">
        <v>202</v>
      </c>
      <c r="F660" s="156">
        <v>0.0</v>
      </c>
      <c r="G660" s="156">
        <v>0.0</v>
      </c>
      <c r="H660" s="156">
        <v>0.0</v>
      </c>
      <c r="I660" s="156">
        <v>0.0</v>
      </c>
      <c r="J660" s="156">
        <v>0.0</v>
      </c>
    </row>
    <row r="661">
      <c r="A661" s="155">
        <v>44090.0</v>
      </c>
      <c r="B661" s="21" t="s">
        <v>157</v>
      </c>
      <c r="C661" s="21" t="s">
        <v>90</v>
      </c>
      <c r="D661" s="156">
        <v>1161000.0</v>
      </c>
      <c r="E661" s="21" t="s">
        <v>202</v>
      </c>
      <c r="F661" s="156">
        <v>0.0</v>
      </c>
      <c r="G661" s="156">
        <v>0.0</v>
      </c>
      <c r="H661" s="156">
        <v>0.0</v>
      </c>
      <c r="I661" s="156">
        <v>0.0</v>
      </c>
      <c r="J661" s="156">
        <v>0.0</v>
      </c>
    </row>
    <row r="662">
      <c r="A662" s="155">
        <v>44090.0</v>
      </c>
      <c r="B662" s="21" t="s">
        <v>110</v>
      </c>
      <c r="C662" s="21" t="s">
        <v>90</v>
      </c>
      <c r="D662" s="156">
        <v>2000000.0</v>
      </c>
      <c r="E662" s="21" t="s">
        <v>202</v>
      </c>
      <c r="F662" s="156">
        <v>0.0</v>
      </c>
      <c r="G662" s="156">
        <v>0.0</v>
      </c>
      <c r="H662" s="156">
        <v>0.0</v>
      </c>
      <c r="I662" s="156">
        <v>0.0</v>
      </c>
      <c r="J662" s="156">
        <v>0.0</v>
      </c>
    </row>
    <row r="663">
      <c r="A663" s="155">
        <v>44090.0</v>
      </c>
      <c r="B663" s="21" t="s">
        <v>172</v>
      </c>
      <c r="C663" s="21" t="s">
        <v>90</v>
      </c>
      <c r="D663" s="156">
        <v>261700.0</v>
      </c>
      <c r="E663" s="21" t="s">
        <v>202</v>
      </c>
      <c r="F663" s="156">
        <v>0.0</v>
      </c>
      <c r="G663" s="156">
        <v>0.0</v>
      </c>
      <c r="H663" s="156">
        <v>0.0</v>
      </c>
      <c r="I663" s="156">
        <v>0.0</v>
      </c>
      <c r="J663" s="156">
        <v>0.0</v>
      </c>
    </row>
    <row r="664">
      <c r="A664" s="155">
        <v>44090.0</v>
      </c>
      <c r="B664" s="21" t="s">
        <v>140</v>
      </c>
      <c r="C664" s="21" t="s">
        <v>90</v>
      </c>
      <c r="D664" s="156">
        <v>520000.0</v>
      </c>
      <c r="E664" s="21" t="s">
        <v>202</v>
      </c>
      <c r="F664" s="156">
        <v>0.0</v>
      </c>
      <c r="G664" s="156">
        <v>0.0</v>
      </c>
      <c r="H664" s="156">
        <v>0.0</v>
      </c>
      <c r="I664" s="156">
        <v>0.0</v>
      </c>
      <c r="J664" s="156">
        <v>0.0</v>
      </c>
    </row>
    <row r="665">
      <c r="A665" s="155">
        <v>44090.0</v>
      </c>
      <c r="B665" s="21" t="s">
        <v>216</v>
      </c>
      <c r="C665" s="21" t="s">
        <v>322</v>
      </c>
      <c r="D665" s="156">
        <v>59000.0</v>
      </c>
      <c r="E665" s="21" t="s">
        <v>205</v>
      </c>
      <c r="F665" s="156">
        <v>0.0</v>
      </c>
      <c r="G665" s="156">
        <v>59000.0</v>
      </c>
      <c r="H665" s="156">
        <v>0.0</v>
      </c>
      <c r="I665" s="156">
        <v>0.0</v>
      </c>
      <c r="J665" s="156">
        <v>0.0</v>
      </c>
    </row>
    <row r="666">
      <c r="A666" s="155">
        <v>44090.0</v>
      </c>
      <c r="B666" s="21" t="s">
        <v>406</v>
      </c>
      <c r="C666" s="21" t="s">
        <v>382</v>
      </c>
      <c r="D666" s="156">
        <v>45000.0</v>
      </c>
      <c r="E666" s="21" t="s">
        <v>205</v>
      </c>
      <c r="F666" s="156">
        <v>0.0</v>
      </c>
      <c r="G666" s="156">
        <v>45000.0</v>
      </c>
      <c r="H666" s="156">
        <v>0.0</v>
      </c>
      <c r="I666" s="156">
        <v>0.0</v>
      </c>
      <c r="J666" s="156">
        <v>0.0</v>
      </c>
    </row>
    <row r="667">
      <c r="A667" s="155">
        <v>44090.0</v>
      </c>
      <c r="B667" s="21" t="s">
        <v>281</v>
      </c>
      <c r="C667" s="21" t="s">
        <v>388</v>
      </c>
      <c r="D667" s="156">
        <v>250000.0</v>
      </c>
      <c r="E667" s="21" t="s">
        <v>205</v>
      </c>
      <c r="F667" s="156">
        <v>0.0</v>
      </c>
      <c r="G667" s="156">
        <v>250000.0</v>
      </c>
      <c r="H667" s="156">
        <v>0.0</v>
      </c>
      <c r="I667" s="156">
        <v>0.0</v>
      </c>
      <c r="J667" s="156">
        <v>0.0</v>
      </c>
    </row>
    <row r="668">
      <c r="A668" s="155">
        <v>44090.0</v>
      </c>
      <c r="B668" s="21" t="s">
        <v>425</v>
      </c>
      <c r="C668" s="21" t="s">
        <v>224</v>
      </c>
      <c r="D668" s="156">
        <v>150000.0</v>
      </c>
      <c r="E668" s="21" t="s">
        <v>205</v>
      </c>
      <c r="F668" s="156">
        <v>0.0</v>
      </c>
      <c r="G668" s="156">
        <v>150000.0</v>
      </c>
      <c r="H668" s="156">
        <v>0.0</v>
      </c>
      <c r="I668" s="156">
        <v>0.0</v>
      </c>
      <c r="J668" s="156">
        <v>0.0</v>
      </c>
    </row>
    <row r="669">
      <c r="A669" s="155">
        <v>44090.0</v>
      </c>
      <c r="B669" s="21" t="s">
        <v>271</v>
      </c>
      <c r="C669" s="21" t="s">
        <v>464</v>
      </c>
      <c r="D669" s="156">
        <v>10000.0</v>
      </c>
      <c r="E669" s="21" t="s">
        <v>205</v>
      </c>
      <c r="F669" s="156">
        <v>0.0</v>
      </c>
      <c r="G669" s="156">
        <v>10000.0</v>
      </c>
      <c r="H669" s="156">
        <v>0.0</v>
      </c>
      <c r="I669" s="156">
        <v>0.0</v>
      </c>
      <c r="J669" s="156">
        <v>0.0</v>
      </c>
    </row>
    <row r="670">
      <c r="A670" s="155">
        <v>44090.0</v>
      </c>
      <c r="B670" s="21" t="s">
        <v>376</v>
      </c>
      <c r="C670" s="21" t="s">
        <v>200</v>
      </c>
      <c r="D670" s="156">
        <v>10000.0</v>
      </c>
      <c r="E670" s="21" t="s">
        <v>205</v>
      </c>
      <c r="F670" s="156">
        <v>0.0</v>
      </c>
      <c r="G670" s="156">
        <v>10000.0</v>
      </c>
      <c r="H670" s="156">
        <v>0.0</v>
      </c>
      <c r="I670" s="156">
        <v>0.0</v>
      </c>
      <c r="J670" s="156">
        <v>0.0</v>
      </c>
    </row>
    <row r="671">
      <c r="A671" s="155">
        <v>44090.0</v>
      </c>
      <c r="B671" s="21" t="s">
        <v>248</v>
      </c>
      <c r="C671" s="21" t="s">
        <v>409</v>
      </c>
      <c r="D671" s="156">
        <v>4000.0</v>
      </c>
      <c r="E671" s="21" t="s">
        <v>205</v>
      </c>
      <c r="F671" s="156">
        <v>0.0</v>
      </c>
      <c r="G671" s="156">
        <v>4000.0</v>
      </c>
      <c r="H671" s="156">
        <v>0.0</v>
      </c>
      <c r="I671" s="156">
        <v>0.0</v>
      </c>
      <c r="J671" s="156">
        <v>0.0</v>
      </c>
    </row>
    <row r="672">
      <c r="A672" s="155">
        <v>44090.0</v>
      </c>
      <c r="B672" s="21" t="s">
        <v>183</v>
      </c>
      <c r="C672" s="21" t="s">
        <v>223</v>
      </c>
      <c r="D672" s="156">
        <v>843800.0</v>
      </c>
      <c r="E672" s="21" t="s">
        <v>211</v>
      </c>
      <c r="F672" s="156">
        <v>0.0</v>
      </c>
      <c r="G672" s="156">
        <v>0.0</v>
      </c>
      <c r="H672" s="156">
        <v>0.0</v>
      </c>
      <c r="I672" s="156">
        <v>843800.0</v>
      </c>
      <c r="J672" s="156">
        <v>0.0</v>
      </c>
    </row>
    <row r="673">
      <c r="A673" s="155">
        <v>44090.0</v>
      </c>
      <c r="B673" s="21" t="s">
        <v>220</v>
      </c>
      <c r="C673" s="21" t="s">
        <v>221</v>
      </c>
      <c r="D673" s="156">
        <v>6500000.0</v>
      </c>
      <c r="E673" s="21" t="s">
        <v>201</v>
      </c>
      <c r="F673" s="156">
        <v>0.0</v>
      </c>
      <c r="G673" s="156">
        <v>0.0</v>
      </c>
      <c r="H673" s="156">
        <v>6500000.0</v>
      </c>
      <c r="I673" s="156">
        <v>0.0</v>
      </c>
      <c r="J673" s="156">
        <v>0.0</v>
      </c>
    </row>
    <row r="674">
      <c r="A674" s="155">
        <v>44091.0</v>
      </c>
      <c r="B674" s="21" t="s">
        <v>150</v>
      </c>
      <c r="C674" s="21" t="s">
        <v>90</v>
      </c>
      <c r="D674" s="156">
        <v>1060000.0</v>
      </c>
      <c r="E674" s="21" t="s">
        <v>202</v>
      </c>
      <c r="F674" s="156">
        <v>0.0</v>
      </c>
      <c r="G674" s="156">
        <v>0.0</v>
      </c>
      <c r="H674" s="156">
        <v>0.0</v>
      </c>
      <c r="I674" s="156">
        <v>0.0</v>
      </c>
      <c r="J674" s="156">
        <v>0.0</v>
      </c>
    </row>
    <row r="675">
      <c r="A675" s="155">
        <v>44091.0</v>
      </c>
      <c r="B675" s="21" t="s">
        <v>125</v>
      </c>
      <c r="C675" s="21" t="s">
        <v>90</v>
      </c>
      <c r="D675" s="156">
        <v>1229000.0</v>
      </c>
      <c r="E675" s="21" t="s">
        <v>202</v>
      </c>
      <c r="F675" s="156">
        <v>0.0</v>
      </c>
      <c r="G675" s="156">
        <v>0.0</v>
      </c>
      <c r="H675" s="156">
        <v>0.0</v>
      </c>
      <c r="I675" s="156">
        <v>0.0</v>
      </c>
      <c r="J675" s="156">
        <v>0.0</v>
      </c>
    </row>
    <row r="676">
      <c r="A676" s="155">
        <v>44091.0</v>
      </c>
      <c r="B676" s="21" t="s">
        <v>146</v>
      </c>
      <c r="C676" s="21" t="s">
        <v>392</v>
      </c>
      <c r="D676" s="156">
        <v>1000000.0</v>
      </c>
      <c r="E676" s="21" t="s">
        <v>202</v>
      </c>
      <c r="F676" s="156">
        <v>0.0</v>
      </c>
      <c r="G676" s="156">
        <v>0.0</v>
      </c>
      <c r="H676" s="156">
        <v>0.0</v>
      </c>
      <c r="I676" s="156">
        <v>0.0</v>
      </c>
      <c r="J676" s="156">
        <v>0.0</v>
      </c>
    </row>
    <row r="677">
      <c r="A677" s="155">
        <v>44091.0</v>
      </c>
      <c r="B677" s="21" t="s">
        <v>66</v>
      </c>
      <c r="C677" s="21" t="s">
        <v>224</v>
      </c>
      <c r="D677" s="156">
        <v>42000.0</v>
      </c>
      <c r="E677" s="21" t="s">
        <v>205</v>
      </c>
      <c r="F677" s="156">
        <v>0.0</v>
      </c>
      <c r="G677" s="156">
        <v>42000.0</v>
      </c>
      <c r="H677" s="156">
        <v>0.0</v>
      </c>
      <c r="I677" s="156">
        <v>0.0</v>
      </c>
      <c r="J677" s="156">
        <v>0.0</v>
      </c>
    </row>
    <row r="678">
      <c r="A678" s="155">
        <v>44091.0</v>
      </c>
      <c r="B678" s="21" t="s">
        <v>183</v>
      </c>
      <c r="C678" s="21" t="s">
        <v>465</v>
      </c>
      <c r="D678" s="156">
        <v>4500.0</v>
      </c>
      <c r="E678" s="21" t="s">
        <v>205</v>
      </c>
      <c r="F678" s="156">
        <v>0.0</v>
      </c>
      <c r="G678" s="156">
        <v>4500.0</v>
      </c>
      <c r="H678" s="156">
        <v>0.0</v>
      </c>
      <c r="I678" s="156">
        <v>0.0</v>
      </c>
      <c r="J678" s="156">
        <v>0.0</v>
      </c>
    </row>
    <row r="679">
      <c r="A679" s="155">
        <v>44091.0</v>
      </c>
      <c r="B679" s="21" t="s">
        <v>406</v>
      </c>
      <c r="C679" s="21" t="s">
        <v>382</v>
      </c>
      <c r="D679" s="156">
        <v>15000.0</v>
      </c>
      <c r="E679" s="21" t="s">
        <v>205</v>
      </c>
      <c r="F679" s="156">
        <v>0.0</v>
      </c>
      <c r="G679" s="156">
        <v>15000.0</v>
      </c>
      <c r="H679" s="156">
        <v>0.0</v>
      </c>
      <c r="I679" s="156">
        <v>0.0</v>
      </c>
      <c r="J679" s="156">
        <v>0.0</v>
      </c>
    </row>
    <row r="680">
      <c r="A680" s="155">
        <v>44091.0</v>
      </c>
      <c r="B680" s="21" t="s">
        <v>216</v>
      </c>
      <c r="C680" s="21" t="s">
        <v>322</v>
      </c>
      <c r="D680" s="156">
        <v>28000.0</v>
      </c>
      <c r="E680" s="21" t="s">
        <v>205</v>
      </c>
      <c r="F680" s="156">
        <v>0.0</v>
      </c>
      <c r="G680" s="156">
        <v>28000.0</v>
      </c>
      <c r="H680" s="156">
        <v>0.0</v>
      </c>
      <c r="I680" s="156">
        <v>0.0</v>
      </c>
      <c r="J680" s="156">
        <v>0.0</v>
      </c>
    </row>
    <row r="681">
      <c r="A681" s="155">
        <v>44091.0</v>
      </c>
      <c r="B681" s="21" t="s">
        <v>276</v>
      </c>
      <c r="C681" s="21" t="s">
        <v>332</v>
      </c>
      <c r="D681" s="156">
        <v>16500.0</v>
      </c>
      <c r="E681" s="21" t="s">
        <v>205</v>
      </c>
      <c r="F681" s="156">
        <v>0.0</v>
      </c>
      <c r="G681" s="156">
        <v>16500.0</v>
      </c>
      <c r="H681" s="156">
        <v>0.0</v>
      </c>
      <c r="I681" s="156">
        <v>0.0</v>
      </c>
      <c r="J681" s="156">
        <v>0.0</v>
      </c>
    </row>
    <row r="682">
      <c r="A682" s="155">
        <v>44091.0</v>
      </c>
      <c r="B682" s="21" t="s">
        <v>225</v>
      </c>
      <c r="C682" s="21" t="s">
        <v>226</v>
      </c>
      <c r="D682" s="156">
        <v>5000.0</v>
      </c>
      <c r="E682" s="21" t="s">
        <v>205</v>
      </c>
      <c r="F682" s="156">
        <v>0.0</v>
      </c>
      <c r="G682" s="156">
        <v>5000.0</v>
      </c>
      <c r="H682" s="156">
        <v>0.0</v>
      </c>
      <c r="I682" s="156">
        <v>0.0</v>
      </c>
      <c r="J682" s="156">
        <v>0.0</v>
      </c>
    </row>
    <row r="683">
      <c r="A683" s="155">
        <v>44091.0</v>
      </c>
      <c r="B683" s="21" t="s">
        <v>466</v>
      </c>
      <c r="C683" s="21" t="s">
        <v>421</v>
      </c>
      <c r="D683" s="156">
        <v>49000.0</v>
      </c>
      <c r="E683" s="21" t="s">
        <v>205</v>
      </c>
      <c r="F683" s="156">
        <v>0.0</v>
      </c>
      <c r="G683" s="156">
        <v>49000.0</v>
      </c>
      <c r="H683" s="156">
        <v>0.0</v>
      </c>
      <c r="I683" s="156">
        <v>0.0</v>
      </c>
      <c r="J683" s="156">
        <v>0.0</v>
      </c>
    </row>
    <row r="684">
      <c r="A684" s="155">
        <v>44091.0</v>
      </c>
      <c r="B684" s="21" t="s">
        <v>467</v>
      </c>
      <c r="C684" s="21" t="s">
        <v>209</v>
      </c>
      <c r="D684" s="156">
        <v>70000.0</v>
      </c>
      <c r="E684" s="21" t="s">
        <v>205</v>
      </c>
      <c r="F684" s="156">
        <v>0.0</v>
      </c>
      <c r="G684" s="156">
        <v>70000.0</v>
      </c>
      <c r="H684" s="156">
        <v>0.0</v>
      </c>
      <c r="I684" s="156">
        <v>0.0</v>
      </c>
      <c r="J684" s="156">
        <v>0.0</v>
      </c>
    </row>
    <row r="685">
      <c r="A685" s="155">
        <v>44091.0</v>
      </c>
      <c r="B685" s="21" t="s">
        <v>183</v>
      </c>
      <c r="C685" s="21" t="s">
        <v>255</v>
      </c>
      <c r="D685" s="156">
        <v>5800.0</v>
      </c>
      <c r="E685" s="21" t="s">
        <v>205</v>
      </c>
      <c r="F685" s="156">
        <v>0.0</v>
      </c>
      <c r="G685" s="156">
        <v>5800.0</v>
      </c>
      <c r="H685" s="156">
        <v>0.0</v>
      </c>
      <c r="I685" s="156">
        <v>0.0</v>
      </c>
      <c r="J685" s="156">
        <v>0.0</v>
      </c>
    </row>
    <row r="686">
      <c r="A686" s="155">
        <v>44091.0</v>
      </c>
      <c r="B686" s="21" t="s">
        <v>468</v>
      </c>
      <c r="C686" s="21" t="s">
        <v>469</v>
      </c>
      <c r="D686" s="156">
        <v>5000.0</v>
      </c>
      <c r="E686" s="21" t="s">
        <v>205</v>
      </c>
      <c r="F686" s="156">
        <v>0.0</v>
      </c>
      <c r="G686" s="156">
        <v>5000.0</v>
      </c>
      <c r="H686" s="156">
        <v>0.0</v>
      </c>
      <c r="I686" s="156">
        <v>0.0</v>
      </c>
      <c r="J686" s="156">
        <v>0.0</v>
      </c>
    </row>
    <row r="687">
      <c r="A687" s="155">
        <v>44091.0</v>
      </c>
      <c r="B687" s="21" t="s">
        <v>216</v>
      </c>
      <c r="C687" s="21" t="s">
        <v>322</v>
      </c>
      <c r="D687" s="156">
        <v>50000.0</v>
      </c>
      <c r="E687" s="21" t="s">
        <v>205</v>
      </c>
      <c r="F687" s="156">
        <v>0.0</v>
      </c>
      <c r="G687" s="156">
        <v>50000.0</v>
      </c>
      <c r="H687" s="156">
        <v>0.0</v>
      </c>
      <c r="I687" s="156">
        <v>0.0</v>
      </c>
      <c r="J687" s="156">
        <v>0.0</v>
      </c>
    </row>
    <row r="688">
      <c r="A688" s="155">
        <v>44091.0</v>
      </c>
      <c r="B688" s="21" t="s">
        <v>350</v>
      </c>
      <c r="C688" s="21" t="s">
        <v>290</v>
      </c>
      <c r="D688" s="156">
        <v>15000.0</v>
      </c>
      <c r="E688" s="21" t="s">
        <v>205</v>
      </c>
      <c r="F688" s="156">
        <v>0.0</v>
      </c>
      <c r="G688" s="156">
        <v>15000.0</v>
      </c>
      <c r="H688" s="156">
        <v>0.0</v>
      </c>
      <c r="I688" s="156">
        <v>0.0</v>
      </c>
      <c r="J688" s="156">
        <v>0.0</v>
      </c>
    </row>
    <row r="689">
      <c r="A689" s="155">
        <v>44091.0</v>
      </c>
      <c r="B689" s="21" t="s">
        <v>248</v>
      </c>
      <c r="C689" s="21" t="s">
        <v>409</v>
      </c>
      <c r="D689" s="156">
        <v>2500.0</v>
      </c>
      <c r="E689" s="21" t="s">
        <v>205</v>
      </c>
      <c r="F689" s="156">
        <v>0.0</v>
      </c>
      <c r="G689" s="156">
        <v>2500.0</v>
      </c>
      <c r="H689" s="156">
        <v>0.0</v>
      </c>
      <c r="I689" s="156">
        <v>0.0</v>
      </c>
      <c r="J689" s="156">
        <v>0.0</v>
      </c>
    </row>
    <row r="690">
      <c r="A690" s="155">
        <v>44091.0</v>
      </c>
      <c r="B690" s="21" t="s">
        <v>258</v>
      </c>
      <c r="C690" s="21" t="s">
        <v>470</v>
      </c>
      <c r="D690" s="156">
        <v>65000.0</v>
      </c>
      <c r="E690" s="21" t="s">
        <v>205</v>
      </c>
      <c r="F690" s="156">
        <v>0.0</v>
      </c>
      <c r="G690" s="156">
        <v>65000.0</v>
      </c>
      <c r="H690" s="156">
        <v>0.0</v>
      </c>
      <c r="I690" s="156">
        <v>0.0</v>
      </c>
      <c r="J690" s="156">
        <v>0.0</v>
      </c>
    </row>
    <row r="691">
      <c r="A691" s="155">
        <v>44091.0</v>
      </c>
      <c r="B691" s="21" t="s">
        <v>183</v>
      </c>
      <c r="C691" s="21" t="s">
        <v>223</v>
      </c>
      <c r="D691" s="156">
        <v>373300.0</v>
      </c>
      <c r="E691" s="21" t="s">
        <v>211</v>
      </c>
      <c r="F691" s="156">
        <v>0.0</v>
      </c>
      <c r="G691" s="156">
        <v>0.0</v>
      </c>
      <c r="H691" s="156">
        <v>0.0</v>
      </c>
      <c r="I691" s="156">
        <v>373300.0</v>
      </c>
      <c r="J691" s="156">
        <v>0.0</v>
      </c>
    </row>
    <row r="692">
      <c r="A692" s="155">
        <v>44091.0</v>
      </c>
      <c r="B692" s="21" t="s">
        <v>216</v>
      </c>
      <c r="C692" s="21" t="s">
        <v>280</v>
      </c>
      <c r="D692" s="156">
        <v>1000000.0</v>
      </c>
      <c r="E692" s="21" t="s">
        <v>201</v>
      </c>
      <c r="F692" s="156">
        <v>0.0</v>
      </c>
      <c r="G692" s="156">
        <v>0.0</v>
      </c>
      <c r="H692" s="156">
        <v>1000000.0</v>
      </c>
      <c r="I692" s="156">
        <v>0.0</v>
      </c>
      <c r="J692" s="156">
        <v>0.0</v>
      </c>
    </row>
    <row r="693">
      <c r="A693" s="155">
        <v>44091.0</v>
      </c>
      <c r="B693" s="21" t="s">
        <v>220</v>
      </c>
      <c r="C693" s="21" t="s">
        <v>221</v>
      </c>
      <c r="D693" s="156">
        <v>2500000.0</v>
      </c>
      <c r="E693" s="21" t="s">
        <v>201</v>
      </c>
      <c r="F693" s="156">
        <v>0.0</v>
      </c>
      <c r="G693" s="156">
        <v>0.0</v>
      </c>
      <c r="H693" s="156">
        <v>2500000.0</v>
      </c>
      <c r="I693" s="156">
        <v>0.0</v>
      </c>
      <c r="J693" s="156">
        <v>0.0</v>
      </c>
    </row>
    <row r="694">
      <c r="A694" s="155">
        <v>44089.0</v>
      </c>
      <c r="B694" s="21" t="s">
        <v>216</v>
      </c>
      <c r="C694" s="21" t="s">
        <v>471</v>
      </c>
      <c r="D694" s="156">
        <v>-500.0</v>
      </c>
      <c r="E694" s="21" t="s">
        <v>201</v>
      </c>
      <c r="F694" s="156">
        <v>0.0</v>
      </c>
      <c r="G694" s="156">
        <v>0.0</v>
      </c>
      <c r="H694" s="156">
        <v>-500.0</v>
      </c>
      <c r="I694" s="156">
        <v>0.0</v>
      </c>
      <c r="J694" s="156">
        <v>0.0</v>
      </c>
    </row>
    <row r="695">
      <c r="A695" s="155">
        <v>44092.0</v>
      </c>
      <c r="B695" s="21" t="s">
        <v>117</v>
      </c>
      <c r="C695" s="21" t="s">
        <v>90</v>
      </c>
      <c r="D695" s="156">
        <v>2000000.0</v>
      </c>
      <c r="E695" s="21" t="s">
        <v>202</v>
      </c>
      <c r="F695" s="156">
        <v>0.0</v>
      </c>
      <c r="G695" s="156">
        <v>0.0</v>
      </c>
      <c r="H695" s="156">
        <v>0.0</v>
      </c>
      <c r="I695" s="156">
        <v>0.0</v>
      </c>
      <c r="J695" s="156">
        <v>0.0</v>
      </c>
    </row>
    <row r="696">
      <c r="A696" s="155">
        <v>44092.0</v>
      </c>
      <c r="B696" s="21" t="s">
        <v>117</v>
      </c>
      <c r="C696" s="21" t="s">
        <v>392</v>
      </c>
      <c r="D696" s="156">
        <v>300000.0</v>
      </c>
      <c r="E696" s="21" t="s">
        <v>202</v>
      </c>
      <c r="F696" s="156">
        <v>0.0</v>
      </c>
      <c r="G696" s="156">
        <v>0.0</v>
      </c>
      <c r="H696" s="156">
        <v>0.0</v>
      </c>
      <c r="I696" s="156">
        <v>0.0</v>
      </c>
      <c r="J696" s="156">
        <v>0.0</v>
      </c>
    </row>
    <row r="697">
      <c r="A697" s="155">
        <v>44092.0</v>
      </c>
      <c r="B697" s="21" t="s">
        <v>174</v>
      </c>
      <c r="C697" s="21" t="s">
        <v>392</v>
      </c>
      <c r="D697" s="156">
        <v>275000.0</v>
      </c>
      <c r="E697" s="21" t="s">
        <v>202</v>
      </c>
      <c r="F697" s="156">
        <v>0.0</v>
      </c>
      <c r="G697" s="156">
        <v>0.0</v>
      </c>
      <c r="H697" s="156">
        <v>0.0</v>
      </c>
      <c r="I697" s="156">
        <v>0.0</v>
      </c>
      <c r="J697" s="156">
        <v>0.0</v>
      </c>
    </row>
    <row r="698">
      <c r="A698" s="155">
        <v>44092.0</v>
      </c>
      <c r="B698" s="21" t="s">
        <v>109</v>
      </c>
      <c r="C698" s="21" t="s">
        <v>472</v>
      </c>
      <c r="D698" s="156">
        <v>20500.0</v>
      </c>
      <c r="E698" s="21" t="s">
        <v>202</v>
      </c>
      <c r="F698" s="156">
        <v>0.0</v>
      </c>
      <c r="G698" s="156">
        <v>0.0</v>
      </c>
      <c r="H698" s="156">
        <v>0.0</v>
      </c>
      <c r="I698" s="156">
        <v>0.0</v>
      </c>
      <c r="J698" s="156">
        <v>0.0</v>
      </c>
    </row>
    <row r="699">
      <c r="A699" s="155">
        <v>44092.0</v>
      </c>
      <c r="B699" s="21" t="s">
        <v>109</v>
      </c>
      <c r="C699" s="21" t="s">
        <v>473</v>
      </c>
      <c r="D699" s="156">
        <v>116000.0</v>
      </c>
      <c r="E699" s="21" t="s">
        <v>202</v>
      </c>
      <c r="F699" s="156">
        <v>0.0</v>
      </c>
      <c r="G699" s="156">
        <v>0.0</v>
      </c>
      <c r="H699" s="156">
        <v>0.0</v>
      </c>
      <c r="I699" s="156">
        <v>0.0</v>
      </c>
      <c r="J699" s="156">
        <v>0.0</v>
      </c>
    </row>
    <row r="700">
      <c r="A700" s="155">
        <v>44092.0</v>
      </c>
      <c r="B700" s="21" t="s">
        <v>166</v>
      </c>
      <c r="C700" s="21" t="s">
        <v>90</v>
      </c>
      <c r="D700" s="156">
        <v>500000.0</v>
      </c>
      <c r="E700" s="21" t="s">
        <v>202</v>
      </c>
      <c r="F700" s="156">
        <v>0.0</v>
      </c>
      <c r="G700" s="156">
        <v>0.0</v>
      </c>
      <c r="H700" s="156">
        <v>0.0</v>
      </c>
      <c r="I700" s="156">
        <v>0.0</v>
      </c>
      <c r="J700" s="156">
        <v>0.0</v>
      </c>
    </row>
    <row r="701">
      <c r="A701" s="155">
        <v>44092.0</v>
      </c>
      <c r="B701" s="21" t="s">
        <v>216</v>
      </c>
      <c r="C701" s="21" t="s">
        <v>474</v>
      </c>
      <c r="D701" s="156">
        <v>575000.0</v>
      </c>
      <c r="E701" s="21" t="s">
        <v>201</v>
      </c>
      <c r="F701" s="156">
        <v>0.0</v>
      </c>
      <c r="G701" s="156">
        <v>0.0</v>
      </c>
      <c r="H701" s="156">
        <v>575000.0</v>
      </c>
      <c r="I701" s="156">
        <v>0.0</v>
      </c>
      <c r="J701" s="156">
        <v>0.0</v>
      </c>
    </row>
    <row r="702">
      <c r="A702" s="155">
        <v>44092.0</v>
      </c>
      <c r="B702" s="21" t="s">
        <v>216</v>
      </c>
      <c r="C702" s="21" t="s">
        <v>221</v>
      </c>
      <c r="D702" s="156">
        <v>4357000.0</v>
      </c>
      <c r="E702" s="21" t="s">
        <v>201</v>
      </c>
      <c r="F702" s="156">
        <v>0.0</v>
      </c>
      <c r="G702" s="156">
        <v>0.0</v>
      </c>
      <c r="H702" s="156">
        <v>4357000.0</v>
      </c>
      <c r="I702" s="156">
        <v>0.0</v>
      </c>
      <c r="J702" s="156">
        <v>0.0</v>
      </c>
    </row>
    <row r="703">
      <c r="A703" s="155">
        <v>44092.0</v>
      </c>
      <c r="B703" s="21" t="s">
        <v>475</v>
      </c>
      <c r="C703" s="21" t="s">
        <v>476</v>
      </c>
      <c r="D703" s="156">
        <v>20000.0</v>
      </c>
      <c r="E703" s="21" t="s">
        <v>205</v>
      </c>
      <c r="F703" s="156">
        <v>0.0</v>
      </c>
      <c r="G703" s="156">
        <v>20000.0</v>
      </c>
      <c r="H703" s="156">
        <v>0.0</v>
      </c>
      <c r="I703" s="156">
        <v>0.0</v>
      </c>
      <c r="J703" s="156">
        <v>0.0</v>
      </c>
    </row>
    <row r="704">
      <c r="A704" s="155">
        <v>44092.0</v>
      </c>
      <c r="B704" s="21" t="s">
        <v>216</v>
      </c>
      <c r="C704" s="21" t="s">
        <v>477</v>
      </c>
      <c r="D704" s="156">
        <v>35000.0</v>
      </c>
      <c r="E704" s="21" t="s">
        <v>205</v>
      </c>
      <c r="F704" s="156">
        <v>0.0</v>
      </c>
      <c r="G704" s="156">
        <v>35000.0</v>
      </c>
      <c r="H704" s="156">
        <v>0.0</v>
      </c>
      <c r="I704" s="156">
        <v>0.0</v>
      </c>
      <c r="J704" s="156">
        <v>0.0</v>
      </c>
    </row>
    <row r="705">
      <c r="A705" s="155">
        <v>44092.0</v>
      </c>
      <c r="B705" s="21" t="s">
        <v>478</v>
      </c>
      <c r="C705" s="21" t="s">
        <v>388</v>
      </c>
      <c r="D705" s="156">
        <v>2500.0</v>
      </c>
      <c r="E705" s="21" t="s">
        <v>205</v>
      </c>
      <c r="F705" s="156">
        <v>0.0</v>
      </c>
      <c r="G705" s="156">
        <v>2500.0</v>
      </c>
      <c r="H705" s="156">
        <v>0.0</v>
      </c>
      <c r="I705" s="156">
        <v>0.0</v>
      </c>
      <c r="J705" s="156">
        <v>0.0</v>
      </c>
    </row>
    <row r="706">
      <c r="A706" s="155">
        <v>44092.0</v>
      </c>
      <c r="B706" s="21" t="s">
        <v>248</v>
      </c>
      <c r="C706" s="21" t="s">
        <v>409</v>
      </c>
      <c r="D706" s="156">
        <v>4000.0</v>
      </c>
      <c r="E706" s="21" t="s">
        <v>205</v>
      </c>
      <c r="F706" s="156">
        <v>0.0</v>
      </c>
      <c r="G706" s="156">
        <v>4000.0</v>
      </c>
      <c r="H706" s="156">
        <v>0.0</v>
      </c>
      <c r="I706" s="156">
        <v>0.0</v>
      </c>
      <c r="J706" s="156">
        <v>0.0</v>
      </c>
    </row>
    <row r="707">
      <c r="A707" s="155">
        <v>44092.0</v>
      </c>
      <c r="B707" s="21" t="s">
        <v>479</v>
      </c>
      <c r="C707" s="21" t="s">
        <v>480</v>
      </c>
      <c r="D707" s="156">
        <v>200.0</v>
      </c>
      <c r="E707" s="21" t="s">
        <v>205</v>
      </c>
      <c r="F707" s="156">
        <v>0.0</v>
      </c>
      <c r="G707" s="156">
        <v>200.0</v>
      </c>
      <c r="H707" s="156">
        <v>0.0</v>
      </c>
      <c r="I707" s="156">
        <v>0.0</v>
      </c>
      <c r="J707" s="156">
        <v>0.0</v>
      </c>
    </row>
    <row r="708">
      <c r="A708" s="155">
        <v>44092.0</v>
      </c>
      <c r="B708" s="21" t="s">
        <v>220</v>
      </c>
      <c r="C708" s="21" t="s">
        <v>481</v>
      </c>
      <c r="D708" s="156">
        <v>200000.0</v>
      </c>
      <c r="E708" s="21" t="s">
        <v>205</v>
      </c>
      <c r="F708" s="156">
        <v>0.0</v>
      </c>
      <c r="G708" s="156">
        <v>200000.0</v>
      </c>
      <c r="H708" s="156">
        <v>0.0</v>
      </c>
      <c r="I708" s="156">
        <v>0.0</v>
      </c>
      <c r="J708" s="156">
        <v>0.0</v>
      </c>
    </row>
    <row r="709">
      <c r="A709" s="155">
        <v>44092.0</v>
      </c>
      <c r="B709" s="21"/>
      <c r="C709" s="21"/>
      <c r="D709" s="156">
        <v>357300.0</v>
      </c>
      <c r="E709" s="21" t="s">
        <v>211</v>
      </c>
      <c r="F709" s="156"/>
      <c r="G709" s="156"/>
      <c r="H709" s="156"/>
      <c r="I709" s="156"/>
      <c r="J709" s="156"/>
    </row>
    <row r="710">
      <c r="A710" s="155">
        <v>44092.0</v>
      </c>
      <c r="B710" s="21"/>
      <c r="C710" s="21"/>
      <c r="D710" s="156"/>
      <c r="E710" s="21"/>
      <c r="F710" s="156"/>
      <c r="G710" s="156"/>
      <c r="H710" s="156"/>
      <c r="I710" s="156"/>
      <c r="J710" s="156"/>
    </row>
    <row r="711">
      <c r="A711" s="155">
        <v>44092.0</v>
      </c>
      <c r="B711" s="21"/>
      <c r="C711" s="21"/>
      <c r="D711" s="156"/>
      <c r="E711" s="21"/>
      <c r="F711" s="156"/>
      <c r="G711" s="156"/>
      <c r="H711" s="156"/>
      <c r="I711" s="156"/>
      <c r="J711" s="156"/>
    </row>
    <row r="712">
      <c r="A712" s="155">
        <v>44092.0</v>
      </c>
      <c r="B712" s="21"/>
      <c r="C712" s="21"/>
      <c r="D712" s="156"/>
      <c r="E712" s="21"/>
      <c r="F712" s="156"/>
      <c r="G712" s="156"/>
      <c r="H712" s="156"/>
      <c r="I712" s="156"/>
      <c r="J712" s="156"/>
    </row>
    <row r="713">
      <c r="A713" s="155">
        <v>44092.0</v>
      </c>
      <c r="B713" s="21" t="s">
        <v>183</v>
      </c>
      <c r="C713" s="21" t="s">
        <v>210</v>
      </c>
      <c r="D713" s="156">
        <v>357300.0</v>
      </c>
      <c r="E713" s="21" t="s">
        <v>211</v>
      </c>
      <c r="F713" s="156">
        <v>0.0</v>
      </c>
      <c r="G713" s="156">
        <v>0.0</v>
      </c>
      <c r="H713" s="156">
        <v>0.0</v>
      </c>
      <c r="I713" s="156">
        <v>357300.0</v>
      </c>
      <c r="J713" s="156">
        <v>0.0</v>
      </c>
    </row>
    <row r="714">
      <c r="A714" s="155">
        <v>44093.0</v>
      </c>
      <c r="B714" s="21" t="s">
        <v>105</v>
      </c>
      <c r="C714" s="21" t="s">
        <v>482</v>
      </c>
      <c r="D714" s="156">
        <v>50000.0</v>
      </c>
      <c r="E714" s="21" t="s">
        <v>202</v>
      </c>
      <c r="F714" s="156">
        <v>0.0</v>
      </c>
      <c r="G714" s="156">
        <v>0.0</v>
      </c>
      <c r="H714" s="156">
        <v>0.0</v>
      </c>
      <c r="I714" s="156">
        <v>0.0</v>
      </c>
      <c r="J714" s="156">
        <v>0.0</v>
      </c>
    </row>
    <row r="715">
      <c r="A715" s="155">
        <v>44093.0</v>
      </c>
      <c r="B715" s="21" t="s">
        <v>406</v>
      </c>
      <c r="C715" s="21" t="s">
        <v>483</v>
      </c>
      <c r="D715" s="156">
        <v>20000.0</v>
      </c>
      <c r="E715" s="21" t="s">
        <v>205</v>
      </c>
      <c r="F715" s="156">
        <v>0.0</v>
      </c>
      <c r="G715" s="156">
        <v>20000.0</v>
      </c>
      <c r="H715" s="156">
        <v>0.0</v>
      </c>
      <c r="I715" s="156">
        <v>0.0</v>
      </c>
      <c r="J715" s="156">
        <v>0.0</v>
      </c>
    </row>
    <row r="716">
      <c r="A716" s="155">
        <v>44093.0</v>
      </c>
      <c r="B716" s="21" t="s">
        <v>43</v>
      </c>
      <c r="C716" s="21" t="s">
        <v>484</v>
      </c>
      <c r="D716" s="156">
        <v>70000.0</v>
      </c>
      <c r="E716" s="21" t="s">
        <v>205</v>
      </c>
      <c r="F716" s="156">
        <v>0.0</v>
      </c>
      <c r="G716" s="156">
        <v>70000.0</v>
      </c>
      <c r="H716" s="156">
        <v>0.0</v>
      </c>
      <c r="I716" s="156">
        <v>0.0</v>
      </c>
      <c r="J716" s="156">
        <v>0.0</v>
      </c>
    </row>
    <row r="717">
      <c r="A717" s="155">
        <v>44093.0</v>
      </c>
      <c r="B717" s="21" t="s">
        <v>216</v>
      </c>
      <c r="C717" s="21" t="s">
        <v>485</v>
      </c>
      <c r="D717" s="156">
        <v>300.0</v>
      </c>
      <c r="E717" s="21" t="s">
        <v>205</v>
      </c>
      <c r="F717" s="156">
        <v>0.0</v>
      </c>
      <c r="G717" s="156">
        <v>300.0</v>
      </c>
      <c r="H717" s="156">
        <v>0.0</v>
      </c>
      <c r="I717" s="156">
        <v>0.0</v>
      </c>
      <c r="J717" s="156">
        <v>0.0</v>
      </c>
    </row>
    <row r="718">
      <c r="A718" s="155">
        <v>44093.0</v>
      </c>
      <c r="B718" s="21" t="s">
        <v>248</v>
      </c>
      <c r="C718" s="21" t="s">
        <v>353</v>
      </c>
      <c r="D718" s="156">
        <v>2500.0</v>
      </c>
      <c r="E718" s="21" t="s">
        <v>205</v>
      </c>
      <c r="F718" s="156">
        <v>0.0</v>
      </c>
      <c r="G718" s="156">
        <v>2500.0</v>
      </c>
      <c r="H718" s="156">
        <v>0.0</v>
      </c>
      <c r="I718" s="156">
        <v>0.0</v>
      </c>
      <c r="J718" s="156">
        <v>0.0</v>
      </c>
    </row>
    <row r="719">
      <c r="A719" s="155">
        <v>44093.0</v>
      </c>
      <c r="B719" s="21" t="s">
        <v>248</v>
      </c>
      <c r="C719" s="21" t="s">
        <v>486</v>
      </c>
      <c r="D719" s="156">
        <v>121000.0</v>
      </c>
      <c r="E719" s="21" t="s">
        <v>205</v>
      </c>
      <c r="F719" s="156">
        <v>0.0</v>
      </c>
      <c r="G719" s="156">
        <v>121000.0</v>
      </c>
      <c r="H719" s="156">
        <v>0.0</v>
      </c>
      <c r="I719" s="156">
        <v>0.0</v>
      </c>
      <c r="J719" s="156">
        <v>0.0</v>
      </c>
    </row>
    <row r="720">
      <c r="A720" s="155">
        <v>44093.0</v>
      </c>
      <c r="B720" s="21" t="s">
        <v>328</v>
      </c>
      <c r="C720" s="21" t="s">
        <v>487</v>
      </c>
      <c r="D720" s="156">
        <v>20000.0</v>
      </c>
      <c r="E720" s="21" t="s">
        <v>205</v>
      </c>
      <c r="F720" s="156">
        <v>0.0</v>
      </c>
      <c r="G720" s="156">
        <v>20000.0</v>
      </c>
      <c r="H720" s="156">
        <v>0.0</v>
      </c>
      <c r="I720" s="156">
        <v>0.0</v>
      </c>
      <c r="J720" s="156">
        <v>0.0</v>
      </c>
    </row>
    <row r="721">
      <c r="A721" s="155">
        <v>44093.0</v>
      </c>
      <c r="B721" s="21" t="s">
        <v>183</v>
      </c>
      <c r="C721" s="21" t="s">
        <v>210</v>
      </c>
      <c r="D721" s="156">
        <v>233800.0</v>
      </c>
      <c r="E721" s="21" t="s">
        <v>211</v>
      </c>
      <c r="F721" s="156">
        <v>0.0</v>
      </c>
      <c r="G721" s="156">
        <v>0.0</v>
      </c>
      <c r="H721" s="156">
        <v>0.0</v>
      </c>
      <c r="I721" s="156">
        <v>233800.0</v>
      </c>
      <c r="J721" s="156">
        <v>0.0</v>
      </c>
    </row>
    <row r="722">
      <c r="A722" s="155">
        <v>44093.0</v>
      </c>
      <c r="B722" s="21" t="s">
        <v>216</v>
      </c>
      <c r="C722" s="21" t="s">
        <v>488</v>
      </c>
      <c r="D722" s="156">
        <v>50000.0</v>
      </c>
      <c r="E722" s="21" t="s">
        <v>201</v>
      </c>
      <c r="F722" s="156">
        <v>0.0</v>
      </c>
      <c r="G722" s="156">
        <v>0.0</v>
      </c>
      <c r="H722" s="156">
        <v>50000.0</v>
      </c>
      <c r="I722" s="156">
        <v>0.0</v>
      </c>
      <c r="J722" s="156">
        <v>0.0</v>
      </c>
    </row>
    <row r="723">
      <c r="A723" s="155">
        <v>44095.0</v>
      </c>
      <c r="B723" s="21" t="s">
        <v>105</v>
      </c>
      <c r="C723" s="21" t="s">
        <v>236</v>
      </c>
      <c r="D723" s="156">
        <v>500000.0</v>
      </c>
      <c r="E723" s="21" t="s">
        <v>202</v>
      </c>
      <c r="F723" s="156">
        <v>0.0</v>
      </c>
      <c r="G723" s="156">
        <v>0.0</v>
      </c>
      <c r="H723" s="156">
        <v>0.0</v>
      </c>
      <c r="I723" s="156">
        <v>0.0</v>
      </c>
      <c r="J723" s="156">
        <v>0.0</v>
      </c>
    </row>
    <row r="724">
      <c r="A724" s="155">
        <v>44095.0</v>
      </c>
      <c r="B724" s="21" t="s">
        <v>165</v>
      </c>
      <c r="C724" s="21" t="s">
        <v>236</v>
      </c>
      <c r="D724" s="156">
        <v>600000.0</v>
      </c>
      <c r="E724" s="21" t="s">
        <v>202</v>
      </c>
      <c r="F724" s="156">
        <v>0.0</v>
      </c>
      <c r="G724" s="156">
        <v>0.0</v>
      </c>
      <c r="H724" s="156">
        <v>0.0</v>
      </c>
      <c r="I724" s="156">
        <v>0.0</v>
      </c>
      <c r="J724" s="156">
        <v>0.0</v>
      </c>
    </row>
    <row r="725">
      <c r="A725" s="155">
        <v>44095.0</v>
      </c>
      <c r="B725" s="21" t="s">
        <v>109</v>
      </c>
      <c r="C725" s="21" t="s">
        <v>489</v>
      </c>
      <c r="D725" s="156">
        <v>200000.0</v>
      </c>
      <c r="E725" s="21" t="s">
        <v>202</v>
      </c>
      <c r="F725" s="156">
        <v>0.0</v>
      </c>
      <c r="G725" s="156">
        <v>0.0</v>
      </c>
      <c r="H725" s="156">
        <v>0.0</v>
      </c>
      <c r="I725" s="156">
        <v>0.0</v>
      </c>
      <c r="J725" s="156">
        <v>0.0</v>
      </c>
    </row>
    <row r="726">
      <c r="A726" s="155">
        <v>44095.0</v>
      </c>
      <c r="B726" s="21" t="s">
        <v>431</v>
      </c>
      <c r="C726" s="21" t="s">
        <v>490</v>
      </c>
      <c r="D726" s="156">
        <v>16500.0</v>
      </c>
      <c r="E726" s="21" t="s">
        <v>205</v>
      </c>
      <c r="F726" s="156">
        <v>0.0</v>
      </c>
      <c r="G726" s="156">
        <v>16500.0</v>
      </c>
      <c r="H726" s="156">
        <v>0.0</v>
      </c>
      <c r="I726" s="156">
        <v>0.0</v>
      </c>
      <c r="J726" s="156">
        <v>0.0</v>
      </c>
    </row>
    <row r="727">
      <c r="A727" s="155">
        <v>44095.0</v>
      </c>
      <c r="B727" s="21" t="s">
        <v>183</v>
      </c>
      <c r="C727" s="21" t="s">
        <v>491</v>
      </c>
      <c r="D727" s="156">
        <v>1200.0</v>
      </c>
      <c r="E727" s="21" t="s">
        <v>205</v>
      </c>
      <c r="F727" s="156">
        <v>0.0</v>
      </c>
      <c r="G727" s="156">
        <v>1200.0</v>
      </c>
      <c r="H727" s="156">
        <v>0.0</v>
      </c>
      <c r="I727" s="156">
        <v>0.0</v>
      </c>
      <c r="J727" s="156">
        <v>0.0</v>
      </c>
    </row>
    <row r="728">
      <c r="A728" s="155">
        <v>44095.0</v>
      </c>
      <c r="B728" s="21" t="s">
        <v>289</v>
      </c>
      <c r="C728" s="21" t="s">
        <v>492</v>
      </c>
      <c r="D728" s="156">
        <v>4000.0</v>
      </c>
      <c r="E728" s="21" t="s">
        <v>205</v>
      </c>
      <c r="F728" s="156">
        <v>0.0</v>
      </c>
      <c r="G728" s="156">
        <v>4000.0</v>
      </c>
      <c r="H728" s="156">
        <v>0.0</v>
      </c>
      <c r="I728" s="156">
        <v>0.0</v>
      </c>
      <c r="J728" s="156">
        <v>0.0</v>
      </c>
    </row>
    <row r="729">
      <c r="A729" s="155">
        <v>44095.0</v>
      </c>
      <c r="B729" s="21" t="s">
        <v>350</v>
      </c>
      <c r="C729" s="21" t="s">
        <v>284</v>
      </c>
      <c r="D729" s="156">
        <v>200.0</v>
      </c>
      <c r="E729" s="21" t="s">
        <v>205</v>
      </c>
      <c r="F729" s="156">
        <v>0.0</v>
      </c>
      <c r="G729" s="156">
        <v>200.0</v>
      </c>
      <c r="H729" s="156">
        <v>0.0</v>
      </c>
      <c r="I729" s="156">
        <v>0.0</v>
      </c>
      <c r="J729" s="156">
        <v>0.0</v>
      </c>
    </row>
    <row r="730">
      <c r="A730" s="155">
        <v>44095.0</v>
      </c>
      <c r="B730" s="21" t="s">
        <v>289</v>
      </c>
      <c r="C730" s="21" t="s">
        <v>284</v>
      </c>
      <c r="D730" s="156">
        <v>200.0</v>
      </c>
      <c r="E730" s="21" t="s">
        <v>205</v>
      </c>
      <c r="F730" s="156">
        <v>0.0</v>
      </c>
      <c r="G730" s="156">
        <v>200.0</v>
      </c>
      <c r="H730" s="156">
        <v>0.0</v>
      </c>
      <c r="I730" s="156">
        <v>0.0</v>
      </c>
      <c r="J730" s="156">
        <v>0.0</v>
      </c>
    </row>
    <row r="731">
      <c r="A731" s="155">
        <v>44095.0</v>
      </c>
      <c r="B731" s="21" t="s">
        <v>289</v>
      </c>
      <c r="C731" s="21" t="s">
        <v>493</v>
      </c>
      <c r="D731" s="156">
        <v>4000.0</v>
      </c>
      <c r="E731" s="21" t="s">
        <v>205</v>
      </c>
      <c r="F731" s="156">
        <v>0.0</v>
      </c>
      <c r="G731" s="156">
        <v>4000.0</v>
      </c>
      <c r="H731" s="156">
        <v>0.0</v>
      </c>
      <c r="I731" s="156">
        <v>0.0</v>
      </c>
      <c r="J731" s="156">
        <v>0.0</v>
      </c>
    </row>
    <row r="732">
      <c r="A732" s="155">
        <v>44095.0</v>
      </c>
      <c r="B732" s="21" t="s">
        <v>183</v>
      </c>
      <c r="C732" s="21" t="s">
        <v>494</v>
      </c>
      <c r="D732" s="156">
        <v>1500.0</v>
      </c>
      <c r="E732" s="21" t="s">
        <v>205</v>
      </c>
      <c r="F732" s="156">
        <v>0.0</v>
      </c>
      <c r="G732" s="156">
        <v>1500.0</v>
      </c>
      <c r="H732" s="156">
        <v>0.0</v>
      </c>
      <c r="I732" s="156">
        <v>0.0</v>
      </c>
      <c r="J732" s="156">
        <v>0.0</v>
      </c>
    </row>
    <row r="733">
      <c r="A733" s="155">
        <v>44095.0</v>
      </c>
      <c r="B733" s="21" t="s">
        <v>183</v>
      </c>
      <c r="C733" s="21" t="s">
        <v>210</v>
      </c>
      <c r="D733" s="156">
        <v>155900.0</v>
      </c>
      <c r="E733" s="21" t="s">
        <v>211</v>
      </c>
      <c r="F733" s="156">
        <v>0.0</v>
      </c>
      <c r="G733" s="156">
        <v>0.0</v>
      </c>
      <c r="H733" s="156">
        <v>0.0</v>
      </c>
      <c r="I733" s="156">
        <v>155900.0</v>
      </c>
      <c r="J733" s="156">
        <v>0.0</v>
      </c>
    </row>
    <row r="734">
      <c r="A734" s="155">
        <v>44095.0</v>
      </c>
      <c r="B734" s="21" t="s">
        <v>216</v>
      </c>
      <c r="C734" s="21" t="s">
        <v>495</v>
      </c>
      <c r="D734" s="156">
        <v>119500.0</v>
      </c>
      <c r="E734" s="21" t="s">
        <v>211</v>
      </c>
      <c r="F734" s="156">
        <v>0.0</v>
      </c>
      <c r="G734" s="156">
        <v>0.0</v>
      </c>
      <c r="H734" s="156">
        <v>0.0</v>
      </c>
      <c r="I734" s="156">
        <v>119500.0</v>
      </c>
      <c r="J734" s="156">
        <v>0.0</v>
      </c>
    </row>
    <row r="735">
      <c r="A735" s="155">
        <v>44095.0</v>
      </c>
      <c r="B735" s="21" t="s">
        <v>220</v>
      </c>
      <c r="C735" s="21" t="s">
        <v>212</v>
      </c>
      <c r="D735" s="156">
        <v>850000.0</v>
      </c>
      <c r="E735" s="21" t="s">
        <v>201</v>
      </c>
      <c r="F735" s="156">
        <v>0.0</v>
      </c>
      <c r="G735" s="156">
        <v>0.0</v>
      </c>
      <c r="H735" s="156">
        <v>850000.0</v>
      </c>
      <c r="I735" s="156">
        <v>0.0</v>
      </c>
      <c r="J735" s="156">
        <v>0.0</v>
      </c>
    </row>
    <row r="736">
      <c r="A736" s="155">
        <v>44095.0</v>
      </c>
      <c r="B736" s="21" t="s">
        <v>216</v>
      </c>
      <c r="C736" s="21" t="s">
        <v>495</v>
      </c>
      <c r="D736" s="156">
        <v>119500.0</v>
      </c>
      <c r="E736" s="21" t="s">
        <v>201</v>
      </c>
      <c r="F736" s="156">
        <v>0.0</v>
      </c>
      <c r="G736" s="156">
        <v>0.0</v>
      </c>
      <c r="H736" s="156">
        <v>119500.0</v>
      </c>
      <c r="I736" s="156">
        <v>0.0</v>
      </c>
      <c r="J736" s="156">
        <v>0.0</v>
      </c>
    </row>
    <row r="737">
      <c r="A737" s="155">
        <v>44096.0</v>
      </c>
      <c r="B737" s="21" t="s">
        <v>146</v>
      </c>
      <c r="C737" s="21" t="s">
        <v>90</v>
      </c>
      <c r="D737" s="156">
        <v>4000000.0</v>
      </c>
      <c r="E737" s="21" t="s">
        <v>202</v>
      </c>
      <c r="F737" s="156">
        <v>0.0</v>
      </c>
      <c r="G737" s="156">
        <v>0.0</v>
      </c>
      <c r="H737" s="156">
        <v>0.0</v>
      </c>
      <c r="I737" s="156">
        <v>0.0</v>
      </c>
      <c r="J737" s="156">
        <v>0.0</v>
      </c>
    </row>
    <row r="738">
      <c r="A738" s="155">
        <v>44096.0</v>
      </c>
      <c r="B738" s="21" t="s">
        <v>145</v>
      </c>
      <c r="C738" s="21" t="s">
        <v>90</v>
      </c>
      <c r="D738" s="156">
        <v>200000.0</v>
      </c>
      <c r="E738" s="21" t="s">
        <v>202</v>
      </c>
      <c r="F738" s="156">
        <v>0.0</v>
      </c>
      <c r="G738" s="156">
        <v>0.0</v>
      </c>
      <c r="H738" s="156">
        <v>0.0</v>
      </c>
      <c r="I738" s="156">
        <v>0.0</v>
      </c>
      <c r="J738" s="156">
        <v>0.0</v>
      </c>
    </row>
    <row r="739">
      <c r="A739" s="155">
        <v>44096.0</v>
      </c>
      <c r="B739" s="21" t="s">
        <v>25</v>
      </c>
      <c r="C739" s="21" t="s">
        <v>226</v>
      </c>
      <c r="D739" s="156">
        <v>5000.0</v>
      </c>
      <c r="E739" s="21" t="s">
        <v>202</v>
      </c>
      <c r="F739" s="156">
        <v>0.0</v>
      </c>
      <c r="G739" s="156">
        <v>0.0</v>
      </c>
      <c r="H739" s="156">
        <v>0.0</v>
      </c>
      <c r="I739" s="156">
        <v>0.0</v>
      </c>
      <c r="J739" s="156">
        <v>0.0</v>
      </c>
    </row>
    <row r="740">
      <c r="A740" s="155">
        <v>44096.0</v>
      </c>
      <c r="B740" s="21" t="s">
        <v>172</v>
      </c>
      <c r="C740" s="21" t="s">
        <v>90</v>
      </c>
      <c r="D740" s="156">
        <v>456000.0</v>
      </c>
      <c r="E740" s="21" t="s">
        <v>202</v>
      </c>
      <c r="F740" s="156">
        <v>0.0</v>
      </c>
      <c r="G740" s="156">
        <v>0.0</v>
      </c>
      <c r="H740" s="156">
        <v>0.0</v>
      </c>
      <c r="I740" s="156">
        <v>0.0</v>
      </c>
      <c r="J740" s="156">
        <v>0.0</v>
      </c>
    </row>
    <row r="741">
      <c r="A741" s="155">
        <v>44096.0</v>
      </c>
      <c r="B741" s="21" t="s">
        <v>143</v>
      </c>
      <c r="C741" s="21" t="s">
        <v>90</v>
      </c>
      <c r="D741" s="156">
        <v>10000.0</v>
      </c>
      <c r="E741" s="21" t="s">
        <v>202</v>
      </c>
      <c r="F741" s="156">
        <v>0.0</v>
      </c>
      <c r="G741" s="156">
        <v>0.0</v>
      </c>
      <c r="H741" s="156">
        <v>0.0</v>
      </c>
      <c r="I741" s="156">
        <v>0.0</v>
      </c>
      <c r="J741" s="156">
        <v>0.0</v>
      </c>
    </row>
    <row r="742">
      <c r="A742" s="155">
        <v>44096.0</v>
      </c>
      <c r="B742" s="21" t="s">
        <v>150</v>
      </c>
      <c r="C742" s="21" t="s">
        <v>90</v>
      </c>
      <c r="D742" s="156">
        <v>367000.0</v>
      </c>
      <c r="E742" s="21" t="s">
        <v>202</v>
      </c>
      <c r="F742" s="156">
        <v>0.0</v>
      </c>
      <c r="G742" s="156">
        <v>0.0</v>
      </c>
      <c r="H742" s="156">
        <v>0.0</v>
      </c>
      <c r="I742" s="156">
        <v>0.0</v>
      </c>
      <c r="J742" s="156">
        <v>0.0</v>
      </c>
    </row>
    <row r="743">
      <c r="A743" s="155">
        <v>44096.0</v>
      </c>
      <c r="B743" s="21" t="s">
        <v>46</v>
      </c>
      <c r="C743" s="21" t="s">
        <v>90</v>
      </c>
      <c r="D743" s="156">
        <v>1500000.0</v>
      </c>
      <c r="E743" s="21" t="s">
        <v>202</v>
      </c>
      <c r="F743" s="156">
        <v>0.0</v>
      </c>
      <c r="G743" s="156">
        <v>0.0</v>
      </c>
      <c r="H743" s="156">
        <v>0.0</v>
      </c>
      <c r="I743" s="156">
        <v>0.0</v>
      </c>
      <c r="J743" s="156">
        <v>0.0</v>
      </c>
    </row>
    <row r="744">
      <c r="A744" s="155">
        <v>44096.0</v>
      </c>
      <c r="B744" s="21" t="s">
        <v>126</v>
      </c>
      <c r="C744" s="21" t="s">
        <v>90</v>
      </c>
      <c r="D744" s="156">
        <v>500000.0</v>
      </c>
      <c r="E744" s="21" t="s">
        <v>202</v>
      </c>
      <c r="F744" s="156">
        <v>0.0</v>
      </c>
      <c r="G744" s="156">
        <v>0.0</v>
      </c>
      <c r="H744" s="156">
        <v>0.0</v>
      </c>
      <c r="I744" s="156">
        <v>0.0</v>
      </c>
      <c r="J744" s="156">
        <v>0.0</v>
      </c>
    </row>
    <row r="745">
      <c r="A745" s="155">
        <v>44096.0</v>
      </c>
      <c r="B745" s="21" t="s">
        <v>216</v>
      </c>
      <c r="C745" s="21" t="s">
        <v>221</v>
      </c>
      <c r="D745" s="156">
        <v>4200000.0</v>
      </c>
      <c r="E745" s="21" t="s">
        <v>201</v>
      </c>
      <c r="F745" s="156">
        <v>0.0</v>
      </c>
      <c r="G745" s="156">
        <v>0.0</v>
      </c>
      <c r="H745" s="156">
        <v>4200000.0</v>
      </c>
      <c r="I745" s="156">
        <v>0.0</v>
      </c>
      <c r="J745" s="156">
        <v>0.0</v>
      </c>
    </row>
    <row r="746">
      <c r="A746" s="155">
        <v>44096.0</v>
      </c>
      <c r="B746" s="21" t="s">
        <v>220</v>
      </c>
      <c r="C746" s="21" t="s">
        <v>221</v>
      </c>
      <c r="D746" s="156">
        <v>2500000.0</v>
      </c>
      <c r="E746" s="21" t="s">
        <v>201</v>
      </c>
      <c r="F746" s="156">
        <v>0.0</v>
      </c>
      <c r="G746" s="156">
        <v>0.0</v>
      </c>
      <c r="H746" s="156">
        <v>2500000.0</v>
      </c>
      <c r="I746" s="156">
        <v>0.0</v>
      </c>
      <c r="J746" s="156">
        <v>0.0</v>
      </c>
    </row>
    <row r="747">
      <c r="A747" s="155">
        <v>44096.0</v>
      </c>
      <c r="B747" s="21" t="s">
        <v>225</v>
      </c>
      <c r="C747" s="21" t="s">
        <v>226</v>
      </c>
      <c r="D747" s="156">
        <v>6000.0</v>
      </c>
      <c r="E747" s="21" t="s">
        <v>205</v>
      </c>
      <c r="F747" s="156">
        <v>0.0</v>
      </c>
      <c r="G747" s="156">
        <v>6000.0</v>
      </c>
      <c r="H747" s="156">
        <v>0.0</v>
      </c>
      <c r="I747" s="156">
        <v>0.0</v>
      </c>
      <c r="J747" s="156">
        <v>0.0</v>
      </c>
    </row>
    <row r="748">
      <c r="A748" s="155">
        <v>44096.0</v>
      </c>
      <c r="B748" s="21" t="s">
        <v>263</v>
      </c>
      <c r="C748" s="21" t="s">
        <v>480</v>
      </c>
      <c r="D748" s="156">
        <v>17500.0</v>
      </c>
      <c r="E748" s="21" t="s">
        <v>205</v>
      </c>
      <c r="F748" s="156">
        <v>0.0</v>
      </c>
      <c r="G748" s="156">
        <v>17500.0</v>
      </c>
      <c r="H748" s="156">
        <v>0.0</v>
      </c>
      <c r="I748" s="156">
        <v>0.0</v>
      </c>
      <c r="J748" s="156">
        <v>0.0</v>
      </c>
    </row>
    <row r="749">
      <c r="A749" s="155">
        <v>44096.0</v>
      </c>
      <c r="B749" s="21" t="s">
        <v>248</v>
      </c>
      <c r="C749" s="21" t="s">
        <v>409</v>
      </c>
      <c r="D749" s="156">
        <v>4000.0</v>
      </c>
      <c r="E749" s="21" t="s">
        <v>205</v>
      </c>
      <c r="F749" s="156">
        <v>0.0</v>
      </c>
      <c r="G749" s="156">
        <v>4000.0</v>
      </c>
      <c r="H749" s="156">
        <v>0.0</v>
      </c>
      <c r="I749" s="156">
        <v>0.0</v>
      </c>
      <c r="J749" s="156">
        <v>0.0</v>
      </c>
    </row>
    <row r="750">
      <c r="A750" s="155">
        <v>44096.0</v>
      </c>
      <c r="B750" s="21" t="s">
        <v>225</v>
      </c>
      <c r="C750" s="21" t="s">
        <v>226</v>
      </c>
      <c r="D750" s="156">
        <v>7000.0</v>
      </c>
      <c r="E750" s="21" t="s">
        <v>205</v>
      </c>
      <c r="F750" s="156">
        <v>0.0</v>
      </c>
      <c r="G750" s="156">
        <v>7000.0</v>
      </c>
      <c r="H750" s="156">
        <v>0.0</v>
      </c>
      <c r="I750" s="156">
        <v>0.0</v>
      </c>
      <c r="J750" s="156">
        <v>0.0</v>
      </c>
    </row>
    <row r="751">
      <c r="A751" s="155">
        <v>44096.0</v>
      </c>
      <c r="B751" s="21" t="s">
        <v>289</v>
      </c>
      <c r="C751" s="21" t="s">
        <v>496</v>
      </c>
      <c r="D751" s="156">
        <v>7000.0</v>
      </c>
      <c r="E751" s="21" t="s">
        <v>205</v>
      </c>
      <c r="F751" s="156">
        <v>0.0</v>
      </c>
      <c r="G751" s="156">
        <v>7000.0</v>
      </c>
      <c r="H751" s="156">
        <v>0.0</v>
      </c>
      <c r="I751" s="156">
        <v>0.0</v>
      </c>
      <c r="J751" s="156">
        <v>0.0</v>
      </c>
    </row>
    <row r="752">
      <c r="A752" s="155">
        <v>44096.0</v>
      </c>
      <c r="B752" s="21" t="s">
        <v>183</v>
      </c>
      <c r="C752" s="21" t="s">
        <v>223</v>
      </c>
      <c r="D752" s="156">
        <v>41500.0</v>
      </c>
      <c r="E752" s="21" t="s">
        <v>211</v>
      </c>
      <c r="F752" s="156">
        <v>0.0</v>
      </c>
      <c r="G752" s="156">
        <v>0.0</v>
      </c>
      <c r="H752" s="156">
        <v>0.0</v>
      </c>
      <c r="I752" s="156">
        <v>41500.0</v>
      </c>
      <c r="J752" s="156">
        <v>0.0</v>
      </c>
    </row>
    <row r="753">
      <c r="A753" s="155">
        <v>44097.0</v>
      </c>
      <c r="B753" s="21" t="s">
        <v>497</v>
      </c>
      <c r="C753" s="21" t="s">
        <v>480</v>
      </c>
      <c r="D753" s="156">
        <v>10000.0</v>
      </c>
      <c r="E753" s="21" t="s">
        <v>205</v>
      </c>
      <c r="F753" s="156">
        <v>0.0</v>
      </c>
      <c r="G753" s="156">
        <v>10000.0</v>
      </c>
      <c r="H753" s="156">
        <v>0.0</v>
      </c>
      <c r="I753" s="156">
        <v>0.0</v>
      </c>
      <c r="J753" s="156">
        <v>0.0</v>
      </c>
    </row>
    <row r="754">
      <c r="A754" s="155">
        <v>44097.0</v>
      </c>
      <c r="B754" s="21" t="s">
        <v>228</v>
      </c>
      <c r="C754" s="21" t="s">
        <v>224</v>
      </c>
      <c r="D754" s="156">
        <v>200.0</v>
      </c>
      <c r="E754" s="21" t="s">
        <v>205</v>
      </c>
      <c r="F754" s="156">
        <v>0.0</v>
      </c>
      <c r="G754" s="156">
        <v>200.0</v>
      </c>
      <c r="H754" s="156">
        <v>0.0</v>
      </c>
      <c r="I754" s="156">
        <v>0.0</v>
      </c>
      <c r="J754" s="156">
        <v>0.0</v>
      </c>
    </row>
    <row r="755">
      <c r="A755" s="155">
        <v>44097.0</v>
      </c>
      <c r="B755" s="21" t="s">
        <v>183</v>
      </c>
      <c r="C755" s="21" t="s">
        <v>224</v>
      </c>
      <c r="D755" s="156">
        <v>200.0</v>
      </c>
      <c r="E755" s="21" t="s">
        <v>205</v>
      </c>
      <c r="F755" s="156">
        <v>0.0</v>
      </c>
      <c r="G755" s="156">
        <v>200.0</v>
      </c>
      <c r="H755" s="156">
        <v>0.0</v>
      </c>
      <c r="I755" s="156">
        <v>0.0</v>
      </c>
      <c r="J755" s="156">
        <v>0.0</v>
      </c>
    </row>
    <row r="756">
      <c r="A756" s="155">
        <v>44097.0</v>
      </c>
      <c r="B756" s="21" t="s">
        <v>248</v>
      </c>
      <c r="C756" s="21" t="s">
        <v>409</v>
      </c>
      <c r="D756" s="156">
        <v>3500.0</v>
      </c>
      <c r="E756" s="21" t="s">
        <v>205</v>
      </c>
      <c r="F756" s="156">
        <v>0.0</v>
      </c>
      <c r="G756" s="156">
        <v>3500.0</v>
      </c>
      <c r="H756" s="156">
        <v>0.0</v>
      </c>
      <c r="I756" s="156">
        <v>0.0</v>
      </c>
      <c r="J756" s="156">
        <v>0.0</v>
      </c>
    </row>
    <row r="757">
      <c r="A757" s="155">
        <v>44097.0</v>
      </c>
      <c r="B757" s="21" t="s">
        <v>183</v>
      </c>
      <c r="C757" s="21" t="s">
        <v>446</v>
      </c>
      <c r="D757" s="156">
        <v>100.0</v>
      </c>
      <c r="E757" s="21" t="s">
        <v>205</v>
      </c>
      <c r="F757" s="156">
        <v>0.0</v>
      </c>
      <c r="G757" s="156">
        <v>100.0</v>
      </c>
      <c r="H757" s="156">
        <v>0.0</v>
      </c>
      <c r="I757" s="156">
        <v>0.0</v>
      </c>
      <c r="J757" s="156">
        <v>0.0</v>
      </c>
    </row>
    <row r="758">
      <c r="A758" s="155">
        <v>44097.0</v>
      </c>
      <c r="B758" s="21" t="s">
        <v>169</v>
      </c>
      <c r="C758" s="21" t="s">
        <v>90</v>
      </c>
      <c r="D758" s="156">
        <v>1824000.0</v>
      </c>
      <c r="E758" s="21" t="s">
        <v>202</v>
      </c>
      <c r="F758" s="156">
        <v>0.0</v>
      </c>
      <c r="G758" s="156">
        <v>0.0</v>
      </c>
      <c r="H758" s="156">
        <v>0.0</v>
      </c>
      <c r="I758" s="156">
        <v>0.0</v>
      </c>
      <c r="J758" s="156">
        <v>0.0</v>
      </c>
    </row>
    <row r="759">
      <c r="A759" s="155">
        <v>44097.0</v>
      </c>
      <c r="B759" s="21" t="s">
        <v>161</v>
      </c>
      <c r="C759" s="21" t="s">
        <v>90</v>
      </c>
      <c r="D759" s="156">
        <v>20000.0</v>
      </c>
      <c r="E759" s="21" t="s">
        <v>202</v>
      </c>
      <c r="F759" s="156">
        <v>0.0</v>
      </c>
      <c r="G759" s="156">
        <v>0.0</v>
      </c>
      <c r="H759" s="156">
        <v>0.0</v>
      </c>
      <c r="I759" s="156">
        <v>0.0</v>
      </c>
      <c r="J759" s="156">
        <v>0.0</v>
      </c>
    </row>
    <row r="760">
      <c r="A760" s="155">
        <v>44097.0</v>
      </c>
      <c r="B760" s="21" t="s">
        <v>216</v>
      </c>
      <c r="C760" s="21" t="s">
        <v>498</v>
      </c>
      <c r="D760" s="156">
        <v>424000.0</v>
      </c>
      <c r="E760" s="21" t="s">
        <v>201</v>
      </c>
      <c r="F760" s="156">
        <v>0.0</v>
      </c>
      <c r="G760" s="156">
        <v>0.0</v>
      </c>
      <c r="H760" s="156">
        <v>424000.0</v>
      </c>
      <c r="I760" s="156">
        <v>0.0</v>
      </c>
      <c r="J760" s="156">
        <v>0.0</v>
      </c>
    </row>
    <row r="761">
      <c r="A761" s="155">
        <v>44097.0</v>
      </c>
      <c r="B761" s="21" t="s">
        <v>109</v>
      </c>
      <c r="C761" s="21" t="s">
        <v>224</v>
      </c>
      <c r="D761" s="156">
        <v>1600000.0</v>
      </c>
      <c r="E761" s="21" t="s">
        <v>202</v>
      </c>
      <c r="F761" s="156">
        <v>0.0</v>
      </c>
      <c r="G761" s="156">
        <v>0.0</v>
      </c>
      <c r="H761" s="156">
        <v>0.0</v>
      </c>
      <c r="I761" s="156">
        <v>0.0</v>
      </c>
      <c r="J761" s="156">
        <v>0.0</v>
      </c>
    </row>
    <row r="762">
      <c r="A762" s="155">
        <v>44097.0</v>
      </c>
      <c r="B762" s="21" t="s">
        <v>216</v>
      </c>
      <c r="C762" s="21" t="s">
        <v>221</v>
      </c>
      <c r="D762" s="156">
        <v>3000000.0</v>
      </c>
      <c r="E762" s="21" t="s">
        <v>201</v>
      </c>
      <c r="F762" s="156">
        <v>0.0</v>
      </c>
      <c r="G762" s="156">
        <v>0.0</v>
      </c>
      <c r="H762" s="156">
        <v>3000000.0</v>
      </c>
      <c r="I762" s="156">
        <v>0.0</v>
      </c>
      <c r="J762" s="156">
        <v>0.0</v>
      </c>
    </row>
    <row r="763">
      <c r="A763" s="155">
        <v>44097.0</v>
      </c>
      <c r="B763" s="21" t="s">
        <v>183</v>
      </c>
      <c r="C763" s="21" t="s">
        <v>223</v>
      </c>
      <c r="D763" s="156">
        <v>14000.0</v>
      </c>
      <c r="E763" s="21" t="s">
        <v>211</v>
      </c>
      <c r="F763" s="156">
        <v>0.0</v>
      </c>
      <c r="G763" s="156">
        <v>0.0</v>
      </c>
      <c r="H763" s="156">
        <v>0.0</v>
      </c>
      <c r="I763" s="156">
        <v>14000.0</v>
      </c>
      <c r="J763" s="156">
        <v>0.0</v>
      </c>
    </row>
    <row r="764">
      <c r="A764" s="155">
        <v>44098.0</v>
      </c>
      <c r="B764" s="21" t="s">
        <v>183</v>
      </c>
      <c r="C764" s="21" t="s">
        <v>499</v>
      </c>
      <c r="D764" s="156">
        <v>500.0</v>
      </c>
      <c r="E764" s="21" t="s">
        <v>205</v>
      </c>
      <c r="F764" s="156">
        <v>0.0</v>
      </c>
      <c r="G764" s="156">
        <v>500.0</v>
      </c>
      <c r="H764" s="156">
        <v>0.0</v>
      </c>
      <c r="I764" s="156">
        <v>0.0</v>
      </c>
      <c r="J764" s="156">
        <v>0.0</v>
      </c>
    </row>
    <row r="765">
      <c r="A765" s="155">
        <v>44098.0</v>
      </c>
      <c r="B765" s="21" t="s">
        <v>248</v>
      </c>
      <c r="C765" s="21" t="s">
        <v>409</v>
      </c>
      <c r="D765" s="156">
        <v>4000.0</v>
      </c>
      <c r="E765" s="21" t="s">
        <v>205</v>
      </c>
      <c r="F765" s="156">
        <v>0.0</v>
      </c>
      <c r="G765" s="156">
        <v>4000.0</v>
      </c>
      <c r="H765" s="156">
        <v>0.0</v>
      </c>
      <c r="I765" s="156">
        <v>0.0</v>
      </c>
      <c r="J765" s="156">
        <v>0.0</v>
      </c>
    </row>
    <row r="766">
      <c r="A766" s="155">
        <v>44098.0</v>
      </c>
      <c r="B766" s="21" t="s">
        <v>220</v>
      </c>
      <c r="C766" s="21" t="s">
        <v>390</v>
      </c>
      <c r="D766" s="156">
        <v>7000.0</v>
      </c>
      <c r="E766" s="21" t="s">
        <v>205</v>
      </c>
      <c r="F766" s="156">
        <v>0.0</v>
      </c>
      <c r="G766" s="156">
        <v>7000.0</v>
      </c>
      <c r="H766" s="156">
        <v>0.0</v>
      </c>
      <c r="I766" s="156">
        <v>0.0</v>
      </c>
      <c r="J766" s="156">
        <v>0.0</v>
      </c>
    </row>
    <row r="767">
      <c r="A767" s="155">
        <v>44098.0</v>
      </c>
      <c r="B767" s="21" t="s">
        <v>183</v>
      </c>
      <c r="C767" s="21" t="s">
        <v>223</v>
      </c>
      <c r="D767" s="156">
        <v>11500.0</v>
      </c>
      <c r="E767" s="21" t="s">
        <v>211</v>
      </c>
      <c r="F767" s="156">
        <v>0.0</v>
      </c>
      <c r="G767" s="156">
        <v>0.0</v>
      </c>
      <c r="H767" s="156">
        <v>0.0</v>
      </c>
      <c r="I767" s="156">
        <v>11500.0</v>
      </c>
      <c r="J767" s="156">
        <v>0.0</v>
      </c>
    </row>
    <row r="768">
      <c r="A768" s="155">
        <v>44099.0</v>
      </c>
      <c r="B768" s="21" t="s">
        <v>216</v>
      </c>
      <c r="C768" s="21" t="s">
        <v>327</v>
      </c>
      <c r="D768" s="156">
        <v>391500.0</v>
      </c>
      <c r="E768" s="21" t="s">
        <v>201</v>
      </c>
      <c r="F768" s="156">
        <v>0.0</v>
      </c>
      <c r="G768" s="156">
        <v>0.0</v>
      </c>
      <c r="H768" s="156">
        <v>391500.0</v>
      </c>
      <c r="I768" s="156">
        <v>0.0</v>
      </c>
      <c r="J768" s="156">
        <v>0.0</v>
      </c>
    </row>
    <row r="769">
      <c r="A769" s="155">
        <v>44099.0</v>
      </c>
      <c r="B769" s="21" t="s">
        <v>216</v>
      </c>
      <c r="C769" s="21" t="s">
        <v>327</v>
      </c>
      <c r="D769" s="156">
        <v>391500.0</v>
      </c>
      <c r="E769" s="21" t="s">
        <v>211</v>
      </c>
      <c r="F769" s="156">
        <v>0.0</v>
      </c>
      <c r="G769" s="156">
        <v>0.0</v>
      </c>
      <c r="H769" s="156">
        <v>0.0</v>
      </c>
      <c r="I769" s="156">
        <v>391500.0</v>
      </c>
      <c r="J769" s="156">
        <v>0.0</v>
      </c>
    </row>
    <row r="770">
      <c r="A770" s="155">
        <v>44099.0</v>
      </c>
      <c r="B770" s="21" t="s">
        <v>248</v>
      </c>
      <c r="C770" s="21" t="s">
        <v>409</v>
      </c>
      <c r="D770" s="156">
        <v>8000.0</v>
      </c>
      <c r="E770" s="21" t="s">
        <v>205</v>
      </c>
      <c r="F770" s="156">
        <v>0.0</v>
      </c>
      <c r="G770" s="156">
        <v>8000.0</v>
      </c>
      <c r="H770" s="156">
        <v>0.0</v>
      </c>
      <c r="I770" s="156">
        <v>0.0</v>
      </c>
      <c r="J770" s="156">
        <v>0.0</v>
      </c>
    </row>
    <row r="771">
      <c r="A771" s="155">
        <v>44099.0</v>
      </c>
      <c r="B771" s="21" t="s">
        <v>500</v>
      </c>
      <c r="C771" s="21" t="s">
        <v>480</v>
      </c>
      <c r="D771" s="156">
        <v>20000.0</v>
      </c>
      <c r="E771" s="21" t="s">
        <v>205</v>
      </c>
      <c r="F771" s="156">
        <v>0.0</v>
      </c>
      <c r="G771" s="156">
        <v>20000.0</v>
      </c>
      <c r="H771" s="156">
        <v>0.0</v>
      </c>
      <c r="I771" s="156">
        <v>0.0</v>
      </c>
      <c r="J771" s="156">
        <v>0.0</v>
      </c>
    </row>
    <row r="772">
      <c r="A772" s="155">
        <v>44099.0</v>
      </c>
      <c r="B772" s="21" t="s">
        <v>183</v>
      </c>
      <c r="C772" s="21" t="s">
        <v>223</v>
      </c>
      <c r="D772" s="156">
        <v>1068700.0</v>
      </c>
      <c r="E772" s="21" t="s">
        <v>211</v>
      </c>
      <c r="F772" s="156">
        <v>0.0</v>
      </c>
      <c r="G772" s="156">
        <v>0.0</v>
      </c>
      <c r="H772" s="156">
        <v>0.0</v>
      </c>
      <c r="I772" s="156">
        <v>1068700.0</v>
      </c>
      <c r="J772" s="156">
        <v>0.0</v>
      </c>
    </row>
    <row r="773">
      <c r="A773" s="155">
        <v>44099.0</v>
      </c>
      <c r="B773" s="21" t="s">
        <v>183</v>
      </c>
      <c r="C773" s="21" t="s">
        <v>501</v>
      </c>
      <c r="D773" s="156">
        <v>1040700.0</v>
      </c>
      <c r="E773" s="21" t="s">
        <v>502</v>
      </c>
      <c r="F773" s="156">
        <v>0.0</v>
      </c>
      <c r="G773" s="156">
        <v>0.0</v>
      </c>
      <c r="H773" s="156">
        <v>0.0</v>
      </c>
      <c r="I773" s="156">
        <v>0.0</v>
      </c>
      <c r="J773" s="156">
        <v>1040700.0</v>
      </c>
    </row>
    <row r="774">
      <c r="A774" s="155">
        <v>44099.0</v>
      </c>
      <c r="B774" s="21" t="s">
        <v>216</v>
      </c>
      <c r="C774" s="21" t="s">
        <v>221</v>
      </c>
      <c r="D774" s="156">
        <v>970000.0</v>
      </c>
      <c r="E774" s="21" t="s">
        <v>201</v>
      </c>
      <c r="F774" s="156">
        <v>0.0</v>
      </c>
      <c r="G774" s="156">
        <v>0.0</v>
      </c>
      <c r="H774" s="156">
        <v>970000.0</v>
      </c>
      <c r="I774" s="156">
        <v>0.0</v>
      </c>
      <c r="J774" s="156">
        <v>0.0</v>
      </c>
    </row>
    <row r="775">
      <c r="A775" s="155">
        <v>44099.0</v>
      </c>
      <c r="B775" s="21" t="s">
        <v>179</v>
      </c>
      <c r="C775" s="21" t="s">
        <v>90</v>
      </c>
      <c r="D775" s="156">
        <v>1000000.0</v>
      </c>
      <c r="E775" s="21" t="s">
        <v>202</v>
      </c>
      <c r="F775" s="156">
        <v>0.0</v>
      </c>
      <c r="G775" s="156">
        <v>0.0</v>
      </c>
      <c r="H775" s="156">
        <v>0.0</v>
      </c>
      <c r="I775" s="156">
        <v>0.0</v>
      </c>
      <c r="J775" s="156">
        <v>0.0</v>
      </c>
    </row>
    <row r="776">
      <c r="A776" s="155">
        <v>44099.0</v>
      </c>
      <c r="B776" s="21" t="s">
        <v>216</v>
      </c>
      <c r="C776" s="21" t="s">
        <v>461</v>
      </c>
      <c r="D776" s="156">
        <v>1000000.0</v>
      </c>
      <c r="E776" s="21" t="s">
        <v>201</v>
      </c>
      <c r="F776" s="156">
        <v>0.0</v>
      </c>
      <c r="G776" s="156">
        <v>0.0</v>
      </c>
      <c r="H776" s="156">
        <v>1000000.0</v>
      </c>
      <c r="I776" s="156">
        <v>0.0</v>
      </c>
      <c r="J776" s="156">
        <v>0.0</v>
      </c>
    </row>
    <row r="777">
      <c r="A777" s="155">
        <v>44100.0</v>
      </c>
      <c r="B777" s="21" t="s">
        <v>130</v>
      </c>
      <c r="C777" s="21" t="s">
        <v>284</v>
      </c>
      <c r="D777" s="156">
        <v>10000.0</v>
      </c>
      <c r="E777" s="21" t="s">
        <v>202</v>
      </c>
      <c r="F777" s="156">
        <v>0.0</v>
      </c>
      <c r="G777" s="156">
        <v>0.0</v>
      </c>
      <c r="H777" s="156">
        <v>0.0</v>
      </c>
      <c r="I777" s="156">
        <v>0.0</v>
      </c>
      <c r="J777" s="156">
        <v>0.0</v>
      </c>
    </row>
    <row r="778">
      <c r="A778" s="155">
        <v>44100.0</v>
      </c>
      <c r="B778" s="21" t="s">
        <v>120</v>
      </c>
      <c r="C778" s="21" t="s">
        <v>236</v>
      </c>
      <c r="D778" s="156">
        <v>7980000.0</v>
      </c>
      <c r="E778" s="21" t="s">
        <v>202</v>
      </c>
      <c r="F778" s="156">
        <v>0.0</v>
      </c>
      <c r="G778" s="156">
        <v>0.0</v>
      </c>
      <c r="H778" s="156">
        <v>0.0</v>
      </c>
      <c r="I778" s="156">
        <v>0.0</v>
      </c>
      <c r="J778" s="156">
        <v>0.0</v>
      </c>
    </row>
    <row r="779">
      <c r="A779" s="155">
        <v>44100.0</v>
      </c>
      <c r="B779" s="21" t="s">
        <v>216</v>
      </c>
      <c r="C779" s="21" t="s">
        <v>503</v>
      </c>
      <c r="D779" s="156">
        <v>7990000.0</v>
      </c>
      <c r="E779" s="21" t="s">
        <v>201</v>
      </c>
      <c r="F779" s="156">
        <v>0.0</v>
      </c>
      <c r="G779" s="156">
        <v>0.0</v>
      </c>
      <c r="H779" s="156">
        <v>7990000.0</v>
      </c>
      <c r="I779" s="156">
        <v>0.0</v>
      </c>
      <c r="J779" s="156">
        <v>0.0</v>
      </c>
    </row>
    <row r="780">
      <c r="A780" s="155">
        <v>44102.0</v>
      </c>
      <c r="B780" s="21" t="s">
        <v>98</v>
      </c>
      <c r="C780" s="21" t="s">
        <v>392</v>
      </c>
      <c r="D780" s="156">
        <v>3000000.0</v>
      </c>
      <c r="E780" s="21" t="s">
        <v>202</v>
      </c>
      <c r="F780" s="156">
        <v>0.0</v>
      </c>
      <c r="G780" s="156">
        <v>0.0</v>
      </c>
      <c r="H780" s="156">
        <v>0.0</v>
      </c>
      <c r="I780" s="156">
        <v>0.0</v>
      </c>
      <c r="J780" s="156">
        <v>0.0</v>
      </c>
    </row>
    <row r="781">
      <c r="A781" s="155">
        <v>44102.0</v>
      </c>
      <c r="B781" s="21" t="s">
        <v>125</v>
      </c>
      <c r="C781" s="21" t="s">
        <v>392</v>
      </c>
      <c r="D781" s="156">
        <v>1050000.0</v>
      </c>
      <c r="E781" s="21" t="s">
        <v>202</v>
      </c>
      <c r="F781" s="156">
        <v>0.0</v>
      </c>
      <c r="G781" s="156">
        <v>0.0</v>
      </c>
      <c r="H781" s="156">
        <v>0.0</v>
      </c>
      <c r="I781" s="156">
        <v>0.0</v>
      </c>
      <c r="J781" s="156">
        <v>0.0</v>
      </c>
    </row>
    <row r="782">
      <c r="A782" s="155">
        <v>44102.0</v>
      </c>
      <c r="B782" s="21" t="s">
        <v>125</v>
      </c>
      <c r="C782" s="21" t="s">
        <v>504</v>
      </c>
      <c r="D782" s="156">
        <v>1553250.0</v>
      </c>
      <c r="E782" s="21" t="s">
        <v>202</v>
      </c>
      <c r="F782" s="156">
        <v>0.0</v>
      </c>
      <c r="G782" s="156">
        <v>0.0</v>
      </c>
      <c r="H782" s="156">
        <v>0.0</v>
      </c>
      <c r="I782" s="156">
        <v>0.0</v>
      </c>
      <c r="J782" s="156">
        <v>0.0</v>
      </c>
    </row>
    <row r="783">
      <c r="A783" s="155">
        <v>44102.0</v>
      </c>
      <c r="B783" s="21" t="s">
        <v>107</v>
      </c>
      <c r="C783" s="21" t="s">
        <v>392</v>
      </c>
      <c r="D783" s="156">
        <v>500000.0</v>
      </c>
      <c r="E783" s="21" t="s">
        <v>202</v>
      </c>
      <c r="F783" s="156">
        <v>0.0</v>
      </c>
      <c r="G783" s="156">
        <v>0.0</v>
      </c>
      <c r="H783" s="156">
        <v>0.0</v>
      </c>
      <c r="I783" s="156">
        <v>0.0</v>
      </c>
      <c r="J783" s="156">
        <v>0.0</v>
      </c>
    </row>
    <row r="784">
      <c r="A784" s="155">
        <v>44102.0</v>
      </c>
      <c r="B784" s="21" t="s">
        <v>120</v>
      </c>
      <c r="C784" s="21" t="s">
        <v>392</v>
      </c>
      <c r="D784" s="156">
        <v>1.17E7</v>
      </c>
      <c r="E784" s="21" t="s">
        <v>202</v>
      </c>
      <c r="F784" s="156">
        <v>0.0</v>
      </c>
      <c r="G784" s="156">
        <v>0.0</v>
      </c>
      <c r="H784" s="156">
        <v>0.0</v>
      </c>
      <c r="I784" s="156">
        <v>0.0</v>
      </c>
      <c r="J784" s="156">
        <v>0.0</v>
      </c>
    </row>
    <row r="785">
      <c r="A785" s="155">
        <v>44102.0</v>
      </c>
      <c r="B785" s="21" t="s">
        <v>216</v>
      </c>
      <c r="C785" s="21" t="s">
        <v>505</v>
      </c>
      <c r="D785" s="156">
        <v>1.780325E7</v>
      </c>
      <c r="E785" s="21" t="s">
        <v>201</v>
      </c>
      <c r="F785" s="156">
        <v>0.0</v>
      </c>
      <c r="G785" s="156">
        <v>0.0</v>
      </c>
      <c r="H785" s="156">
        <v>1.780325E7</v>
      </c>
      <c r="I785" s="156">
        <v>0.0</v>
      </c>
      <c r="J785" s="156">
        <v>0.0</v>
      </c>
    </row>
    <row r="786">
      <c r="A786" s="155">
        <v>44102.0</v>
      </c>
      <c r="B786" s="21" t="s">
        <v>180</v>
      </c>
      <c r="C786" s="21" t="s">
        <v>506</v>
      </c>
      <c r="D786" s="156">
        <v>1120000.0</v>
      </c>
      <c r="E786" s="21" t="s">
        <v>202</v>
      </c>
      <c r="F786" s="156">
        <v>0.0</v>
      </c>
      <c r="G786" s="156">
        <v>0.0</v>
      </c>
      <c r="H786" s="156">
        <v>0.0</v>
      </c>
      <c r="I786" s="156">
        <v>0.0</v>
      </c>
      <c r="J786" s="156">
        <v>0.0</v>
      </c>
    </row>
    <row r="787">
      <c r="A787" s="155">
        <v>44102.0</v>
      </c>
      <c r="B787" s="21" t="s">
        <v>216</v>
      </c>
      <c r="C787" s="21" t="s">
        <v>322</v>
      </c>
      <c r="D787" s="156">
        <v>50000.0</v>
      </c>
      <c r="E787" s="21" t="s">
        <v>205</v>
      </c>
      <c r="F787" s="156">
        <v>0.0</v>
      </c>
      <c r="G787" s="156">
        <v>50000.0</v>
      </c>
      <c r="H787" s="156">
        <v>0.0</v>
      </c>
      <c r="I787" s="156">
        <v>0.0</v>
      </c>
      <c r="J787" s="156">
        <v>0.0</v>
      </c>
    </row>
    <row r="788">
      <c r="A788" s="155">
        <v>44102.0</v>
      </c>
      <c r="B788" s="21" t="s">
        <v>406</v>
      </c>
      <c r="C788" s="21" t="s">
        <v>382</v>
      </c>
      <c r="D788" s="156">
        <v>35000.0</v>
      </c>
      <c r="E788" s="21" t="s">
        <v>205</v>
      </c>
      <c r="F788" s="156">
        <v>0.0</v>
      </c>
      <c r="G788" s="156">
        <v>35000.0</v>
      </c>
      <c r="H788" s="156">
        <v>0.0</v>
      </c>
      <c r="I788" s="156">
        <v>0.0</v>
      </c>
      <c r="J788" s="156">
        <v>0.0</v>
      </c>
    </row>
    <row r="789">
      <c r="A789" s="155">
        <v>44102.0</v>
      </c>
      <c r="B789" s="21" t="s">
        <v>378</v>
      </c>
      <c r="C789" s="21" t="s">
        <v>427</v>
      </c>
      <c r="D789" s="156">
        <v>200000.0</v>
      </c>
      <c r="E789" s="21" t="s">
        <v>205</v>
      </c>
      <c r="F789" s="156">
        <v>0.0</v>
      </c>
      <c r="G789" s="156">
        <v>200000.0</v>
      </c>
      <c r="H789" s="156">
        <v>0.0</v>
      </c>
      <c r="I789" s="156">
        <v>0.0</v>
      </c>
      <c r="J789" s="156">
        <v>0.0</v>
      </c>
    </row>
    <row r="790">
      <c r="A790" s="155">
        <v>44102.0</v>
      </c>
      <c r="B790" s="21" t="s">
        <v>376</v>
      </c>
      <c r="C790" s="21" t="s">
        <v>414</v>
      </c>
      <c r="D790" s="156">
        <v>70000.0</v>
      </c>
      <c r="E790" s="21" t="s">
        <v>205</v>
      </c>
      <c r="F790" s="156">
        <v>0.0</v>
      </c>
      <c r="G790" s="156">
        <v>70000.0</v>
      </c>
      <c r="H790" s="156">
        <v>0.0</v>
      </c>
      <c r="I790" s="156">
        <v>0.0</v>
      </c>
      <c r="J790" s="156">
        <v>0.0</v>
      </c>
    </row>
    <row r="791">
      <c r="A791" s="155">
        <v>44102.0</v>
      </c>
      <c r="B791" s="21" t="s">
        <v>98</v>
      </c>
      <c r="C791" s="21" t="s">
        <v>224</v>
      </c>
      <c r="D791" s="156">
        <v>8300.0</v>
      </c>
      <c r="E791" s="21" t="s">
        <v>205</v>
      </c>
      <c r="F791" s="156">
        <v>0.0</v>
      </c>
      <c r="G791" s="156">
        <v>8300.0</v>
      </c>
      <c r="H791" s="156">
        <v>0.0</v>
      </c>
      <c r="I791" s="156">
        <v>0.0</v>
      </c>
      <c r="J791" s="156">
        <v>0.0</v>
      </c>
    </row>
    <row r="792">
      <c r="A792" s="155">
        <v>44102.0</v>
      </c>
      <c r="B792" s="21" t="s">
        <v>228</v>
      </c>
      <c r="C792" s="21" t="s">
        <v>223</v>
      </c>
      <c r="D792" s="156">
        <v>1229100.0</v>
      </c>
      <c r="E792" s="21" t="s">
        <v>211</v>
      </c>
      <c r="F792" s="156">
        <v>0.0</v>
      </c>
      <c r="G792" s="156">
        <v>0.0</v>
      </c>
      <c r="H792" s="156">
        <v>0.0</v>
      </c>
      <c r="I792" s="156">
        <v>1229100.0</v>
      </c>
      <c r="J792" s="156">
        <v>0.0</v>
      </c>
    </row>
    <row r="793">
      <c r="A793" s="155">
        <v>44102.0</v>
      </c>
      <c r="B793" s="21" t="s">
        <v>216</v>
      </c>
      <c r="C793" s="21" t="s">
        <v>221</v>
      </c>
      <c r="D793" s="156">
        <v>2550000.0</v>
      </c>
      <c r="E793" s="21" t="s">
        <v>201</v>
      </c>
      <c r="F793" s="156">
        <v>0.0</v>
      </c>
      <c r="G793" s="156">
        <v>0.0</v>
      </c>
      <c r="H793" s="156">
        <v>2550000.0</v>
      </c>
      <c r="I793" s="156">
        <v>0.0</v>
      </c>
      <c r="J793" s="156">
        <v>0.0</v>
      </c>
    </row>
    <row r="794">
      <c r="A794" s="155">
        <v>44099.0</v>
      </c>
      <c r="B794" s="21" t="s">
        <v>183</v>
      </c>
      <c r="C794" s="21" t="s">
        <v>501</v>
      </c>
      <c r="D794" s="156">
        <v>-1040700.0</v>
      </c>
      <c r="E794" s="21" t="s">
        <v>502</v>
      </c>
      <c r="F794" s="156">
        <v>0.0</v>
      </c>
      <c r="G794" s="156">
        <v>0.0</v>
      </c>
      <c r="H794" s="156">
        <v>0.0</v>
      </c>
      <c r="I794" s="156">
        <v>0.0</v>
      </c>
      <c r="J794" s="156">
        <v>-1040700.0</v>
      </c>
    </row>
    <row r="795">
      <c r="A795" s="155">
        <v>44100.0</v>
      </c>
      <c r="B795" s="21" t="s">
        <v>216</v>
      </c>
      <c r="C795" s="21" t="s">
        <v>507</v>
      </c>
      <c r="D795" s="156">
        <v>1040700.0</v>
      </c>
      <c r="E795" s="21" t="s">
        <v>205</v>
      </c>
      <c r="F795" s="156">
        <v>0.0</v>
      </c>
      <c r="G795" s="156">
        <v>1040700.0</v>
      </c>
      <c r="H795" s="156">
        <v>0.0</v>
      </c>
      <c r="I795" s="156">
        <v>0.0</v>
      </c>
      <c r="J795" s="156">
        <v>0.0</v>
      </c>
    </row>
    <row r="796">
      <c r="A796" s="155">
        <v>44100.0</v>
      </c>
      <c r="B796" s="21" t="s">
        <v>183</v>
      </c>
      <c r="C796" s="21" t="s">
        <v>508</v>
      </c>
      <c r="D796" s="156">
        <v>1040700.0</v>
      </c>
      <c r="E796" s="21" t="s">
        <v>211</v>
      </c>
      <c r="F796" s="156">
        <v>0.0</v>
      </c>
      <c r="G796" s="156">
        <v>0.0</v>
      </c>
      <c r="H796" s="156">
        <v>0.0</v>
      </c>
      <c r="I796" s="156">
        <v>1040700.0</v>
      </c>
      <c r="J796" s="156">
        <v>0.0</v>
      </c>
    </row>
    <row r="797">
      <c r="A797" s="155">
        <v>44103.0</v>
      </c>
      <c r="B797" s="21" t="s">
        <v>216</v>
      </c>
      <c r="C797" s="21" t="s">
        <v>224</v>
      </c>
      <c r="D797" s="156">
        <v>200.0</v>
      </c>
      <c r="E797" s="21" t="s">
        <v>205</v>
      </c>
      <c r="F797" s="156">
        <v>0.0</v>
      </c>
      <c r="G797" s="156">
        <v>200.0</v>
      </c>
      <c r="H797" s="156">
        <v>0.0</v>
      </c>
      <c r="I797" s="156">
        <v>0.0</v>
      </c>
      <c r="J797" s="156">
        <v>0.0</v>
      </c>
    </row>
    <row r="798">
      <c r="A798" s="155">
        <v>44103.0</v>
      </c>
      <c r="B798" s="21" t="s">
        <v>273</v>
      </c>
      <c r="C798" s="21" t="s">
        <v>427</v>
      </c>
      <c r="D798" s="156">
        <v>2000.0</v>
      </c>
      <c r="E798" s="21" t="s">
        <v>205</v>
      </c>
      <c r="F798" s="156">
        <v>0.0</v>
      </c>
      <c r="G798" s="156">
        <v>2000.0</v>
      </c>
      <c r="H798" s="156">
        <v>0.0</v>
      </c>
      <c r="I798" s="156">
        <v>0.0</v>
      </c>
      <c r="J798" s="156">
        <v>0.0</v>
      </c>
    </row>
    <row r="799">
      <c r="A799" s="155">
        <v>44103.0</v>
      </c>
      <c r="B799" s="21" t="s">
        <v>468</v>
      </c>
      <c r="C799" s="21" t="s">
        <v>509</v>
      </c>
      <c r="D799" s="156">
        <v>500000.0</v>
      </c>
      <c r="E799" s="21" t="s">
        <v>205</v>
      </c>
      <c r="F799" s="156">
        <v>0.0</v>
      </c>
      <c r="G799" s="156">
        <v>500000.0</v>
      </c>
      <c r="H799" s="156">
        <v>0.0</v>
      </c>
      <c r="I799" s="156">
        <v>0.0</v>
      </c>
      <c r="J799" s="156">
        <v>0.0</v>
      </c>
    </row>
    <row r="800">
      <c r="A800" s="155">
        <v>44103.0</v>
      </c>
      <c r="B800" s="21" t="s">
        <v>401</v>
      </c>
      <c r="C800" s="21" t="s">
        <v>510</v>
      </c>
      <c r="D800" s="156">
        <v>252000.0</v>
      </c>
      <c r="E800" s="21" t="s">
        <v>205</v>
      </c>
      <c r="F800" s="156">
        <v>0.0</v>
      </c>
      <c r="G800" s="156">
        <v>252000.0</v>
      </c>
      <c r="H800" s="156">
        <v>0.0</v>
      </c>
      <c r="I800" s="156">
        <v>0.0</v>
      </c>
      <c r="J800" s="156">
        <v>0.0</v>
      </c>
    </row>
    <row r="801">
      <c r="A801" s="155">
        <v>44103.0</v>
      </c>
      <c r="B801" s="21" t="s">
        <v>276</v>
      </c>
      <c r="C801" s="21" t="s">
        <v>421</v>
      </c>
      <c r="D801" s="156">
        <v>16600.0</v>
      </c>
      <c r="E801" s="21" t="s">
        <v>205</v>
      </c>
      <c r="F801" s="156">
        <v>0.0</v>
      </c>
      <c r="G801" s="156">
        <v>16600.0</v>
      </c>
      <c r="H801" s="156">
        <v>0.0</v>
      </c>
      <c r="I801" s="156">
        <v>0.0</v>
      </c>
      <c r="J801" s="156">
        <v>0.0</v>
      </c>
    </row>
    <row r="802">
      <c r="A802" s="155">
        <v>44103.0</v>
      </c>
      <c r="B802" s="21" t="s">
        <v>511</v>
      </c>
      <c r="C802" s="21" t="s">
        <v>224</v>
      </c>
      <c r="D802" s="156">
        <v>100.0</v>
      </c>
      <c r="E802" s="21" t="s">
        <v>205</v>
      </c>
      <c r="F802" s="156">
        <v>0.0</v>
      </c>
      <c r="G802" s="156">
        <v>100.0</v>
      </c>
      <c r="H802" s="156">
        <v>0.0</v>
      </c>
      <c r="I802" s="156">
        <v>0.0</v>
      </c>
      <c r="J802" s="156">
        <v>0.0</v>
      </c>
    </row>
    <row r="803">
      <c r="A803" s="155">
        <v>44103.0</v>
      </c>
      <c r="B803" s="21" t="s">
        <v>439</v>
      </c>
      <c r="C803" s="21" t="s">
        <v>388</v>
      </c>
      <c r="D803" s="156">
        <v>4000.0</v>
      </c>
      <c r="E803" s="21" t="s">
        <v>205</v>
      </c>
      <c r="F803" s="156">
        <v>0.0</v>
      </c>
      <c r="G803" s="156">
        <v>4000.0</v>
      </c>
      <c r="H803" s="156">
        <v>0.0</v>
      </c>
      <c r="I803" s="156">
        <v>0.0</v>
      </c>
      <c r="J803" s="156">
        <v>0.0</v>
      </c>
    </row>
    <row r="804">
      <c r="A804" s="155">
        <v>44103.0</v>
      </c>
      <c r="B804" s="21" t="s">
        <v>512</v>
      </c>
      <c r="C804" s="21" t="s">
        <v>513</v>
      </c>
      <c r="D804" s="156">
        <v>3000.0</v>
      </c>
      <c r="E804" s="21" t="s">
        <v>205</v>
      </c>
      <c r="F804" s="156">
        <v>0.0</v>
      </c>
      <c r="G804" s="156">
        <v>3000.0</v>
      </c>
      <c r="H804" s="156">
        <v>0.0</v>
      </c>
      <c r="I804" s="156">
        <v>0.0</v>
      </c>
      <c r="J804" s="156">
        <v>0.0</v>
      </c>
    </row>
    <row r="805">
      <c r="A805" s="155">
        <v>44103.0</v>
      </c>
      <c r="B805" s="21" t="s">
        <v>220</v>
      </c>
      <c r="C805" s="21" t="s">
        <v>224</v>
      </c>
      <c r="D805" s="156">
        <v>200.0</v>
      </c>
      <c r="E805" s="21" t="s">
        <v>205</v>
      </c>
      <c r="F805" s="156">
        <v>0.0</v>
      </c>
      <c r="G805" s="156">
        <v>200.0</v>
      </c>
      <c r="H805" s="156">
        <v>0.0</v>
      </c>
      <c r="I805" s="156">
        <v>0.0</v>
      </c>
      <c r="J805" s="156">
        <v>0.0</v>
      </c>
    </row>
    <row r="806">
      <c r="A806" s="155">
        <v>44103.0</v>
      </c>
      <c r="B806" s="21" t="s">
        <v>248</v>
      </c>
      <c r="C806" s="21" t="s">
        <v>409</v>
      </c>
      <c r="D806" s="156">
        <v>1000.0</v>
      </c>
      <c r="E806" s="21" t="s">
        <v>205</v>
      </c>
      <c r="F806" s="156">
        <v>0.0</v>
      </c>
      <c r="G806" s="156">
        <v>1000.0</v>
      </c>
      <c r="H806" s="156">
        <v>0.0</v>
      </c>
      <c r="I806" s="156">
        <v>0.0</v>
      </c>
      <c r="J806" s="156">
        <v>0.0</v>
      </c>
    </row>
    <row r="807">
      <c r="A807" s="155">
        <v>44103.0</v>
      </c>
      <c r="B807" s="21" t="s">
        <v>225</v>
      </c>
      <c r="C807" s="21" t="s">
        <v>226</v>
      </c>
      <c r="D807" s="156">
        <v>5000.0</v>
      </c>
      <c r="E807" s="21" t="s">
        <v>205</v>
      </c>
      <c r="F807" s="156">
        <v>0.0</v>
      </c>
      <c r="G807" s="156">
        <v>5000.0</v>
      </c>
      <c r="H807" s="156">
        <v>0.0</v>
      </c>
      <c r="I807" s="156">
        <v>0.0</v>
      </c>
      <c r="J807" s="156">
        <v>0.0</v>
      </c>
    </row>
    <row r="808">
      <c r="A808" s="155">
        <v>44103.0</v>
      </c>
      <c r="B808" s="21" t="s">
        <v>220</v>
      </c>
      <c r="C808" s="21" t="s">
        <v>299</v>
      </c>
      <c r="D808" s="156">
        <v>20000.0</v>
      </c>
      <c r="E808" s="21" t="s">
        <v>205</v>
      </c>
      <c r="F808" s="156">
        <v>0.0</v>
      </c>
      <c r="G808" s="156">
        <v>20000.0</v>
      </c>
      <c r="H808" s="156">
        <v>0.0</v>
      </c>
      <c r="I808" s="156">
        <v>0.0</v>
      </c>
      <c r="J808" s="156">
        <v>0.0</v>
      </c>
    </row>
    <row r="809">
      <c r="A809" s="155">
        <v>44103.0</v>
      </c>
      <c r="B809" s="21" t="s">
        <v>164</v>
      </c>
      <c r="C809" s="21" t="s">
        <v>90</v>
      </c>
      <c r="D809" s="156">
        <v>200000.0</v>
      </c>
      <c r="E809" s="21" t="s">
        <v>202</v>
      </c>
      <c r="F809" s="156">
        <v>0.0</v>
      </c>
      <c r="G809" s="156">
        <v>0.0</v>
      </c>
      <c r="H809" s="156">
        <v>0.0</v>
      </c>
      <c r="I809" s="156">
        <v>0.0</v>
      </c>
      <c r="J809" s="156">
        <v>0.0</v>
      </c>
    </row>
    <row r="810">
      <c r="A810" s="155">
        <v>44103.0</v>
      </c>
      <c r="B810" s="21" t="s">
        <v>132</v>
      </c>
      <c r="C810" s="21" t="s">
        <v>90</v>
      </c>
      <c r="D810" s="156">
        <v>150000.0</v>
      </c>
      <c r="E810" s="21" t="s">
        <v>202</v>
      </c>
      <c r="F810" s="156">
        <v>0.0</v>
      </c>
      <c r="G810" s="156">
        <v>0.0</v>
      </c>
      <c r="H810" s="156">
        <v>0.0</v>
      </c>
      <c r="I810" s="156">
        <v>0.0</v>
      </c>
      <c r="J810" s="156">
        <v>0.0</v>
      </c>
    </row>
    <row r="811">
      <c r="A811" s="155">
        <v>44103.0</v>
      </c>
      <c r="B811" s="21" t="s">
        <v>159</v>
      </c>
      <c r="C811" s="21" t="s">
        <v>90</v>
      </c>
      <c r="D811" s="156">
        <v>50000.0</v>
      </c>
      <c r="E811" s="21" t="s">
        <v>202</v>
      </c>
      <c r="F811" s="156">
        <v>0.0</v>
      </c>
      <c r="G811" s="156">
        <v>0.0</v>
      </c>
      <c r="H811" s="156">
        <v>0.0</v>
      </c>
      <c r="I811" s="156">
        <v>0.0</v>
      </c>
      <c r="J811" s="156">
        <v>0.0</v>
      </c>
    </row>
    <row r="812">
      <c r="A812" s="155">
        <v>44103.0</v>
      </c>
      <c r="B812" s="21" t="s">
        <v>113</v>
      </c>
      <c r="C812" s="21" t="s">
        <v>90</v>
      </c>
      <c r="D812" s="156">
        <v>100000.0</v>
      </c>
      <c r="E812" s="21" t="s">
        <v>202</v>
      </c>
      <c r="F812" s="156">
        <v>0.0</v>
      </c>
      <c r="G812" s="156">
        <v>0.0</v>
      </c>
      <c r="H812" s="156">
        <v>0.0</v>
      </c>
      <c r="I812" s="156">
        <v>0.0</v>
      </c>
      <c r="J812" s="156">
        <v>0.0</v>
      </c>
    </row>
    <row r="813">
      <c r="A813" s="155">
        <v>44103.0</v>
      </c>
      <c r="B813" s="21" t="s">
        <v>181</v>
      </c>
      <c r="C813" s="21" t="s">
        <v>224</v>
      </c>
      <c r="D813" s="156">
        <v>40000.0</v>
      </c>
      <c r="E813" s="21" t="s">
        <v>202</v>
      </c>
      <c r="F813" s="156">
        <v>0.0</v>
      </c>
      <c r="G813" s="156">
        <v>0.0</v>
      </c>
      <c r="H813" s="156">
        <v>0.0</v>
      </c>
      <c r="I813" s="156">
        <v>0.0</v>
      </c>
      <c r="J813" s="156">
        <v>0.0</v>
      </c>
    </row>
    <row r="814">
      <c r="A814" s="155">
        <v>44103.0</v>
      </c>
      <c r="B814" s="21" t="s">
        <v>228</v>
      </c>
      <c r="C814" s="21" t="s">
        <v>223</v>
      </c>
      <c r="D814" s="156">
        <v>1085700.0</v>
      </c>
      <c r="E814" s="21" t="s">
        <v>211</v>
      </c>
      <c r="F814" s="156">
        <v>0.0</v>
      </c>
      <c r="G814" s="156">
        <v>0.0</v>
      </c>
      <c r="H814" s="156">
        <v>0.0</v>
      </c>
      <c r="I814" s="156">
        <v>1085700.0</v>
      </c>
      <c r="J814" s="156">
        <v>0.0</v>
      </c>
    </row>
    <row r="815">
      <c r="A815" s="155">
        <v>44103.0</v>
      </c>
      <c r="B815" s="21" t="s">
        <v>220</v>
      </c>
      <c r="C815" s="21" t="s">
        <v>221</v>
      </c>
      <c r="D815" s="156">
        <v>1500000.0</v>
      </c>
      <c r="E815" s="21" t="s">
        <v>201</v>
      </c>
      <c r="F815" s="156">
        <v>0.0</v>
      </c>
      <c r="G815" s="156">
        <v>0.0</v>
      </c>
      <c r="H815" s="156">
        <v>1500000.0</v>
      </c>
      <c r="I815" s="156">
        <v>0.0</v>
      </c>
      <c r="J815" s="156">
        <v>0.0</v>
      </c>
    </row>
    <row r="816">
      <c r="A816" s="155">
        <v>44104.0</v>
      </c>
      <c r="B816" s="21" t="s">
        <v>46</v>
      </c>
      <c r="C816" s="21" t="s">
        <v>450</v>
      </c>
      <c r="D816" s="156">
        <v>100000.0</v>
      </c>
      <c r="E816" s="21" t="s">
        <v>202</v>
      </c>
      <c r="F816" s="156">
        <v>0.0</v>
      </c>
      <c r="G816" s="156">
        <v>0.0</v>
      </c>
      <c r="H816" s="156">
        <v>0.0</v>
      </c>
      <c r="I816" s="156">
        <v>0.0</v>
      </c>
      <c r="J816" s="156">
        <v>0.0</v>
      </c>
    </row>
    <row r="817">
      <c r="A817" s="155">
        <v>44104.0</v>
      </c>
      <c r="B817" s="21" t="s">
        <v>216</v>
      </c>
      <c r="C817" s="21" t="s">
        <v>461</v>
      </c>
      <c r="D817" s="156">
        <v>100000.0</v>
      </c>
      <c r="E817" s="21" t="s">
        <v>201</v>
      </c>
      <c r="F817" s="156">
        <v>0.0</v>
      </c>
      <c r="G817" s="156">
        <v>0.0</v>
      </c>
      <c r="H817" s="156">
        <v>100000.0</v>
      </c>
      <c r="I817" s="156">
        <v>0.0</v>
      </c>
      <c r="J817" s="156">
        <v>0.0</v>
      </c>
    </row>
    <row r="818">
      <c r="A818" s="155">
        <v>44104.0</v>
      </c>
      <c r="B818" s="21" t="s">
        <v>46</v>
      </c>
      <c r="C818" s="21" t="s">
        <v>90</v>
      </c>
      <c r="D818" s="156">
        <v>304000.0</v>
      </c>
      <c r="E818" s="21" t="s">
        <v>202</v>
      </c>
      <c r="F818" s="156">
        <v>0.0</v>
      </c>
      <c r="G818" s="156">
        <v>0.0</v>
      </c>
      <c r="H818" s="156">
        <v>0.0</v>
      </c>
      <c r="I818" s="156">
        <v>0.0</v>
      </c>
      <c r="J818" s="156">
        <v>0.0</v>
      </c>
    </row>
    <row r="819">
      <c r="A819" s="155">
        <v>44104.0</v>
      </c>
      <c r="B819" s="21" t="s">
        <v>180</v>
      </c>
      <c r="C819" s="21" t="s">
        <v>90</v>
      </c>
      <c r="D819" s="156">
        <v>672000.0</v>
      </c>
      <c r="E819" s="21" t="s">
        <v>202</v>
      </c>
      <c r="F819" s="156">
        <v>0.0</v>
      </c>
      <c r="G819" s="156">
        <v>0.0</v>
      </c>
      <c r="H819" s="156">
        <v>0.0</v>
      </c>
      <c r="I819" s="156">
        <v>0.0</v>
      </c>
      <c r="J819" s="156">
        <v>0.0</v>
      </c>
    </row>
    <row r="820">
      <c r="A820" s="155">
        <v>44104.0</v>
      </c>
      <c r="B820" s="21" t="s">
        <v>132</v>
      </c>
      <c r="C820" s="21" t="s">
        <v>327</v>
      </c>
      <c r="D820" s="156">
        <v>302800.0</v>
      </c>
      <c r="E820" s="21" t="s">
        <v>202</v>
      </c>
      <c r="F820" s="156">
        <v>0.0</v>
      </c>
      <c r="G820" s="156">
        <v>0.0</v>
      </c>
      <c r="H820" s="156">
        <v>0.0</v>
      </c>
      <c r="I820" s="156">
        <v>0.0</v>
      </c>
      <c r="J820" s="156">
        <v>0.0</v>
      </c>
    </row>
    <row r="821">
      <c r="A821" s="155">
        <v>44104.0</v>
      </c>
      <c r="B821" s="21" t="s">
        <v>159</v>
      </c>
      <c r="C821" s="21" t="s">
        <v>90</v>
      </c>
      <c r="D821" s="156">
        <v>450000.0</v>
      </c>
      <c r="E821" s="21" t="s">
        <v>202</v>
      </c>
      <c r="F821" s="156">
        <v>0.0</v>
      </c>
      <c r="G821" s="156">
        <v>0.0</v>
      </c>
      <c r="H821" s="156">
        <v>0.0</v>
      </c>
      <c r="I821" s="156">
        <v>0.0</v>
      </c>
      <c r="J821" s="156">
        <v>0.0</v>
      </c>
    </row>
    <row r="822">
      <c r="A822" s="155">
        <v>44104.0</v>
      </c>
      <c r="B822" s="21" t="s">
        <v>181</v>
      </c>
      <c r="C822" s="21" t="s">
        <v>90</v>
      </c>
      <c r="D822" s="156">
        <v>300000.0</v>
      </c>
      <c r="E822" s="21" t="s">
        <v>202</v>
      </c>
      <c r="F822" s="156">
        <v>0.0</v>
      </c>
      <c r="G822" s="156">
        <v>0.0</v>
      </c>
      <c r="H822" s="156">
        <v>0.0</v>
      </c>
      <c r="I822" s="156">
        <v>0.0</v>
      </c>
      <c r="J822" s="156">
        <v>0.0</v>
      </c>
    </row>
    <row r="823">
      <c r="A823" s="155">
        <v>44104.0</v>
      </c>
      <c r="B823" s="21" t="s">
        <v>146</v>
      </c>
      <c r="C823" s="21" t="s">
        <v>327</v>
      </c>
      <c r="D823" s="156">
        <v>432400.0</v>
      </c>
      <c r="E823" s="21" t="s">
        <v>202</v>
      </c>
      <c r="F823" s="156">
        <v>0.0</v>
      </c>
      <c r="G823" s="156">
        <v>0.0</v>
      </c>
      <c r="H823" s="156">
        <v>0.0</v>
      </c>
      <c r="I823" s="156">
        <v>0.0</v>
      </c>
      <c r="J823" s="156">
        <v>0.0</v>
      </c>
    </row>
    <row r="824">
      <c r="A824" s="155">
        <v>44104.0</v>
      </c>
      <c r="B824" s="21" t="s">
        <v>271</v>
      </c>
      <c r="C824" s="21" t="s">
        <v>421</v>
      </c>
      <c r="D824" s="156">
        <v>71000.0</v>
      </c>
      <c r="E824" s="21" t="s">
        <v>205</v>
      </c>
      <c r="F824" s="156">
        <v>0.0</v>
      </c>
      <c r="G824" s="156">
        <v>71000.0</v>
      </c>
      <c r="H824" s="156">
        <v>0.0</v>
      </c>
      <c r="I824" s="156">
        <v>0.0</v>
      </c>
      <c r="J824" s="156">
        <v>0.0</v>
      </c>
    </row>
    <row r="825">
      <c r="A825" s="155">
        <v>44104.0</v>
      </c>
      <c r="B825" s="21" t="s">
        <v>228</v>
      </c>
      <c r="C825" s="21" t="s">
        <v>255</v>
      </c>
      <c r="D825" s="156">
        <v>3200.0</v>
      </c>
      <c r="E825" s="21" t="s">
        <v>205</v>
      </c>
      <c r="F825" s="156">
        <v>0.0</v>
      </c>
      <c r="G825" s="156">
        <v>3200.0</v>
      </c>
      <c r="H825" s="156">
        <v>0.0</v>
      </c>
      <c r="I825" s="156">
        <v>0.0</v>
      </c>
      <c r="J825" s="156">
        <v>0.0</v>
      </c>
    </row>
    <row r="826">
      <c r="A826" s="155">
        <v>44104.0</v>
      </c>
      <c r="B826" s="21" t="s">
        <v>514</v>
      </c>
      <c r="C826" s="21" t="s">
        <v>450</v>
      </c>
      <c r="D826" s="156">
        <v>47000.0</v>
      </c>
      <c r="E826" s="21" t="s">
        <v>205</v>
      </c>
      <c r="F826" s="156">
        <v>0.0</v>
      </c>
      <c r="G826" s="156">
        <v>47000.0</v>
      </c>
      <c r="H826" s="156">
        <v>0.0</v>
      </c>
      <c r="I826" s="156">
        <v>0.0</v>
      </c>
      <c r="J826" s="156">
        <v>0.0</v>
      </c>
    </row>
    <row r="827">
      <c r="A827" s="155">
        <v>44104.0</v>
      </c>
      <c r="B827" s="21" t="s">
        <v>271</v>
      </c>
      <c r="C827" s="21" t="s">
        <v>421</v>
      </c>
      <c r="D827" s="156">
        <v>69200.0</v>
      </c>
      <c r="E827" s="21" t="s">
        <v>205</v>
      </c>
      <c r="F827" s="156">
        <v>0.0</v>
      </c>
      <c r="G827" s="156">
        <v>69200.0</v>
      </c>
      <c r="H827" s="156">
        <v>0.0</v>
      </c>
      <c r="I827" s="156">
        <v>0.0</v>
      </c>
      <c r="J827" s="156">
        <v>0.0</v>
      </c>
    </row>
    <row r="828">
      <c r="A828" s="155">
        <v>44104.0</v>
      </c>
      <c r="B828" s="21" t="s">
        <v>220</v>
      </c>
      <c r="C828" s="21" t="s">
        <v>322</v>
      </c>
      <c r="D828" s="156">
        <v>200.0</v>
      </c>
      <c r="E828" s="21" t="s">
        <v>205</v>
      </c>
      <c r="F828" s="156">
        <v>0.0</v>
      </c>
      <c r="G828" s="156">
        <v>200.0</v>
      </c>
      <c r="H828" s="156">
        <v>0.0</v>
      </c>
      <c r="I828" s="156">
        <v>0.0</v>
      </c>
      <c r="J828" s="156">
        <v>0.0</v>
      </c>
    </row>
    <row r="829">
      <c r="A829" s="155">
        <v>44104.0</v>
      </c>
      <c r="B829" s="21" t="s">
        <v>395</v>
      </c>
      <c r="C829" s="21" t="s">
        <v>224</v>
      </c>
      <c r="D829" s="156">
        <v>125000.0</v>
      </c>
      <c r="E829" s="21" t="s">
        <v>205</v>
      </c>
      <c r="F829" s="156">
        <v>0.0</v>
      </c>
      <c r="G829" s="156">
        <v>125000.0</v>
      </c>
      <c r="H829" s="156">
        <v>0.0</v>
      </c>
      <c r="I829" s="156">
        <v>0.0</v>
      </c>
      <c r="J829" s="156">
        <v>0.0</v>
      </c>
    </row>
    <row r="830">
      <c r="A830" s="155">
        <v>44104.0</v>
      </c>
      <c r="B830" s="21" t="s">
        <v>220</v>
      </c>
      <c r="C830" s="21" t="s">
        <v>417</v>
      </c>
      <c r="D830" s="156">
        <v>400000.0</v>
      </c>
      <c r="E830" s="21" t="s">
        <v>205</v>
      </c>
      <c r="F830" s="156">
        <v>0.0</v>
      </c>
      <c r="G830" s="156">
        <v>400000.0</v>
      </c>
      <c r="H830" s="156">
        <v>0.0</v>
      </c>
      <c r="I830" s="156">
        <v>0.0</v>
      </c>
      <c r="J830" s="156">
        <v>0.0</v>
      </c>
    </row>
    <row r="831">
      <c r="A831" s="155">
        <v>44104.0</v>
      </c>
      <c r="B831" s="21" t="s">
        <v>511</v>
      </c>
      <c r="C831" s="21" t="s">
        <v>224</v>
      </c>
      <c r="D831" s="156">
        <v>100.0</v>
      </c>
      <c r="E831" s="21" t="s">
        <v>205</v>
      </c>
      <c r="F831" s="156">
        <v>0.0</v>
      </c>
      <c r="G831" s="156">
        <v>100.0</v>
      </c>
      <c r="H831" s="156">
        <v>0.0</v>
      </c>
      <c r="I831" s="156">
        <v>0.0</v>
      </c>
      <c r="J831" s="156">
        <v>0.0</v>
      </c>
    </row>
    <row r="832">
      <c r="A832" s="155">
        <v>44104.0</v>
      </c>
      <c r="B832" s="21" t="s">
        <v>248</v>
      </c>
      <c r="C832" s="21" t="s">
        <v>409</v>
      </c>
      <c r="D832" s="156">
        <v>6500.0</v>
      </c>
      <c r="E832" s="21" t="s">
        <v>205</v>
      </c>
      <c r="F832" s="156">
        <v>0.0</v>
      </c>
      <c r="G832" s="156">
        <v>6500.0</v>
      </c>
      <c r="H832" s="156">
        <v>0.0</v>
      </c>
      <c r="I832" s="156">
        <v>0.0</v>
      </c>
      <c r="J832" s="156">
        <v>0.0</v>
      </c>
    </row>
    <row r="833">
      <c r="A833" s="155">
        <v>44104.0</v>
      </c>
      <c r="B833" s="21" t="s">
        <v>146</v>
      </c>
      <c r="C833" s="21" t="s">
        <v>515</v>
      </c>
      <c r="D833" s="156">
        <v>3000.0</v>
      </c>
      <c r="E833" s="21" t="s">
        <v>205</v>
      </c>
      <c r="F833" s="156">
        <v>0.0</v>
      </c>
      <c r="G833" s="156">
        <v>3000.0</v>
      </c>
      <c r="H833" s="156">
        <v>0.0</v>
      </c>
      <c r="I833" s="156">
        <v>0.0</v>
      </c>
      <c r="J833" s="156">
        <v>0.0</v>
      </c>
    </row>
    <row r="834">
      <c r="A834" s="155">
        <v>44104.0</v>
      </c>
      <c r="B834" s="21" t="s">
        <v>109</v>
      </c>
      <c r="C834" s="21" t="s">
        <v>322</v>
      </c>
      <c r="D834" s="156">
        <v>70000.0</v>
      </c>
      <c r="E834" s="21" t="s">
        <v>205</v>
      </c>
      <c r="F834" s="156">
        <v>0.0</v>
      </c>
      <c r="G834" s="156">
        <v>70000.0</v>
      </c>
      <c r="H834" s="156">
        <v>0.0</v>
      </c>
      <c r="I834" s="156">
        <v>0.0</v>
      </c>
      <c r="J834" s="156">
        <v>0.0</v>
      </c>
    </row>
    <row r="835">
      <c r="A835" s="155">
        <v>44104.0</v>
      </c>
      <c r="B835" s="21" t="s">
        <v>475</v>
      </c>
      <c r="C835" s="21" t="s">
        <v>457</v>
      </c>
      <c r="D835" s="156">
        <v>60000.0</v>
      </c>
      <c r="E835" s="21" t="s">
        <v>205</v>
      </c>
      <c r="F835" s="156">
        <v>0.0</v>
      </c>
      <c r="G835" s="156">
        <v>60000.0</v>
      </c>
      <c r="H835" s="156">
        <v>0.0</v>
      </c>
      <c r="I835" s="156">
        <v>0.0</v>
      </c>
      <c r="J835" s="156">
        <v>0.0</v>
      </c>
    </row>
    <row r="836">
      <c r="A836" s="155">
        <v>44104.0</v>
      </c>
      <c r="B836" s="21" t="s">
        <v>516</v>
      </c>
      <c r="C836" s="21" t="s">
        <v>517</v>
      </c>
      <c r="D836" s="156">
        <v>1300.0</v>
      </c>
      <c r="E836" s="21" t="s">
        <v>205</v>
      </c>
      <c r="F836" s="156">
        <v>0.0</v>
      </c>
      <c r="G836" s="156">
        <v>1300.0</v>
      </c>
      <c r="H836" s="156">
        <v>0.0</v>
      </c>
      <c r="I836" s="156">
        <v>0.0</v>
      </c>
      <c r="J836" s="156">
        <v>0.0</v>
      </c>
    </row>
    <row r="837">
      <c r="A837" s="155">
        <v>44104.0</v>
      </c>
      <c r="B837" s="21" t="s">
        <v>216</v>
      </c>
      <c r="C837" s="21" t="s">
        <v>518</v>
      </c>
      <c r="D837" s="156">
        <v>2000.0</v>
      </c>
      <c r="E837" s="21" t="s">
        <v>205</v>
      </c>
      <c r="F837" s="156">
        <v>0.0</v>
      </c>
      <c r="G837" s="156">
        <v>2000.0</v>
      </c>
      <c r="H837" s="156">
        <v>0.0</v>
      </c>
      <c r="I837" s="156">
        <v>0.0</v>
      </c>
      <c r="J837" s="156">
        <v>0.0</v>
      </c>
    </row>
    <row r="838">
      <c r="A838" s="155">
        <v>44104.0</v>
      </c>
      <c r="B838" s="21" t="s">
        <v>228</v>
      </c>
      <c r="C838" s="21" t="s">
        <v>223</v>
      </c>
      <c r="D838" s="156">
        <v>1013000.0</v>
      </c>
      <c r="E838" s="21" t="s">
        <v>211</v>
      </c>
      <c r="F838" s="156">
        <v>0.0</v>
      </c>
      <c r="G838" s="156">
        <v>0.0</v>
      </c>
      <c r="H838" s="156">
        <v>0.0</v>
      </c>
      <c r="I838" s="156">
        <v>1013000.0</v>
      </c>
      <c r="J838" s="156">
        <v>0.0</v>
      </c>
    </row>
    <row r="839">
      <c r="A839" s="155">
        <v>44104.0</v>
      </c>
      <c r="B839" s="21" t="s">
        <v>220</v>
      </c>
      <c r="C839" s="21" t="s">
        <v>221</v>
      </c>
      <c r="D839" s="156">
        <v>4370500.0</v>
      </c>
      <c r="E839" s="21" t="s">
        <v>201</v>
      </c>
      <c r="F839" s="156">
        <v>0.0</v>
      </c>
      <c r="G839" s="156">
        <v>0.0</v>
      </c>
      <c r="H839" s="156">
        <v>4370500.0</v>
      </c>
      <c r="I839" s="156">
        <v>0.0</v>
      </c>
      <c r="J839" s="156">
        <v>0.0</v>
      </c>
    </row>
    <row r="840">
      <c r="A840" s="155">
        <v>44106.0</v>
      </c>
      <c r="B840" s="21" t="s">
        <v>98</v>
      </c>
      <c r="C840" s="21" t="s">
        <v>392</v>
      </c>
      <c r="D840" s="156">
        <v>3000000.0</v>
      </c>
      <c r="E840" s="21" t="s">
        <v>202</v>
      </c>
      <c r="F840" s="156">
        <v>0.0</v>
      </c>
      <c r="G840" s="156">
        <v>0.0</v>
      </c>
      <c r="H840" s="156">
        <v>0.0</v>
      </c>
      <c r="I840" s="156">
        <v>0.0</v>
      </c>
      <c r="J840" s="156">
        <v>0.0</v>
      </c>
    </row>
    <row r="841">
      <c r="A841" s="155">
        <v>44106.0</v>
      </c>
      <c r="B841" s="21" t="s">
        <v>216</v>
      </c>
      <c r="C841" s="21" t="s">
        <v>461</v>
      </c>
      <c r="D841" s="156">
        <v>3000000.0</v>
      </c>
      <c r="E841" s="21" t="s">
        <v>201</v>
      </c>
      <c r="F841" s="156">
        <v>0.0</v>
      </c>
      <c r="G841" s="156">
        <v>0.0</v>
      </c>
      <c r="H841" s="156">
        <v>3000000.0</v>
      </c>
      <c r="I841" s="156">
        <v>0.0</v>
      </c>
      <c r="J841" s="156">
        <v>0.0</v>
      </c>
    </row>
    <row r="842">
      <c r="A842" s="155">
        <v>44105.0</v>
      </c>
      <c r="B842" s="21" t="s">
        <v>181</v>
      </c>
      <c r="C842" s="21" t="s">
        <v>90</v>
      </c>
      <c r="D842" s="156">
        <v>200000.0</v>
      </c>
      <c r="E842" s="21" t="s">
        <v>202</v>
      </c>
      <c r="F842" s="156">
        <v>0.0</v>
      </c>
      <c r="G842" s="156">
        <v>0.0</v>
      </c>
      <c r="H842" s="156">
        <v>0.0</v>
      </c>
      <c r="I842" s="156">
        <v>0.0</v>
      </c>
      <c r="J842" s="156">
        <v>0.0</v>
      </c>
    </row>
    <row r="843">
      <c r="A843" s="155">
        <v>44105.0</v>
      </c>
      <c r="B843" s="21" t="s">
        <v>110</v>
      </c>
      <c r="C843" s="21" t="s">
        <v>224</v>
      </c>
      <c r="D843" s="156">
        <v>10000.0</v>
      </c>
      <c r="E843" s="21" t="s">
        <v>202</v>
      </c>
      <c r="F843" s="156">
        <v>0.0</v>
      </c>
      <c r="G843" s="156">
        <v>0.0</v>
      </c>
      <c r="H843" s="156">
        <v>0.0</v>
      </c>
      <c r="I843" s="156">
        <v>0.0</v>
      </c>
      <c r="J843" s="156">
        <v>0.0</v>
      </c>
    </row>
    <row r="844">
      <c r="A844" s="155">
        <v>44105.0</v>
      </c>
      <c r="B844" s="21" t="s">
        <v>216</v>
      </c>
      <c r="C844" s="21" t="s">
        <v>322</v>
      </c>
      <c r="D844" s="156">
        <v>180000.0</v>
      </c>
      <c r="E844" s="21" t="s">
        <v>205</v>
      </c>
      <c r="F844" s="156">
        <v>0.0</v>
      </c>
      <c r="G844" s="156">
        <v>180000.0</v>
      </c>
      <c r="H844" s="156">
        <v>0.0</v>
      </c>
      <c r="I844" s="156">
        <v>0.0</v>
      </c>
      <c r="J844" s="156">
        <v>0.0</v>
      </c>
    </row>
    <row r="845">
      <c r="A845" s="155">
        <v>44105.0</v>
      </c>
      <c r="B845" s="21" t="s">
        <v>519</v>
      </c>
      <c r="C845" s="21" t="s">
        <v>390</v>
      </c>
      <c r="D845" s="156">
        <v>10000.0</v>
      </c>
      <c r="E845" s="21" t="s">
        <v>205</v>
      </c>
      <c r="F845" s="156">
        <v>0.0</v>
      </c>
      <c r="G845" s="156">
        <v>10000.0</v>
      </c>
      <c r="H845" s="156">
        <v>0.0</v>
      </c>
      <c r="I845" s="156">
        <v>0.0</v>
      </c>
      <c r="J845" s="156">
        <v>0.0</v>
      </c>
    </row>
    <row r="846">
      <c r="A846" s="155">
        <v>44105.0</v>
      </c>
      <c r="B846" s="21" t="s">
        <v>401</v>
      </c>
      <c r="C846" s="21" t="s">
        <v>251</v>
      </c>
      <c r="D846" s="156">
        <v>25000.0</v>
      </c>
      <c r="E846" s="21" t="s">
        <v>205</v>
      </c>
      <c r="F846" s="156">
        <v>0.0</v>
      </c>
      <c r="G846" s="156">
        <v>25000.0</v>
      </c>
      <c r="H846" s="156">
        <v>0.0</v>
      </c>
      <c r="I846" s="156">
        <v>0.0</v>
      </c>
      <c r="J846" s="156">
        <v>0.0</v>
      </c>
    </row>
    <row r="847">
      <c r="A847" s="155">
        <v>44105.0</v>
      </c>
      <c r="B847" s="21" t="s">
        <v>258</v>
      </c>
      <c r="C847" s="21" t="s">
        <v>520</v>
      </c>
      <c r="D847" s="156">
        <v>5000.0</v>
      </c>
      <c r="E847" s="21" t="s">
        <v>205</v>
      </c>
      <c r="F847" s="156">
        <v>0.0</v>
      </c>
      <c r="G847" s="156">
        <v>5000.0</v>
      </c>
      <c r="H847" s="156">
        <v>0.0</v>
      </c>
      <c r="I847" s="156">
        <v>0.0</v>
      </c>
      <c r="J847" s="156">
        <v>0.0</v>
      </c>
    </row>
    <row r="848">
      <c r="A848" s="155">
        <v>44105.0</v>
      </c>
      <c r="B848" s="21" t="s">
        <v>220</v>
      </c>
      <c r="C848" s="21" t="s">
        <v>390</v>
      </c>
      <c r="D848" s="156">
        <v>5000.0</v>
      </c>
      <c r="E848" s="21" t="s">
        <v>205</v>
      </c>
      <c r="F848" s="156">
        <v>0.0</v>
      </c>
      <c r="G848" s="156">
        <v>5000.0</v>
      </c>
      <c r="H848" s="156">
        <v>0.0</v>
      </c>
      <c r="I848" s="156">
        <v>0.0</v>
      </c>
      <c r="J848" s="156">
        <v>0.0</v>
      </c>
    </row>
    <row r="849">
      <c r="A849" s="155">
        <v>44105.0</v>
      </c>
      <c r="B849" s="21" t="s">
        <v>248</v>
      </c>
      <c r="C849" s="21" t="s">
        <v>409</v>
      </c>
      <c r="D849" s="156">
        <v>8000.0</v>
      </c>
      <c r="E849" s="21" t="s">
        <v>205</v>
      </c>
      <c r="F849" s="156">
        <v>0.0</v>
      </c>
      <c r="G849" s="156">
        <v>8000.0</v>
      </c>
      <c r="H849" s="156">
        <v>0.0</v>
      </c>
      <c r="I849" s="156">
        <v>0.0</v>
      </c>
      <c r="J849" s="156">
        <v>0.0</v>
      </c>
    </row>
    <row r="850">
      <c r="A850" s="155">
        <v>44105.0</v>
      </c>
      <c r="B850" s="21" t="s">
        <v>406</v>
      </c>
      <c r="C850" s="21" t="s">
        <v>382</v>
      </c>
      <c r="D850" s="156">
        <v>30000.0</v>
      </c>
      <c r="E850" s="21" t="s">
        <v>205</v>
      </c>
      <c r="F850" s="156">
        <v>0.0</v>
      </c>
      <c r="G850" s="156">
        <v>30000.0</v>
      </c>
      <c r="H850" s="156">
        <v>0.0</v>
      </c>
      <c r="I850" s="156">
        <v>0.0</v>
      </c>
      <c r="J850" s="156">
        <v>0.0</v>
      </c>
    </row>
    <row r="851">
      <c r="A851" s="155">
        <v>44105.0</v>
      </c>
      <c r="B851" s="21" t="s">
        <v>228</v>
      </c>
      <c r="C851" s="21" t="s">
        <v>223</v>
      </c>
      <c r="D851" s="156">
        <v>314300.0</v>
      </c>
      <c r="E851" s="21" t="s">
        <v>211</v>
      </c>
      <c r="F851" s="156">
        <v>0.0</v>
      </c>
      <c r="G851" s="156">
        <v>0.0</v>
      </c>
      <c r="H851" s="156">
        <v>0.0</v>
      </c>
      <c r="I851" s="156">
        <v>314300.0</v>
      </c>
      <c r="J851" s="156">
        <v>0.0</v>
      </c>
    </row>
    <row r="852">
      <c r="A852" s="155">
        <v>44106.0</v>
      </c>
      <c r="B852" s="21" t="s">
        <v>113</v>
      </c>
      <c r="C852" s="21" t="s">
        <v>90</v>
      </c>
      <c r="D852" s="156">
        <v>1000000.0</v>
      </c>
      <c r="E852" s="21" t="s">
        <v>202</v>
      </c>
      <c r="F852" s="156">
        <v>0.0</v>
      </c>
      <c r="G852" s="156">
        <v>0.0</v>
      </c>
      <c r="H852" s="156">
        <v>0.0</v>
      </c>
      <c r="I852" s="156">
        <v>0.0</v>
      </c>
      <c r="J852" s="156">
        <v>0.0</v>
      </c>
    </row>
    <row r="853">
      <c r="A853" s="155">
        <v>44106.0</v>
      </c>
      <c r="B853" s="21" t="s">
        <v>46</v>
      </c>
      <c r="C853" s="21" t="s">
        <v>90</v>
      </c>
      <c r="D853" s="156">
        <v>1000000.0</v>
      </c>
      <c r="E853" s="21" t="s">
        <v>202</v>
      </c>
      <c r="F853" s="156">
        <v>0.0</v>
      </c>
      <c r="G853" s="156">
        <v>0.0</v>
      </c>
      <c r="H853" s="156">
        <v>0.0</v>
      </c>
      <c r="I853" s="156">
        <v>0.0</v>
      </c>
      <c r="J853" s="156">
        <v>0.0</v>
      </c>
    </row>
    <row r="854">
      <c r="A854" s="155">
        <v>44106.0</v>
      </c>
      <c r="B854" s="21" t="s">
        <v>118</v>
      </c>
      <c r="C854" s="21" t="s">
        <v>90</v>
      </c>
      <c r="D854" s="156">
        <v>20000.0</v>
      </c>
      <c r="E854" s="21" t="s">
        <v>202</v>
      </c>
      <c r="F854" s="156">
        <v>0.0</v>
      </c>
      <c r="G854" s="156">
        <v>0.0</v>
      </c>
      <c r="H854" s="156">
        <v>0.0</v>
      </c>
      <c r="I854" s="156">
        <v>0.0</v>
      </c>
      <c r="J854" s="156">
        <v>0.0</v>
      </c>
    </row>
    <row r="855">
      <c r="A855" s="155">
        <v>44106.0</v>
      </c>
      <c r="B855" s="21" t="s">
        <v>58</v>
      </c>
      <c r="C855" s="21" t="s">
        <v>90</v>
      </c>
      <c r="D855" s="156">
        <v>20000.0</v>
      </c>
      <c r="E855" s="21" t="s">
        <v>202</v>
      </c>
      <c r="F855" s="156">
        <v>0.0</v>
      </c>
      <c r="G855" s="156">
        <v>0.0</v>
      </c>
      <c r="H855" s="156">
        <v>0.0</v>
      </c>
      <c r="I855" s="156">
        <v>0.0</v>
      </c>
      <c r="J855" s="156">
        <v>0.0</v>
      </c>
    </row>
    <row r="856">
      <c r="A856" s="155">
        <v>44106.0</v>
      </c>
      <c r="B856" s="21" t="s">
        <v>216</v>
      </c>
      <c r="C856" s="21" t="s">
        <v>322</v>
      </c>
      <c r="D856" s="156">
        <v>70000.0</v>
      </c>
      <c r="E856" s="21" t="s">
        <v>205</v>
      </c>
      <c r="F856" s="156">
        <v>0.0</v>
      </c>
      <c r="G856" s="156">
        <v>70000.0</v>
      </c>
      <c r="H856" s="156">
        <v>0.0</v>
      </c>
      <c r="I856" s="156">
        <v>0.0</v>
      </c>
      <c r="J856" s="156">
        <v>0.0</v>
      </c>
    </row>
    <row r="857">
      <c r="A857" s="155">
        <v>44106.0</v>
      </c>
      <c r="B857" s="21" t="s">
        <v>328</v>
      </c>
      <c r="C857" s="21" t="s">
        <v>390</v>
      </c>
      <c r="D857" s="156">
        <v>10000.0</v>
      </c>
      <c r="E857" s="21" t="s">
        <v>205</v>
      </c>
      <c r="F857" s="156">
        <v>0.0</v>
      </c>
      <c r="G857" s="156">
        <v>10000.0</v>
      </c>
      <c r="H857" s="156">
        <v>0.0</v>
      </c>
      <c r="I857" s="156">
        <v>0.0</v>
      </c>
      <c r="J857" s="156">
        <v>0.0</v>
      </c>
    </row>
    <row r="858">
      <c r="A858" s="155">
        <v>44106.0</v>
      </c>
      <c r="B858" s="21" t="s">
        <v>401</v>
      </c>
      <c r="C858" s="21" t="s">
        <v>251</v>
      </c>
      <c r="D858" s="156">
        <v>50000.0</v>
      </c>
      <c r="E858" s="21" t="s">
        <v>205</v>
      </c>
      <c r="F858" s="156">
        <v>0.0</v>
      </c>
      <c r="G858" s="156">
        <v>50000.0</v>
      </c>
      <c r="H858" s="156">
        <v>0.0</v>
      </c>
      <c r="I858" s="156">
        <v>0.0</v>
      </c>
      <c r="J858" s="156">
        <v>0.0</v>
      </c>
    </row>
    <row r="859">
      <c r="A859" s="155">
        <v>44106.0</v>
      </c>
      <c r="B859" s="21" t="s">
        <v>350</v>
      </c>
      <c r="C859" s="21" t="s">
        <v>521</v>
      </c>
      <c r="D859" s="156">
        <v>200.0</v>
      </c>
      <c r="E859" s="21" t="s">
        <v>205</v>
      </c>
      <c r="F859" s="156">
        <v>0.0</v>
      </c>
      <c r="G859" s="156">
        <v>200.0</v>
      </c>
      <c r="H859" s="156">
        <v>0.0</v>
      </c>
      <c r="I859" s="156">
        <v>0.0</v>
      </c>
      <c r="J859" s="156">
        <v>0.0</v>
      </c>
    </row>
    <row r="860">
      <c r="A860" s="155">
        <v>44106.0</v>
      </c>
      <c r="B860" s="21" t="s">
        <v>248</v>
      </c>
      <c r="C860" s="21" t="s">
        <v>409</v>
      </c>
      <c r="D860" s="156">
        <v>9000.0</v>
      </c>
      <c r="E860" s="21" t="s">
        <v>205</v>
      </c>
      <c r="F860" s="156">
        <v>0.0</v>
      </c>
      <c r="G860" s="156">
        <v>9000.0</v>
      </c>
      <c r="H860" s="156">
        <v>0.0</v>
      </c>
      <c r="I860" s="156">
        <v>0.0</v>
      </c>
      <c r="J860" s="156">
        <v>0.0</v>
      </c>
    </row>
    <row r="861">
      <c r="A861" s="155">
        <v>44106.0</v>
      </c>
      <c r="B861" s="21" t="s">
        <v>258</v>
      </c>
      <c r="C861" s="21" t="s">
        <v>414</v>
      </c>
      <c r="D861" s="156">
        <v>70000.0</v>
      </c>
      <c r="E861" s="21" t="s">
        <v>205</v>
      </c>
      <c r="F861" s="156">
        <v>0.0</v>
      </c>
      <c r="G861" s="156">
        <v>70000.0</v>
      </c>
      <c r="H861" s="156">
        <v>0.0</v>
      </c>
      <c r="I861" s="156">
        <v>0.0</v>
      </c>
      <c r="J861" s="156">
        <v>0.0</v>
      </c>
    </row>
    <row r="862">
      <c r="A862" s="155">
        <v>44106.0</v>
      </c>
      <c r="B862" s="21" t="s">
        <v>228</v>
      </c>
      <c r="C862" s="21" t="s">
        <v>223</v>
      </c>
      <c r="D862" s="156">
        <v>376700.0</v>
      </c>
      <c r="E862" s="21" t="s">
        <v>211</v>
      </c>
      <c r="F862" s="156">
        <v>0.0</v>
      </c>
      <c r="G862" s="156">
        <v>0.0</v>
      </c>
      <c r="H862" s="156">
        <v>0.0</v>
      </c>
      <c r="I862" s="156">
        <v>376700.0</v>
      </c>
      <c r="J862" s="156">
        <v>0.0</v>
      </c>
    </row>
    <row r="863">
      <c r="A863" s="155">
        <v>44106.0</v>
      </c>
      <c r="B863" s="21" t="s">
        <v>220</v>
      </c>
      <c r="C863" s="21" t="s">
        <v>221</v>
      </c>
      <c r="D863" s="156">
        <v>2050000.0</v>
      </c>
      <c r="E863" s="21" t="s">
        <v>201</v>
      </c>
      <c r="F863" s="156">
        <v>0.0</v>
      </c>
      <c r="G863" s="156">
        <v>0.0</v>
      </c>
      <c r="H863" s="156">
        <v>2050000.0</v>
      </c>
      <c r="I863" s="156">
        <v>0.0</v>
      </c>
      <c r="J863" s="156">
        <v>0.0</v>
      </c>
    </row>
    <row r="864">
      <c r="A864" s="155">
        <v>44107.0</v>
      </c>
      <c r="B864" s="21" t="s">
        <v>146</v>
      </c>
      <c r="C864" s="21" t="s">
        <v>90</v>
      </c>
      <c r="D864" s="156">
        <v>1000000.0</v>
      </c>
      <c r="E864" s="21" t="s">
        <v>202</v>
      </c>
      <c r="F864" s="156">
        <v>0.0</v>
      </c>
      <c r="G864" s="156">
        <v>0.0</v>
      </c>
      <c r="H864" s="156">
        <v>0.0</v>
      </c>
      <c r="I864" s="156">
        <v>0.0</v>
      </c>
      <c r="J864" s="156">
        <v>0.0</v>
      </c>
    </row>
    <row r="865">
      <c r="A865" s="155">
        <v>44107.0</v>
      </c>
      <c r="B865" s="21" t="s">
        <v>117</v>
      </c>
      <c r="C865" s="21" t="s">
        <v>90</v>
      </c>
      <c r="D865" s="156">
        <v>400000.0</v>
      </c>
      <c r="E865" s="21" t="s">
        <v>202</v>
      </c>
      <c r="F865" s="156">
        <v>0.0</v>
      </c>
      <c r="G865" s="156">
        <v>0.0</v>
      </c>
      <c r="H865" s="156">
        <v>0.0</v>
      </c>
      <c r="I865" s="156">
        <v>0.0</v>
      </c>
      <c r="J865" s="156">
        <v>0.0</v>
      </c>
    </row>
    <row r="866">
      <c r="A866" s="155">
        <v>44107.0</v>
      </c>
      <c r="B866" s="21" t="s">
        <v>216</v>
      </c>
      <c r="C866" s="21" t="s">
        <v>505</v>
      </c>
      <c r="D866" s="156">
        <v>1400000.0</v>
      </c>
      <c r="E866" s="21" t="s">
        <v>201</v>
      </c>
      <c r="F866" s="156">
        <v>0.0</v>
      </c>
      <c r="G866" s="156">
        <v>0.0</v>
      </c>
      <c r="H866" s="156">
        <v>1400000.0</v>
      </c>
      <c r="I866" s="156">
        <v>0.0</v>
      </c>
      <c r="J866" s="156">
        <v>0.0</v>
      </c>
    </row>
    <row r="867">
      <c r="A867" s="155">
        <v>44100.0</v>
      </c>
      <c r="B867" s="21" t="s">
        <v>183</v>
      </c>
      <c r="C867" s="21" t="s">
        <v>441</v>
      </c>
      <c r="D867" s="156">
        <v>-1040700.0</v>
      </c>
      <c r="E867" s="21" t="s">
        <v>211</v>
      </c>
      <c r="F867" s="156">
        <v>0.0</v>
      </c>
      <c r="G867" s="156">
        <v>0.0</v>
      </c>
      <c r="H867" s="156">
        <v>0.0</v>
      </c>
      <c r="I867" s="156">
        <v>-1040700.0</v>
      </c>
      <c r="J867" s="156">
        <v>0.0</v>
      </c>
    </row>
    <row r="868">
      <c r="A868" s="155">
        <v>44100.0</v>
      </c>
      <c r="B868" s="21" t="s">
        <v>216</v>
      </c>
      <c r="C868" s="21" t="s">
        <v>441</v>
      </c>
      <c r="D868" s="156">
        <v>1040700.0</v>
      </c>
      <c r="E868" s="21" t="s">
        <v>201</v>
      </c>
      <c r="F868" s="156">
        <v>0.0</v>
      </c>
      <c r="G868" s="156">
        <v>0.0</v>
      </c>
      <c r="H868" s="156">
        <v>1040700.0</v>
      </c>
      <c r="I868" s="156">
        <v>0.0</v>
      </c>
      <c r="J868" s="156">
        <v>0.0</v>
      </c>
    </row>
    <row r="869">
      <c r="A869" s="155">
        <v>44107.0</v>
      </c>
      <c r="B869" s="21" t="s">
        <v>522</v>
      </c>
      <c r="C869" s="21" t="s">
        <v>414</v>
      </c>
      <c r="D869" s="156">
        <v>75000.0</v>
      </c>
      <c r="E869" s="21" t="s">
        <v>205</v>
      </c>
      <c r="F869" s="156">
        <v>0.0</v>
      </c>
      <c r="G869" s="156">
        <v>75000.0</v>
      </c>
      <c r="H869" s="156">
        <v>0.0</v>
      </c>
      <c r="I869" s="156">
        <v>0.0</v>
      </c>
      <c r="J869" s="156">
        <v>0.0</v>
      </c>
    </row>
    <row r="870">
      <c r="A870" s="155">
        <v>44107.0</v>
      </c>
      <c r="B870" s="21" t="s">
        <v>350</v>
      </c>
      <c r="C870" s="21" t="s">
        <v>523</v>
      </c>
      <c r="D870" s="156">
        <v>1000.0</v>
      </c>
      <c r="E870" s="21" t="s">
        <v>205</v>
      </c>
      <c r="F870" s="156">
        <v>0.0</v>
      </c>
      <c r="G870" s="156">
        <v>1000.0</v>
      </c>
      <c r="H870" s="156">
        <v>0.0</v>
      </c>
      <c r="I870" s="156">
        <v>0.0</v>
      </c>
      <c r="J870" s="156">
        <v>0.0</v>
      </c>
    </row>
    <row r="871">
      <c r="A871" s="155">
        <v>44107.0</v>
      </c>
      <c r="B871" s="21" t="s">
        <v>248</v>
      </c>
      <c r="C871" s="21" t="s">
        <v>409</v>
      </c>
      <c r="D871" s="156">
        <v>4500.0</v>
      </c>
      <c r="E871" s="21" t="s">
        <v>205</v>
      </c>
      <c r="F871" s="156">
        <v>0.0</v>
      </c>
      <c r="G871" s="156">
        <v>4500.0</v>
      </c>
      <c r="H871" s="156">
        <v>0.0</v>
      </c>
      <c r="I871" s="156">
        <v>0.0</v>
      </c>
      <c r="J871" s="156">
        <v>0.0</v>
      </c>
    </row>
    <row r="872">
      <c r="A872" s="155">
        <v>44107.0</v>
      </c>
      <c r="B872" s="21" t="s">
        <v>228</v>
      </c>
      <c r="C872" s="21" t="s">
        <v>223</v>
      </c>
      <c r="D872" s="156">
        <v>80500.0</v>
      </c>
      <c r="E872" s="21" t="s">
        <v>211</v>
      </c>
      <c r="F872" s="156">
        <v>0.0</v>
      </c>
      <c r="G872" s="156">
        <v>0.0</v>
      </c>
      <c r="H872" s="156">
        <v>0.0</v>
      </c>
      <c r="I872" s="156">
        <v>80500.0</v>
      </c>
      <c r="J872" s="156">
        <v>0.0</v>
      </c>
    </row>
    <row r="873">
      <c r="A873" s="155">
        <v>44109.0</v>
      </c>
      <c r="B873" s="21" t="s">
        <v>125</v>
      </c>
      <c r="C873" s="21" t="s">
        <v>327</v>
      </c>
      <c r="D873" s="156">
        <v>200000.0</v>
      </c>
      <c r="E873" s="21" t="s">
        <v>202</v>
      </c>
      <c r="F873" s="156">
        <v>0.0</v>
      </c>
      <c r="G873" s="156">
        <v>0.0</v>
      </c>
      <c r="H873" s="156">
        <v>0.0</v>
      </c>
      <c r="I873" s="156">
        <v>0.0</v>
      </c>
      <c r="J873" s="156">
        <v>0.0</v>
      </c>
    </row>
    <row r="874">
      <c r="A874" s="155">
        <v>44109.0</v>
      </c>
      <c r="B874" s="21" t="s">
        <v>46</v>
      </c>
      <c r="C874" s="21" t="s">
        <v>90</v>
      </c>
      <c r="D874" s="156">
        <v>1000000.0</v>
      </c>
      <c r="E874" s="21" t="s">
        <v>202</v>
      </c>
      <c r="F874" s="156">
        <v>0.0</v>
      </c>
      <c r="G874" s="156">
        <v>0.0</v>
      </c>
      <c r="H874" s="156">
        <v>0.0</v>
      </c>
      <c r="I874" s="156">
        <v>0.0</v>
      </c>
      <c r="J874" s="156">
        <v>0.0</v>
      </c>
    </row>
    <row r="875">
      <c r="A875" s="155">
        <v>44109.0</v>
      </c>
      <c r="B875" s="21" t="s">
        <v>182</v>
      </c>
      <c r="C875" s="21" t="s">
        <v>90</v>
      </c>
      <c r="D875" s="156">
        <v>1000000.0</v>
      </c>
      <c r="E875" s="21" t="s">
        <v>202</v>
      </c>
      <c r="F875" s="156">
        <v>0.0</v>
      </c>
      <c r="G875" s="156">
        <v>0.0</v>
      </c>
      <c r="H875" s="156">
        <v>0.0</v>
      </c>
      <c r="I875" s="156">
        <v>0.0</v>
      </c>
      <c r="J875" s="156">
        <v>0.0</v>
      </c>
    </row>
    <row r="876">
      <c r="A876" s="155">
        <v>44109.0</v>
      </c>
      <c r="B876" s="21" t="s">
        <v>113</v>
      </c>
      <c r="C876" s="21" t="s">
        <v>90</v>
      </c>
      <c r="D876" s="156">
        <v>900000.0</v>
      </c>
      <c r="E876" s="21" t="s">
        <v>202</v>
      </c>
      <c r="F876" s="156">
        <v>0.0</v>
      </c>
      <c r="G876" s="156">
        <v>0.0</v>
      </c>
      <c r="H876" s="156">
        <v>0.0</v>
      </c>
      <c r="I876" s="156">
        <v>0.0</v>
      </c>
      <c r="J876" s="156">
        <v>0.0</v>
      </c>
    </row>
    <row r="877">
      <c r="A877" s="155">
        <v>44109.0</v>
      </c>
      <c r="B877" s="21" t="s">
        <v>105</v>
      </c>
      <c r="C877" s="21" t="s">
        <v>450</v>
      </c>
      <c r="D877" s="156">
        <v>50000.0</v>
      </c>
      <c r="E877" s="21" t="s">
        <v>202</v>
      </c>
      <c r="F877" s="156">
        <v>0.0</v>
      </c>
      <c r="G877" s="156">
        <v>0.0</v>
      </c>
      <c r="H877" s="156">
        <v>0.0</v>
      </c>
      <c r="I877" s="156">
        <v>0.0</v>
      </c>
      <c r="J877" s="156">
        <v>0.0</v>
      </c>
    </row>
    <row r="878">
      <c r="A878" s="155">
        <v>44109.0</v>
      </c>
      <c r="B878" s="21" t="s">
        <v>276</v>
      </c>
      <c r="C878" s="21" t="s">
        <v>421</v>
      </c>
      <c r="D878" s="156">
        <v>33200.0</v>
      </c>
      <c r="E878" s="21" t="s">
        <v>205</v>
      </c>
      <c r="F878" s="156">
        <v>0.0</v>
      </c>
      <c r="G878" s="156">
        <v>33200.0</v>
      </c>
      <c r="H878" s="156">
        <v>0.0</v>
      </c>
      <c r="I878" s="156">
        <v>0.0</v>
      </c>
      <c r="J878" s="156">
        <v>0.0</v>
      </c>
    </row>
    <row r="879">
      <c r="A879" s="155">
        <v>44109.0</v>
      </c>
      <c r="B879" s="21" t="s">
        <v>519</v>
      </c>
      <c r="C879" s="21" t="s">
        <v>421</v>
      </c>
      <c r="D879" s="156">
        <v>4000.0</v>
      </c>
      <c r="E879" s="21" t="s">
        <v>205</v>
      </c>
      <c r="F879" s="156">
        <v>0.0</v>
      </c>
      <c r="G879" s="156">
        <v>4000.0</v>
      </c>
      <c r="H879" s="156">
        <v>0.0</v>
      </c>
      <c r="I879" s="156">
        <v>0.0</v>
      </c>
      <c r="J879" s="156">
        <v>0.0</v>
      </c>
    </row>
    <row r="880">
      <c r="A880" s="155">
        <v>44109.0</v>
      </c>
      <c r="B880" s="21" t="s">
        <v>248</v>
      </c>
      <c r="C880" s="21" t="s">
        <v>323</v>
      </c>
      <c r="D880" s="156">
        <v>162500.0</v>
      </c>
      <c r="E880" s="21" t="s">
        <v>205</v>
      </c>
      <c r="F880" s="156">
        <v>0.0</v>
      </c>
      <c r="G880" s="156">
        <v>162500.0</v>
      </c>
      <c r="H880" s="156">
        <v>0.0</v>
      </c>
      <c r="I880" s="156">
        <v>0.0</v>
      </c>
      <c r="J880" s="156">
        <v>0.0</v>
      </c>
    </row>
    <row r="881">
      <c r="A881" s="155">
        <v>44109.0</v>
      </c>
      <c r="B881" s="21" t="s">
        <v>146</v>
      </c>
      <c r="C881" s="21" t="s">
        <v>524</v>
      </c>
      <c r="D881" s="156">
        <v>26000.0</v>
      </c>
      <c r="E881" s="21" t="s">
        <v>205</v>
      </c>
      <c r="F881" s="156">
        <v>0.0</v>
      </c>
      <c r="G881" s="156">
        <v>26000.0</v>
      </c>
      <c r="H881" s="156">
        <v>0.0</v>
      </c>
      <c r="I881" s="156">
        <v>0.0</v>
      </c>
      <c r="J881" s="156">
        <v>0.0</v>
      </c>
    </row>
    <row r="882">
      <c r="A882" s="155">
        <v>44109.0</v>
      </c>
      <c r="B882" s="21" t="s">
        <v>228</v>
      </c>
      <c r="C882" s="21" t="s">
        <v>223</v>
      </c>
      <c r="D882" s="156">
        <v>790000.0</v>
      </c>
      <c r="E882" s="21" t="s">
        <v>211</v>
      </c>
      <c r="F882" s="156">
        <v>0.0</v>
      </c>
      <c r="G882" s="156">
        <v>0.0</v>
      </c>
      <c r="H882" s="156">
        <v>0.0</v>
      </c>
      <c r="I882" s="156">
        <v>790000.0</v>
      </c>
      <c r="J882" s="156">
        <v>0.0</v>
      </c>
    </row>
    <row r="883">
      <c r="A883" s="155">
        <v>44109.0</v>
      </c>
      <c r="B883" s="21" t="s">
        <v>216</v>
      </c>
      <c r="C883" s="21" t="s">
        <v>221</v>
      </c>
      <c r="D883" s="156">
        <v>4900000.0</v>
      </c>
      <c r="E883" s="21" t="s">
        <v>201</v>
      </c>
      <c r="F883" s="156">
        <v>0.0</v>
      </c>
      <c r="G883" s="156">
        <v>0.0</v>
      </c>
      <c r="H883" s="156">
        <v>4900000.0</v>
      </c>
      <c r="I883" s="156">
        <v>0.0</v>
      </c>
      <c r="J883" s="156">
        <v>0.0</v>
      </c>
    </row>
    <row r="884">
      <c r="A884" s="155">
        <v>44109.0</v>
      </c>
      <c r="B884" s="21" t="s">
        <v>216</v>
      </c>
      <c r="C884" s="21" t="s">
        <v>461</v>
      </c>
      <c r="D884" s="156">
        <v>50000.0</v>
      </c>
      <c r="E884" s="21" t="s">
        <v>201</v>
      </c>
      <c r="F884" s="156">
        <v>0.0</v>
      </c>
      <c r="G884" s="156">
        <v>0.0</v>
      </c>
      <c r="H884" s="156">
        <v>50000.0</v>
      </c>
      <c r="I884" s="156">
        <v>0.0</v>
      </c>
      <c r="J884" s="156">
        <v>0.0</v>
      </c>
    </row>
    <row r="885">
      <c r="A885" s="155">
        <v>44100.0</v>
      </c>
      <c r="B885" s="21" t="s">
        <v>183</v>
      </c>
      <c r="C885" s="21" t="s">
        <v>441</v>
      </c>
      <c r="D885" s="156">
        <v>-1040700.0</v>
      </c>
      <c r="E885" s="21" t="s">
        <v>202</v>
      </c>
      <c r="F885" s="156">
        <v>0.0</v>
      </c>
      <c r="G885" s="156">
        <v>0.0</v>
      </c>
      <c r="H885" s="156">
        <v>0.0</v>
      </c>
      <c r="I885" s="156">
        <v>0.0</v>
      </c>
      <c r="J885" s="156">
        <v>0.0</v>
      </c>
    </row>
    <row r="886">
      <c r="A886" s="155">
        <v>44110.0</v>
      </c>
      <c r="B886" s="21" t="s">
        <v>109</v>
      </c>
      <c r="C886" s="21" t="s">
        <v>90</v>
      </c>
      <c r="D886" s="156">
        <v>112000.0</v>
      </c>
      <c r="E886" s="21" t="s">
        <v>202</v>
      </c>
      <c r="F886" s="156">
        <v>0.0</v>
      </c>
      <c r="G886" s="156">
        <v>0.0</v>
      </c>
      <c r="H886" s="156">
        <v>0.0</v>
      </c>
      <c r="I886" s="156">
        <v>0.0</v>
      </c>
      <c r="J886" s="156">
        <v>0.0</v>
      </c>
    </row>
    <row r="887">
      <c r="A887" s="155">
        <v>44110.0</v>
      </c>
      <c r="B887" s="21" t="s">
        <v>156</v>
      </c>
      <c r="C887" s="21" t="s">
        <v>90</v>
      </c>
      <c r="D887" s="156">
        <v>500000.0</v>
      </c>
      <c r="E887" s="21" t="s">
        <v>202</v>
      </c>
      <c r="F887" s="156">
        <v>0.0</v>
      </c>
      <c r="G887" s="156">
        <v>0.0</v>
      </c>
      <c r="H887" s="156">
        <v>0.0</v>
      </c>
      <c r="I887" s="156">
        <v>0.0</v>
      </c>
      <c r="J887" s="156">
        <v>0.0</v>
      </c>
    </row>
    <row r="888">
      <c r="A888" s="155">
        <v>44110.0</v>
      </c>
      <c r="B888" s="21" t="s">
        <v>126</v>
      </c>
      <c r="C888" s="21" t="s">
        <v>90</v>
      </c>
      <c r="D888" s="156">
        <v>780000.0</v>
      </c>
      <c r="E888" s="21" t="s">
        <v>202</v>
      </c>
      <c r="F888" s="156">
        <v>0.0</v>
      </c>
      <c r="G888" s="156">
        <v>0.0</v>
      </c>
      <c r="H888" s="156">
        <v>0.0</v>
      </c>
      <c r="I888" s="156">
        <v>0.0</v>
      </c>
      <c r="J888" s="156">
        <v>0.0</v>
      </c>
    </row>
    <row r="889">
      <c r="A889" s="155">
        <v>44110.0</v>
      </c>
      <c r="B889" s="21" t="s">
        <v>159</v>
      </c>
      <c r="C889" s="21" t="s">
        <v>90</v>
      </c>
      <c r="D889" s="156">
        <v>500000.0</v>
      </c>
      <c r="E889" s="21" t="s">
        <v>202</v>
      </c>
      <c r="F889" s="156">
        <v>0.0</v>
      </c>
      <c r="G889" s="156">
        <v>0.0</v>
      </c>
      <c r="H889" s="156">
        <v>0.0</v>
      </c>
      <c r="I889" s="156">
        <v>0.0</v>
      </c>
      <c r="J889" s="156">
        <v>0.0</v>
      </c>
    </row>
    <row r="890">
      <c r="A890" s="155">
        <v>44110.0</v>
      </c>
      <c r="B890" s="21" t="s">
        <v>169</v>
      </c>
      <c r="C890" s="21" t="s">
        <v>90</v>
      </c>
      <c r="D890" s="156">
        <v>500000.0</v>
      </c>
      <c r="E890" s="21" t="s">
        <v>202</v>
      </c>
      <c r="F890" s="156">
        <v>0.0</v>
      </c>
      <c r="G890" s="156">
        <v>0.0</v>
      </c>
      <c r="H890" s="156">
        <v>0.0</v>
      </c>
      <c r="I890" s="156">
        <v>0.0</v>
      </c>
      <c r="J890" s="156">
        <v>0.0</v>
      </c>
    </row>
    <row r="891">
      <c r="A891" s="155">
        <v>44110.0</v>
      </c>
      <c r="B891" s="21" t="s">
        <v>124</v>
      </c>
      <c r="C891" s="21" t="s">
        <v>90</v>
      </c>
      <c r="D891" s="156">
        <v>400000.0</v>
      </c>
      <c r="E891" s="21" t="s">
        <v>202</v>
      </c>
      <c r="F891" s="156">
        <v>0.0</v>
      </c>
      <c r="G891" s="156">
        <v>0.0</v>
      </c>
      <c r="H891" s="156">
        <v>0.0</v>
      </c>
      <c r="I891" s="156">
        <v>0.0</v>
      </c>
      <c r="J891" s="156">
        <v>0.0</v>
      </c>
    </row>
    <row r="892">
      <c r="A892" s="155">
        <v>44110.0</v>
      </c>
      <c r="B892" s="21" t="s">
        <v>45</v>
      </c>
      <c r="C892" s="21" t="s">
        <v>224</v>
      </c>
      <c r="D892" s="156">
        <v>23000.0</v>
      </c>
      <c r="E892" s="21" t="s">
        <v>202</v>
      </c>
      <c r="F892" s="156">
        <v>0.0</v>
      </c>
      <c r="G892" s="156">
        <v>0.0</v>
      </c>
      <c r="H892" s="156">
        <v>0.0</v>
      </c>
      <c r="I892" s="156">
        <v>0.0</v>
      </c>
      <c r="J892" s="156">
        <v>0.0</v>
      </c>
    </row>
    <row r="893">
      <c r="A893" s="155">
        <v>44110.0</v>
      </c>
      <c r="B893" s="21" t="s">
        <v>519</v>
      </c>
      <c r="C893" s="21" t="s">
        <v>251</v>
      </c>
      <c r="D893" s="156">
        <v>50000.0</v>
      </c>
      <c r="E893" s="21" t="s">
        <v>205</v>
      </c>
      <c r="F893" s="156">
        <v>0.0</v>
      </c>
      <c r="G893" s="156">
        <v>50000.0</v>
      </c>
      <c r="H893" s="156">
        <v>0.0</v>
      </c>
      <c r="I893" s="156">
        <v>0.0</v>
      </c>
      <c r="J893" s="156">
        <v>0.0</v>
      </c>
    </row>
    <row r="894">
      <c r="A894" s="155">
        <v>44110.0</v>
      </c>
      <c r="B894" s="21" t="s">
        <v>525</v>
      </c>
      <c r="C894" s="21" t="s">
        <v>224</v>
      </c>
      <c r="D894" s="156">
        <v>36000.0</v>
      </c>
      <c r="E894" s="21" t="s">
        <v>205</v>
      </c>
      <c r="F894" s="156">
        <v>0.0</v>
      </c>
      <c r="G894" s="156">
        <v>36000.0</v>
      </c>
      <c r="H894" s="156">
        <v>0.0</v>
      </c>
      <c r="I894" s="156">
        <v>0.0</v>
      </c>
      <c r="J894" s="156">
        <v>0.0</v>
      </c>
    </row>
    <row r="895">
      <c r="A895" s="155">
        <v>44110.0</v>
      </c>
      <c r="B895" s="21" t="s">
        <v>376</v>
      </c>
      <c r="C895" s="21" t="s">
        <v>414</v>
      </c>
      <c r="D895" s="156">
        <v>75000.0</v>
      </c>
      <c r="E895" s="21" t="s">
        <v>205</v>
      </c>
      <c r="F895" s="156">
        <v>0.0</v>
      </c>
      <c r="G895" s="156">
        <v>75000.0</v>
      </c>
      <c r="H895" s="156">
        <v>0.0</v>
      </c>
      <c r="I895" s="156">
        <v>0.0</v>
      </c>
      <c r="J895" s="156">
        <v>0.0</v>
      </c>
    </row>
    <row r="896">
      <c r="A896" s="155">
        <v>44110.0</v>
      </c>
      <c r="B896" s="21" t="s">
        <v>289</v>
      </c>
      <c r="C896" s="21" t="s">
        <v>251</v>
      </c>
      <c r="D896" s="156">
        <v>55000.0</v>
      </c>
      <c r="E896" s="21" t="s">
        <v>205</v>
      </c>
      <c r="F896" s="156">
        <v>0.0</v>
      </c>
      <c r="G896" s="156">
        <v>55000.0</v>
      </c>
      <c r="H896" s="156">
        <v>0.0</v>
      </c>
      <c r="I896" s="156">
        <v>0.0</v>
      </c>
      <c r="J896" s="156">
        <v>0.0</v>
      </c>
    </row>
    <row r="897">
      <c r="A897" s="155">
        <v>44110.0</v>
      </c>
      <c r="B897" s="21" t="s">
        <v>378</v>
      </c>
      <c r="C897" s="21" t="s">
        <v>462</v>
      </c>
      <c r="D897" s="156">
        <v>380000.0</v>
      </c>
      <c r="E897" s="21" t="s">
        <v>205</v>
      </c>
      <c r="F897" s="156">
        <v>0.0</v>
      </c>
      <c r="G897" s="156">
        <v>380000.0</v>
      </c>
      <c r="H897" s="156">
        <v>0.0</v>
      </c>
      <c r="I897" s="156">
        <v>0.0</v>
      </c>
      <c r="J897" s="156">
        <v>0.0</v>
      </c>
    </row>
    <row r="898">
      <c r="A898" s="155">
        <v>44110.0</v>
      </c>
      <c r="B898" s="21" t="s">
        <v>395</v>
      </c>
      <c r="C898" s="21" t="s">
        <v>224</v>
      </c>
      <c r="D898" s="156">
        <v>100000.0</v>
      </c>
      <c r="E898" s="21" t="s">
        <v>205</v>
      </c>
      <c r="F898" s="156">
        <v>0.0</v>
      </c>
      <c r="G898" s="156">
        <v>100000.0</v>
      </c>
      <c r="H898" s="156">
        <v>0.0</v>
      </c>
      <c r="I898" s="156">
        <v>0.0</v>
      </c>
      <c r="J898" s="156">
        <v>0.0</v>
      </c>
    </row>
    <row r="899">
      <c r="A899" s="155">
        <v>44110.0</v>
      </c>
      <c r="B899" s="21" t="s">
        <v>220</v>
      </c>
      <c r="C899" s="21" t="s">
        <v>290</v>
      </c>
      <c r="D899" s="156">
        <v>27500.0</v>
      </c>
      <c r="E899" s="21" t="s">
        <v>205</v>
      </c>
      <c r="F899" s="156">
        <v>0.0</v>
      </c>
      <c r="G899" s="156">
        <v>27500.0</v>
      </c>
      <c r="H899" s="156">
        <v>0.0</v>
      </c>
      <c r="I899" s="156">
        <v>0.0</v>
      </c>
      <c r="J899" s="156">
        <v>0.0</v>
      </c>
    </row>
    <row r="900">
      <c r="A900" s="155">
        <v>44110.0</v>
      </c>
      <c r="B900" s="21" t="s">
        <v>228</v>
      </c>
      <c r="C900" s="21" t="s">
        <v>526</v>
      </c>
      <c r="D900" s="156">
        <v>200.0</v>
      </c>
      <c r="E900" s="21" t="s">
        <v>205</v>
      </c>
      <c r="F900" s="156">
        <v>0.0</v>
      </c>
      <c r="G900" s="156">
        <v>200.0</v>
      </c>
      <c r="H900" s="156">
        <v>0.0</v>
      </c>
      <c r="I900" s="156">
        <v>0.0</v>
      </c>
      <c r="J900" s="156">
        <v>0.0</v>
      </c>
    </row>
    <row r="901">
      <c r="A901" s="155">
        <v>44110.0</v>
      </c>
      <c r="B901" s="21" t="s">
        <v>131</v>
      </c>
      <c r="C901" s="21" t="s">
        <v>251</v>
      </c>
      <c r="D901" s="156">
        <v>15000.0</v>
      </c>
      <c r="E901" s="21" t="s">
        <v>205</v>
      </c>
      <c r="F901" s="156">
        <v>0.0</v>
      </c>
      <c r="G901" s="156">
        <v>15000.0</v>
      </c>
      <c r="H901" s="156">
        <v>0.0</v>
      </c>
      <c r="I901" s="156">
        <v>0.0</v>
      </c>
      <c r="J901" s="156">
        <v>0.0</v>
      </c>
    </row>
    <row r="902">
      <c r="A902" s="155">
        <v>44110.0</v>
      </c>
      <c r="B902" s="21" t="s">
        <v>401</v>
      </c>
      <c r="C902" s="21" t="s">
        <v>251</v>
      </c>
      <c r="D902" s="156">
        <v>70000.0</v>
      </c>
      <c r="E902" s="21" t="s">
        <v>205</v>
      </c>
      <c r="F902" s="156">
        <v>0.0</v>
      </c>
      <c r="G902" s="156">
        <v>70000.0</v>
      </c>
      <c r="H902" s="156">
        <v>0.0</v>
      </c>
      <c r="I902" s="156">
        <v>0.0</v>
      </c>
      <c r="J902" s="156">
        <v>0.0</v>
      </c>
    </row>
    <row r="903">
      <c r="A903" s="155">
        <v>44110.0</v>
      </c>
      <c r="B903" s="21" t="s">
        <v>276</v>
      </c>
      <c r="C903" s="21" t="s">
        <v>421</v>
      </c>
      <c r="D903" s="156">
        <v>16600.0</v>
      </c>
      <c r="E903" s="21" t="s">
        <v>205</v>
      </c>
      <c r="F903" s="156">
        <v>0.0</v>
      </c>
      <c r="G903" s="156">
        <v>16600.0</v>
      </c>
      <c r="H903" s="156">
        <v>0.0</v>
      </c>
      <c r="I903" s="156">
        <v>0.0</v>
      </c>
      <c r="J903" s="156">
        <v>0.0</v>
      </c>
    </row>
    <row r="904">
      <c r="A904" s="155">
        <v>44110.0</v>
      </c>
      <c r="B904" s="21" t="s">
        <v>248</v>
      </c>
      <c r="C904" s="21" t="s">
        <v>409</v>
      </c>
      <c r="D904" s="156">
        <v>5500.0</v>
      </c>
      <c r="E904" s="21" t="s">
        <v>205</v>
      </c>
      <c r="F904" s="156">
        <v>0.0</v>
      </c>
      <c r="G904" s="156">
        <v>5500.0</v>
      </c>
      <c r="H904" s="156">
        <v>0.0</v>
      </c>
      <c r="I904" s="156">
        <v>0.0</v>
      </c>
      <c r="J904" s="156">
        <v>0.0</v>
      </c>
    </row>
    <row r="905">
      <c r="A905" s="155">
        <v>44110.0</v>
      </c>
      <c r="B905" s="21" t="s">
        <v>222</v>
      </c>
      <c r="C905" s="21" t="s">
        <v>223</v>
      </c>
      <c r="D905" s="156">
        <v>1087400.0</v>
      </c>
      <c r="E905" s="21" t="s">
        <v>211</v>
      </c>
      <c r="F905" s="156">
        <v>0.0</v>
      </c>
      <c r="G905" s="156">
        <v>0.0</v>
      </c>
      <c r="H905" s="156">
        <v>0.0</v>
      </c>
      <c r="I905" s="156">
        <v>1087400.0</v>
      </c>
      <c r="J905" s="156">
        <v>0.0</v>
      </c>
    </row>
    <row r="906">
      <c r="A906" s="155">
        <v>44110.0</v>
      </c>
      <c r="B906" s="21" t="s">
        <v>216</v>
      </c>
      <c r="C906" s="21" t="s">
        <v>221</v>
      </c>
      <c r="D906" s="156">
        <v>3000000.0</v>
      </c>
      <c r="E906" s="21" t="s">
        <v>201</v>
      </c>
      <c r="F906" s="156">
        <v>0.0</v>
      </c>
      <c r="G906" s="156">
        <v>0.0</v>
      </c>
      <c r="H906" s="156">
        <v>3000000.0</v>
      </c>
      <c r="I906" s="156">
        <v>0.0</v>
      </c>
      <c r="J906" s="156">
        <v>0.0</v>
      </c>
    </row>
    <row r="907">
      <c r="A907" s="155">
        <v>44111.0</v>
      </c>
      <c r="B907" s="21" t="s">
        <v>519</v>
      </c>
      <c r="C907" s="21" t="s">
        <v>527</v>
      </c>
      <c r="D907" s="156">
        <v>8100.0</v>
      </c>
      <c r="E907" s="21" t="s">
        <v>205</v>
      </c>
      <c r="F907" s="156">
        <v>0.0</v>
      </c>
      <c r="G907" s="156">
        <v>8100.0</v>
      </c>
      <c r="H907" s="156">
        <v>0.0</v>
      </c>
      <c r="I907" s="156">
        <v>0.0</v>
      </c>
      <c r="J907" s="156">
        <v>0.0</v>
      </c>
    </row>
    <row r="908">
      <c r="A908" s="155">
        <v>44111.0</v>
      </c>
      <c r="B908" s="21" t="s">
        <v>528</v>
      </c>
      <c r="C908" s="21" t="s">
        <v>430</v>
      </c>
      <c r="D908" s="156">
        <v>6500.0</v>
      </c>
      <c r="E908" s="21" t="s">
        <v>205</v>
      </c>
      <c r="F908" s="156">
        <v>0.0</v>
      </c>
      <c r="G908" s="156">
        <v>6500.0</v>
      </c>
      <c r="H908" s="156">
        <v>0.0</v>
      </c>
      <c r="I908" s="156">
        <v>0.0</v>
      </c>
      <c r="J908" s="156">
        <v>0.0</v>
      </c>
    </row>
    <row r="909">
      <c r="A909" s="155">
        <v>44111.0</v>
      </c>
      <c r="B909" s="21" t="s">
        <v>529</v>
      </c>
      <c r="C909" s="21" t="s">
        <v>224</v>
      </c>
      <c r="D909" s="156">
        <v>11000.0</v>
      </c>
      <c r="E909" s="21" t="s">
        <v>205</v>
      </c>
      <c r="F909" s="156">
        <v>0.0</v>
      </c>
      <c r="G909" s="156">
        <v>11000.0</v>
      </c>
      <c r="H909" s="156">
        <v>0.0</v>
      </c>
      <c r="I909" s="156">
        <v>0.0</v>
      </c>
      <c r="J909" s="156">
        <v>0.0</v>
      </c>
    </row>
    <row r="910">
      <c r="A910" s="155">
        <v>44111.0</v>
      </c>
      <c r="B910" s="21" t="s">
        <v>530</v>
      </c>
      <c r="C910" s="21" t="s">
        <v>409</v>
      </c>
      <c r="D910" s="156">
        <v>5000.0</v>
      </c>
      <c r="E910" s="21" t="s">
        <v>205</v>
      </c>
      <c r="F910" s="156">
        <v>0.0</v>
      </c>
      <c r="G910" s="156">
        <v>5000.0</v>
      </c>
      <c r="H910" s="156">
        <v>0.0</v>
      </c>
      <c r="I910" s="156">
        <v>0.0</v>
      </c>
      <c r="J910" s="156">
        <v>0.0</v>
      </c>
    </row>
    <row r="911">
      <c r="A911" s="155">
        <v>44111.0</v>
      </c>
      <c r="B911" s="21" t="s">
        <v>401</v>
      </c>
      <c r="C911" s="21" t="s">
        <v>251</v>
      </c>
      <c r="D911" s="156">
        <v>20000.0</v>
      </c>
      <c r="E911" s="21" t="s">
        <v>205</v>
      </c>
      <c r="F911" s="156">
        <v>0.0</v>
      </c>
      <c r="G911" s="156">
        <v>20000.0</v>
      </c>
      <c r="H911" s="156">
        <v>0.0</v>
      </c>
      <c r="I911" s="156">
        <v>0.0</v>
      </c>
      <c r="J911" s="156">
        <v>0.0</v>
      </c>
    </row>
    <row r="912">
      <c r="A912" s="155">
        <v>44111.0</v>
      </c>
      <c r="B912" s="21" t="s">
        <v>248</v>
      </c>
      <c r="C912" s="21" t="s">
        <v>409</v>
      </c>
      <c r="D912" s="156">
        <v>3500.0</v>
      </c>
      <c r="E912" s="21" t="s">
        <v>205</v>
      </c>
      <c r="F912" s="156">
        <v>0.0</v>
      </c>
      <c r="G912" s="156">
        <v>3500.0</v>
      </c>
      <c r="H912" s="156">
        <v>0.0</v>
      </c>
      <c r="I912" s="156">
        <v>0.0</v>
      </c>
      <c r="J912" s="156">
        <v>0.0</v>
      </c>
    </row>
    <row r="913">
      <c r="A913" s="155">
        <v>44111.0</v>
      </c>
      <c r="B913" s="21" t="s">
        <v>289</v>
      </c>
      <c r="C913" s="21" t="s">
        <v>390</v>
      </c>
      <c r="D913" s="156">
        <v>10000.0</v>
      </c>
      <c r="E913" s="21" t="s">
        <v>205</v>
      </c>
      <c r="F913" s="156">
        <v>0.0</v>
      </c>
      <c r="G913" s="156">
        <v>10000.0</v>
      </c>
      <c r="H913" s="156">
        <v>0.0</v>
      </c>
      <c r="I913" s="156">
        <v>0.0</v>
      </c>
      <c r="J913" s="156">
        <v>0.0</v>
      </c>
    </row>
    <row r="914">
      <c r="A914" s="155">
        <v>44111.0</v>
      </c>
      <c r="B914" s="21" t="s">
        <v>109</v>
      </c>
      <c r="C914" s="21" t="s">
        <v>90</v>
      </c>
      <c r="D914" s="156">
        <v>50000.0</v>
      </c>
      <c r="E914" s="21" t="s">
        <v>202</v>
      </c>
      <c r="F914" s="156">
        <v>0.0</v>
      </c>
      <c r="G914" s="156">
        <v>0.0</v>
      </c>
      <c r="H914" s="156">
        <v>0.0</v>
      </c>
      <c r="I914" s="156">
        <v>0.0</v>
      </c>
      <c r="J914" s="156">
        <v>0.0</v>
      </c>
    </row>
    <row r="915">
      <c r="A915" s="155">
        <v>44111.0</v>
      </c>
      <c r="B915" s="21" t="s">
        <v>74</v>
      </c>
      <c r="C915" s="21" t="s">
        <v>90</v>
      </c>
      <c r="D915" s="156">
        <v>300000.0</v>
      </c>
      <c r="E915" s="21" t="s">
        <v>202</v>
      </c>
      <c r="F915" s="156">
        <v>0.0</v>
      </c>
      <c r="G915" s="156">
        <v>0.0</v>
      </c>
      <c r="H915" s="156">
        <v>0.0</v>
      </c>
      <c r="I915" s="156">
        <v>0.0</v>
      </c>
      <c r="J915" s="156">
        <v>0.0</v>
      </c>
    </row>
    <row r="916">
      <c r="A916" s="155">
        <v>44111.0</v>
      </c>
      <c r="B916" s="21" t="s">
        <v>110</v>
      </c>
      <c r="C916" s="21" t="s">
        <v>90</v>
      </c>
      <c r="D916" s="156">
        <v>4000000.0</v>
      </c>
      <c r="E916" s="21" t="s">
        <v>202</v>
      </c>
      <c r="F916" s="156">
        <v>0.0</v>
      </c>
      <c r="G916" s="156">
        <v>0.0</v>
      </c>
      <c r="H916" s="156">
        <v>0.0</v>
      </c>
      <c r="I916" s="156">
        <v>0.0</v>
      </c>
      <c r="J916" s="156">
        <v>0.0</v>
      </c>
    </row>
    <row r="917">
      <c r="A917" s="155">
        <v>44111.0</v>
      </c>
      <c r="B917" s="21" t="s">
        <v>150</v>
      </c>
      <c r="C917" s="21" t="s">
        <v>90</v>
      </c>
      <c r="D917" s="156">
        <v>620000.0</v>
      </c>
      <c r="E917" s="21" t="s">
        <v>202</v>
      </c>
      <c r="F917" s="156">
        <v>0.0</v>
      </c>
      <c r="G917" s="156">
        <v>0.0</v>
      </c>
      <c r="H917" s="156">
        <v>0.0</v>
      </c>
      <c r="I917" s="156">
        <v>0.0</v>
      </c>
      <c r="J917" s="156">
        <v>0.0</v>
      </c>
    </row>
    <row r="918">
      <c r="A918" s="155">
        <v>44111.0</v>
      </c>
      <c r="B918" s="21" t="s">
        <v>126</v>
      </c>
      <c r="C918" s="21" t="s">
        <v>90</v>
      </c>
      <c r="D918" s="156">
        <v>1200000.0</v>
      </c>
      <c r="E918" s="21" t="s">
        <v>202</v>
      </c>
      <c r="F918" s="156">
        <v>0.0</v>
      </c>
      <c r="G918" s="156">
        <v>0.0</v>
      </c>
      <c r="H918" s="156">
        <v>0.0</v>
      </c>
      <c r="I918" s="156">
        <v>0.0</v>
      </c>
      <c r="J918" s="156">
        <v>0.0</v>
      </c>
    </row>
    <row r="919">
      <c r="A919" s="155">
        <v>44111.0</v>
      </c>
      <c r="B919" s="21" t="s">
        <v>156</v>
      </c>
      <c r="C919" s="21" t="s">
        <v>90</v>
      </c>
      <c r="D919" s="156">
        <v>900000.0</v>
      </c>
      <c r="E919" s="21" t="s">
        <v>202</v>
      </c>
      <c r="F919" s="156">
        <v>0.0</v>
      </c>
      <c r="G919" s="156">
        <v>0.0</v>
      </c>
      <c r="H919" s="156">
        <v>0.0</v>
      </c>
      <c r="I919" s="156">
        <v>0.0</v>
      </c>
      <c r="J919" s="156">
        <v>0.0</v>
      </c>
    </row>
    <row r="920">
      <c r="A920" s="155">
        <v>44111.0</v>
      </c>
      <c r="B920" s="21" t="s">
        <v>123</v>
      </c>
      <c r="C920" s="21" t="s">
        <v>90</v>
      </c>
      <c r="D920" s="156">
        <v>670000.0</v>
      </c>
      <c r="E920" s="21" t="s">
        <v>202</v>
      </c>
      <c r="F920" s="156">
        <v>0.0</v>
      </c>
      <c r="G920" s="156">
        <v>0.0</v>
      </c>
      <c r="H920" s="156">
        <v>0.0</v>
      </c>
      <c r="I920" s="156">
        <v>0.0</v>
      </c>
      <c r="J920" s="156">
        <v>0.0</v>
      </c>
    </row>
    <row r="921">
      <c r="A921" s="155">
        <v>44111.0</v>
      </c>
      <c r="B921" s="21" t="s">
        <v>180</v>
      </c>
      <c r="C921" s="21" t="s">
        <v>90</v>
      </c>
      <c r="D921" s="156">
        <v>620000.0</v>
      </c>
      <c r="E921" s="21" t="s">
        <v>202</v>
      </c>
      <c r="F921" s="156">
        <v>0.0</v>
      </c>
      <c r="G921" s="156">
        <v>0.0</v>
      </c>
      <c r="H921" s="156">
        <v>0.0</v>
      </c>
      <c r="I921" s="156">
        <v>0.0</v>
      </c>
      <c r="J921" s="156">
        <v>0.0</v>
      </c>
    </row>
    <row r="922">
      <c r="A922" s="155">
        <v>44111.0</v>
      </c>
      <c r="B922" s="21" t="s">
        <v>165</v>
      </c>
      <c r="C922" s="21" t="s">
        <v>90</v>
      </c>
      <c r="D922" s="156">
        <v>1645900.0</v>
      </c>
      <c r="E922" s="21" t="s">
        <v>202</v>
      </c>
      <c r="F922" s="156">
        <v>0.0</v>
      </c>
      <c r="G922" s="156">
        <v>0.0</v>
      </c>
      <c r="H922" s="156">
        <v>0.0</v>
      </c>
      <c r="I922" s="156">
        <v>0.0</v>
      </c>
      <c r="J922" s="156">
        <v>0.0</v>
      </c>
    </row>
    <row r="923">
      <c r="A923" s="155">
        <v>44111.0</v>
      </c>
      <c r="B923" s="21" t="s">
        <v>46</v>
      </c>
      <c r="C923" s="21" t="s">
        <v>90</v>
      </c>
      <c r="D923" s="156">
        <v>1520000.0</v>
      </c>
      <c r="E923" s="21" t="s">
        <v>202</v>
      </c>
      <c r="F923" s="156">
        <v>0.0</v>
      </c>
      <c r="G923" s="156">
        <v>0.0</v>
      </c>
      <c r="H923" s="156">
        <v>0.0</v>
      </c>
      <c r="I923" s="156">
        <v>0.0</v>
      </c>
      <c r="J923" s="156">
        <v>0.0</v>
      </c>
    </row>
    <row r="924">
      <c r="A924" s="155">
        <v>44111.0</v>
      </c>
      <c r="B924" s="21" t="s">
        <v>117</v>
      </c>
      <c r="C924" s="21" t="s">
        <v>90</v>
      </c>
      <c r="D924" s="156">
        <v>1800000.0</v>
      </c>
      <c r="E924" s="21" t="s">
        <v>202</v>
      </c>
      <c r="F924" s="156">
        <v>0.0</v>
      </c>
      <c r="G924" s="156">
        <v>0.0</v>
      </c>
      <c r="H924" s="156">
        <v>0.0</v>
      </c>
      <c r="I924" s="156">
        <v>0.0</v>
      </c>
      <c r="J924" s="156">
        <v>0.0</v>
      </c>
    </row>
    <row r="925">
      <c r="A925" s="155">
        <v>44111.0</v>
      </c>
      <c r="B925" s="21" t="s">
        <v>124</v>
      </c>
      <c r="C925" s="21" t="s">
        <v>327</v>
      </c>
      <c r="D925" s="156">
        <v>661500.0</v>
      </c>
      <c r="E925" s="21" t="s">
        <v>202</v>
      </c>
      <c r="F925" s="156">
        <v>0.0</v>
      </c>
      <c r="G925" s="156">
        <v>0.0</v>
      </c>
      <c r="H925" s="156">
        <v>0.0</v>
      </c>
      <c r="I925" s="156">
        <v>0.0</v>
      </c>
      <c r="J925" s="156">
        <v>0.0</v>
      </c>
    </row>
    <row r="926">
      <c r="A926" s="155">
        <v>44111.0</v>
      </c>
      <c r="B926" s="21" t="s">
        <v>144</v>
      </c>
      <c r="C926" s="21" t="s">
        <v>90</v>
      </c>
      <c r="D926" s="156">
        <v>200000.0</v>
      </c>
      <c r="E926" s="21" t="s">
        <v>202</v>
      </c>
      <c r="F926" s="156">
        <v>0.0</v>
      </c>
      <c r="G926" s="156">
        <v>0.0</v>
      </c>
      <c r="H926" s="156">
        <v>0.0</v>
      </c>
      <c r="I926" s="156">
        <v>0.0</v>
      </c>
      <c r="J926" s="156">
        <v>0.0</v>
      </c>
    </row>
    <row r="927">
      <c r="A927" s="155">
        <v>44111.0</v>
      </c>
      <c r="B927" s="21" t="s">
        <v>110</v>
      </c>
      <c r="C927" s="21" t="s">
        <v>224</v>
      </c>
      <c r="D927" s="156">
        <v>5000.0</v>
      </c>
      <c r="E927" s="21" t="s">
        <v>202</v>
      </c>
      <c r="F927" s="156">
        <v>0.0</v>
      </c>
      <c r="G927" s="156">
        <v>0.0</v>
      </c>
      <c r="H927" s="156">
        <v>0.0</v>
      </c>
      <c r="I927" s="156">
        <v>0.0</v>
      </c>
      <c r="J927" s="156">
        <v>0.0</v>
      </c>
    </row>
    <row r="928">
      <c r="A928" s="155">
        <v>44111.0</v>
      </c>
      <c r="B928" s="21" t="s">
        <v>146</v>
      </c>
      <c r="C928" s="21" t="s">
        <v>90</v>
      </c>
      <c r="D928" s="156">
        <v>3000000.0</v>
      </c>
      <c r="E928" s="21" t="s">
        <v>202</v>
      </c>
      <c r="F928" s="156">
        <v>0.0</v>
      </c>
      <c r="G928" s="156">
        <v>0.0</v>
      </c>
      <c r="H928" s="156">
        <v>0.0</v>
      </c>
      <c r="I928" s="156">
        <v>0.0</v>
      </c>
      <c r="J928" s="156">
        <v>0.0</v>
      </c>
    </row>
    <row r="929">
      <c r="A929" s="155">
        <v>44111.0</v>
      </c>
      <c r="B929" s="21" t="s">
        <v>216</v>
      </c>
      <c r="C929" s="21" t="s">
        <v>221</v>
      </c>
      <c r="D929" s="156">
        <v>3300000.0</v>
      </c>
      <c r="E929" s="21" t="s">
        <v>201</v>
      </c>
      <c r="F929" s="156">
        <v>0.0</v>
      </c>
      <c r="G929" s="156">
        <v>0.0</v>
      </c>
      <c r="H929" s="156">
        <v>3300000.0</v>
      </c>
      <c r="I929" s="156">
        <v>0.0</v>
      </c>
      <c r="J929" s="156">
        <v>0.0</v>
      </c>
    </row>
    <row r="930">
      <c r="A930" s="155">
        <v>44111.0</v>
      </c>
      <c r="B930" s="21" t="s">
        <v>222</v>
      </c>
      <c r="C930" s="21" t="s">
        <v>223</v>
      </c>
      <c r="D930" s="156">
        <v>478600.0</v>
      </c>
      <c r="E930" s="21" t="s">
        <v>211</v>
      </c>
      <c r="F930" s="156">
        <v>0.0</v>
      </c>
      <c r="G930" s="156">
        <v>0.0</v>
      </c>
      <c r="H930" s="156">
        <v>0.0</v>
      </c>
      <c r="I930" s="156">
        <v>478600.0</v>
      </c>
      <c r="J930" s="156">
        <v>0.0</v>
      </c>
    </row>
    <row r="931">
      <c r="A931" s="155">
        <v>44111.0</v>
      </c>
      <c r="B931" s="21" t="s">
        <v>216</v>
      </c>
      <c r="C931" s="21" t="s">
        <v>221</v>
      </c>
      <c r="D931" s="156">
        <v>1.47E7</v>
      </c>
      <c r="E931" s="21" t="s">
        <v>201</v>
      </c>
      <c r="F931" s="156">
        <v>0.0</v>
      </c>
      <c r="G931" s="156">
        <v>0.0</v>
      </c>
      <c r="H931" s="156">
        <v>1.47E7</v>
      </c>
      <c r="I931" s="156">
        <v>0.0</v>
      </c>
      <c r="J931" s="156">
        <v>0.0</v>
      </c>
    </row>
    <row r="932">
      <c r="A932" s="155">
        <v>44112.0</v>
      </c>
      <c r="B932" s="21" t="s">
        <v>184</v>
      </c>
      <c r="C932" s="21" t="s">
        <v>90</v>
      </c>
      <c r="D932" s="156">
        <v>200000.0</v>
      </c>
      <c r="E932" s="21" t="s">
        <v>202</v>
      </c>
      <c r="F932" s="156">
        <v>0.0</v>
      </c>
      <c r="G932" s="156">
        <v>0.0</v>
      </c>
      <c r="H932" s="156">
        <v>0.0</v>
      </c>
      <c r="I932" s="156">
        <v>0.0</v>
      </c>
      <c r="J932" s="156">
        <v>0.0</v>
      </c>
    </row>
    <row r="933">
      <c r="A933" s="155">
        <v>44112.0</v>
      </c>
      <c r="B933" s="21" t="s">
        <v>58</v>
      </c>
      <c r="C933" s="21" t="s">
        <v>90</v>
      </c>
      <c r="D933" s="156">
        <v>16500.0</v>
      </c>
      <c r="E933" s="21" t="s">
        <v>202</v>
      </c>
      <c r="F933" s="156">
        <v>0.0</v>
      </c>
      <c r="G933" s="156">
        <v>0.0</v>
      </c>
      <c r="H933" s="156">
        <v>0.0</v>
      </c>
      <c r="I933" s="156">
        <v>0.0</v>
      </c>
      <c r="J933" s="156">
        <v>0.0</v>
      </c>
    </row>
    <row r="934">
      <c r="A934" s="155">
        <v>44112.0</v>
      </c>
      <c r="B934" s="21" t="s">
        <v>139</v>
      </c>
      <c r="C934" s="21" t="s">
        <v>200</v>
      </c>
      <c r="D934" s="156">
        <v>10000.0</v>
      </c>
      <c r="E934" s="21" t="s">
        <v>202</v>
      </c>
      <c r="F934" s="156">
        <v>0.0</v>
      </c>
      <c r="G934" s="156">
        <v>0.0</v>
      </c>
      <c r="H934" s="156">
        <v>0.0</v>
      </c>
      <c r="I934" s="156">
        <v>0.0</v>
      </c>
      <c r="J934" s="156">
        <v>0.0</v>
      </c>
    </row>
    <row r="935">
      <c r="A935" s="155">
        <v>44112.0</v>
      </c>
      <c r="B935" s="21" t="s">
        <v>164</v>
      </c>
      <c r="C935" s="21" t="s">
        <v>90</v>
      </c>
      <c r="D935" s="156">
        <v>1439300.0</v>
      </c>
      <c r="E935" s="21" t="s">
        <v>202</v>
      </c>
      <c r="F935" s="156">
        <v>0.0</v>
      </c>
      <c r="G935" s="156">
        <v>0.0</v>
      </c>
      <c r="H935" s="156">
        <v>0.0</v>
      </c>
      <c r="I935" s="156">
        <v>0.0</v>
      </c>
      <c r="J935" s="156">
        <v>0.0</v>
      </c>
    </row>
    <row r="936">
      <c r="A936" s="155">
        <v>44112.0</v>
      </c>
      <c r="B936" s="21" t="s">
        <v>120</v>
      </c>
      <c r="C936" s="21" t="s">
        <v>531</v>
      </c>
      <c r="D936" s="156">
        <v>5000.0</v>
      </c>
      <c r="E936" s="21" t="s">
        <v>202</v>
      </c>
      <c r="F936" s="156">
        <v>0.0</v>
      </c>
      <c r="G936" s="156">
        <v>0.0</v>
      </c>
      <c r="H936" s="156">
        <v>0.0</v>
      </c>
      <c r="I936" s="156">
        <v>0.0</v>
      </c>
      <c r="J936" s="156">
        <v>0.0</v>
      </c>
    </row>
    <row r="937">
      <c r="A937" s="155">
        <v>44112.0</v>
      </c>
      <c r="B937" s="21" t="s">
        <v>220</v>
      </c>
      <c r="C937" s="21" t="s">
        <v>481</v>
      </c>
      <c r="D937" s="156">
        <v>200000.0</v>
      </c>
      <c r="E937" s="21" t="s">
        <v>205</v>
      </c>
      <c r="F937" s="156">
        <v>0.0</v>
      </c>
      <c r="G937" s="156">
        <v>200000.0</v>
      </c>
      <c r="H937" s="156">
        <v>0.0</v>
      </c>
      <c r="I937" s="156">
        <v>0.0</v>
      </c>
      <c r="J937" s="156">
        <v>0.0</v>
      </c>
    </row>
    <row r="938">
      <c r="A938" s="155">
        <v>44112.0</v>
      </c>
      <c r="B938" s="21" t="s">
        <v>529</v>
      </c>
      <c r="C938" s="21" t="s">
        <v>224</v>
      </c>
      <c r="D938" s="156">
        <v>14000.0</v>
      </c>
      <c r="E938" s="21" t="s">
        <v>205</v>
      </c>
      <c r="F938" s="156">
        <v>0.0</v>
      </c>
      <c r="G938" s="156">
        <v>14000.0</v>
      </c>
      <c r="H938" s="156">
        <v>0.0</v>
      </c>
      <c r="I938" s="156">
        <v>0.0</v>
      </c>
      <c r="J938" s="156">
        <v>0.0</v>
      </c>
    </row>
    <row r="939">
      <c r="A939" s="155">
        <v>44112.0</v>
      </c>
      <c r="B939" s="21" t="s">
        <v>395</v>
      </c>
      <c r="C939" s="21" t="s">
        <v>532</v>
      </c>
      <c r="D939" s="156">
        <v>41600.0</v>
      </c>
      <c r="E939" s="21" t="s">
        <v>205</v>
      </c>
      <c r="F939" s="156">
        <v>0.0</v>
      </c>
      <c r="G939" s="156">
        <v>41600.0</v>
      </c>
      <c r="H939" s="156">
        <v>0.0</v>
      </c>
      <c r="I939" s="156">
        <v>0.0</v>
      </c>
      <c r="J939" s="156">
        <v>0.0</v>
      </c>
    </row>
    <row r="940">
      <c r="A940" s="155">
        <v>44112.0</v>
      </c>
      <c r="B940" s="21" t="s">
        <v>225</v>
      </c>
      <c r="C940" s="21" t="s">
        <v>533</v>
      </c>
      <c r="D940" s="156">
        <v>7000.0</v>
      </c>
      <c r="E940" s="21" t="s">
        <v>205</v>
      </c>
      <c r="F940" s="156">
        <v>0.0</v>
      </c>
      <c r="G940" s="156">
        <v>7000.0</v>
      </c>
      <c r="H940" s="156">
        <v>0.0</v>
      </c>
      <c r="I940" s="156">
        <v>0.0</v>
      </c>
      <c r="J940" s="156">
        <v>0.0</v>
      </c>
    </row>
    <row r="941">
      <c r="A941" s="155">
        <v>44112.0</v>
      </c>
      <c r="B941" s="21" t="s">
        <v>216</v>
      </c>
      <c r="C941" s="21" t="s">
        <v>534</v>
      </c>
      <c r="D941" s="156">
        <v>20000.0</v>
      </c>
      <c r="E941" s="21" t="s">
        <v>205</v>
      </c>
      <c r="F941" s="156">
        <v>0.0</v>
      </c>
      <c r="G941" s="156">
        <v>20000.0</v>
      </c>
      <c r="H941" s="156">
        <v>0.0</v>
      </c>
      <c r="I941" s="156">
        <v>0.0</v>
      </c>
      <c r="J941" s="156">
        <v>0.0</v>
      </c>
    </row>
    <row r="942">
      <c r="A942" s="155">
        <v>44112.0</v>
      </c>
      <c r="B942" s="21" t="s">
        <v>248</v>
      </c>
      <c r="C942" s="21" t="s">
        <v>409</v>
      </c>
      <c r="D942" s="156">
        <v>8000.0</v>
      </c>
      <c r="E942" s="21" t="s">
        <v>205</v>
      </c>
      <c r="F942" s="156">
        <v>0.0</v>
      </c>
      <c r="G942" s="156">
        <v>8000.0</v>
      </c>
      <c r="H942" s="156">
        <v>0.0</v>
      </c>
      <c r="I942" s="156">
        <v>0.0</v>
      </c>
      <c r="J942" s="156">
        <v>0.0</v>
      </c>
    </row>
    <row r="943">
      <c r="A943" s="155">
        <v>44112.0</v>
      </c>
      <c r="B943" s="21" t="s">
        <v>222</v>
      </c>
      <c r="C943" s="21" t="s">
        <v>223</v>
      </c>
      <c r="D943" s="156">
        <v>420700.0</v>
      </c>
      <c r="E943" s="21" t="s">
        <v>211</v>
      </c>
      <c r="F943" s="156">
        <v>0.0</v>
      </c>
      <c r="G943" s="156">
        <v>0.0</v>
      </c>
      <c r="H943" s="156">
        <v>0.0</v>
      </c>
      <c r="I943" s="156">
        <v>420700.0</v>
      </c>
      <c r="J943" s="156">
        <v>0.0</v>
      </c>
    </row>
    <row r="944">
      <c r="A944" s="155">
        <v>44112.0</v>
      </c>
      <c r="B944" s="21" t="s">
        <v>216</v>
      </c>
      <c r="C944" s="21" t="s">
        <v>221</v>
      </c>
      <c r="D944" s="156">
        <v>4150000.0</v>
      </c>
      <c r="E944" s="21" t="s">
        <v>201</v>
      </c>
      <c r="F944" s="156">
        <v>0.0</v>
      </c>
      <c r="G944" s="156">
        <v>0.0</v>
      </c>
      <c r="H944" s="156">
        <v>4150000.0</v>
      </c>
      <c r="I944" s="156">
        <v>0.0</v>
      </c>
      <c r="J944" s="156">
        <v>0.0</v>
      </c>
    </row>
    <row r="945">
      <c r="A945" s="155">
        <v>44100.0</v>
      </c>
      <c r="B945" s="21" t="s">
        <v>183</v>
      </c>
      <c r="C945" s="21" t="s">
        <v>441</v>
      </c>
      <c r="D945" s="156">
        <v>-2081400.0</v>
      </c>
      <c r="E945" s="21" t="s">
        <v>201</v>
      </c>
      <c r="F945" s="156">
        <v>0.0</v>
      </c>
      <c r="G945" s="156">
        <v>0.0</v>
      </c>
      <c r="H945" s="156">
        <v>-2081400.0</v>
      </c>
      <c r="I945" s="156">
        <v>0.0</v>
      </c>
      <c r="J945" s="156">
        <v>0.0</v>
      </c>
    </row>
    <row r="946">
      <c r="A946" s="155">
        <v>44113.0</v>
      </c>
      <c r="B946" s="21" t="s">
        <v>140</v>
      </c>
      <c r="C946" s="21" t="s">
        <v>90</v>
      </c>
      <c r="D946" s="156">
        <v>400000.0</v>
      </c>
      <c r="E946" s="21" t="s">
        <v>202</v>
      </c>
      <c r="F946" s="156">
        <v>0.0</v>
      </c>
      <c r="G946" s="156">
        <v>0.0</v>
      </c>
      <c r="H946" s="156">
        <v>0.0</v>
      </c>
      <c r="I946" s="156">
        <v>0.0</v>
      </c>
      <c r="J946" s="156">
        <v>0.0</v>
      </c>
    </row>
    <row r="947">
      <c r="A947" s="155">
        <v>44113.0</v>
      </c>
      <c r="B947" s="21" t="s">
        <v>150</v>
      </c>
      <c r="C947" s="21" t="s">
        <v>90</v>
      </c>
      <c r="D947" s="156">
        <v>300000.0</v>
      </c>
      <c r="E947" s="21" t="s">
        <v>202</v>
      </c>
      <c r="F947" s="156">
        <v>0.0</v>
      </c>
      <c r="G947" s="156">
        <v>0.0</v>
      </c>
      <c r="H947" s="156">
        <v>0.0</v>
      </c>
      <c r="I947" s="156">
        <v>0.0</v>
      </c>
      <c r="J947" s="156">
        <v>0.0</v>
      </c>
    </row>
    <row r="948">
      <c r="A948" s="155">
        <v>44113.0</v>
      </c>
      <c r="B948" s="21" t="s">
        <v>172</v>
      </c>
      <c r="C948" s="21" t="s">
        <v>90</v>
      </c>
      <c r="D948" s="156">
        <v>300000.0</v>
      </c>
      <c r="E948" s="21" t="s">
        <v>202</v>
      </c>
      <c r="F948" s="156">
        <v>0.0</v>
      </c>
      <c r="G948" s="156">
        <v>0.0</v>
      </c>
      <c r="H948" s="156">
        <v>0.0</v>
      </c>
      <c r="I948" s="156">
        <v>0.0</v>
      </c>
      <c r="J948" s="156">
        <v>0.0</v>
      </c>
    </row>
    <row r="949">
      <c r="A949" s="155">
        <v>44113.0</v>
      </c>
      <c r="B949" s="21" t="s">
        <v>107</v>
      </c>
      <c r="C949" s="21" t="s">
        <v>90</v>
      </c>
      <c r="D949" s="156">
        <v>250000.0</v>
      </c>
      <c r="E949" s="21" t="s">
        <v>202</v>
      </c>
      <c r="F949" s="156">
        <v>0.0</v>
      </c>
      <c r="G949" s="156">
        <v>0.0</v>
      </c>
      <c r="H949" s="156">
        <v>0.0</v>
      </c>
      <c r="I949" s="156">
        <v>0.0</v>
      </c>
      <c r="J949" s="156">
        <v>0.0</v>
      </c>
    </row>
    <row r="950">
      <c r="A950" s="155">
        <v>44113.0</v>
      </c>
      <c r="B950" s="21" t="s">
        <v>185</v>
      </c>
      <c r="C950" s="21" t="s">
        <v>90</v>
      </c>
      <c r="D950" s="156">
        <v>1200000.0</v>
      </c>
      <c r="E950" s="21" t="s">
        <v>202</v>
      </c>
      <c r="F950" s="156">
        <v>0.0</v>
      </c>
      <c r="G950" s="156">
        <v>0.0</v>
      </c>
      <c r="H950" s="156">
        <v>0.0</v>
      </c>
      <c r="I950" s="156">
        <v>0.0</v>
      </c>
      <c r="J950" s="156">
        <v>0.0</v>
      </c>
    </row>
    <row r="951">
      <c r="A951" s="155">
        <v>44113.0</v>
      </c>
      <c r="B951" s="21" t="s">
        <v>157</v>
      </c>
      <c r="C951" s="21" t="s">
        <v>224</v>
      </c>
      <c r="D951" s="156">
        <v>6000.0</v>
      </c>
      <c r="E951" s="21" t="s">
        <v>202</v>
      </c>
      <c r="F951" s="156">
        <v>0.0</v>
      </c>
      <c r="G951" s="156">
        <v>0.0</v>
      </c>
      <c r="H951" s="156">
        <v>0.0</v>
      </c>
      <c r="I951" s="156">
        <v>0.0</v>
      </c>
      <c r="J951" s="156">
        <v>0.0</v>
      </c>
    </row>
    <row r="952">
      <c r="A952" s="155">
        <v>44113.0</v>
      </c>
      <c r="B952" s="21" t="s">
        <v>107</v>
      </c>
      <c r="C952" s="21" t="s">
        <v>327</v>
      </c>
      <c r="D952" s="156">
        <v>1661000.0</v>
      </c>
      <c r="E952" s="21" t="s">
        <v>202</v>
      </c>
      <c r="F952" s="156">
        <v>0.0</v>
      </c>
      <c r="G952" s="156">
        <v>0.0</v>
      </c>
      <c r="H952" s="156">
        <v>0.0</v>
      </c>
      <c r="I952" s="156">
        <v>0.0</v>
      </c>
      <c r="J952" s="156">
        <v>0.0</v>
      </c>
    </row>
    <row r="953">
      <c r="A953" s="155">
        <v>44113.0</v>
      </c>
      <c r="B953" s="21" t="s">
        <v>186</v>
      </c>
      <c r="C953" s="21" t="s">
        <v>90</v>
      </c>
      <c r="D953" s="156">
        <v>570000.0</v>
      </c>
      <c r="E953" s="21" t="s">
        <v>202</v>
      </c>
      <c r="F953" s="156">
        <v>0.0</v>
      </c>
      <c r="G953" s="156">
        <v>0.0</v>
      </c>
      <c r="H953" s="156">
        <v>0.0</v>
      </c>
      <c r="I953" s="156">
        <v>0.0</v>
      </c>
      <c r="J953" s="156">
        <v>0.0</v>
      </c>
    </row>
    <row r="954">
      <c r="A954" s="155">
        <v>44113.0</v>
      </c>
      <c r="B954" s="21" t="s">
        <v>139</v>
      </c>
      <c r="C954" s="21" t="s">
        <v>327</v>
      </c>
      <c r="D954" s="156">
        <v>1780700.0</v>
      </c>
      <c r="E954" s="21" t="s">
        <v>202</v>
      </c>
      <c r="F954" s="156">
        <v>0.0</v>
      </c>
      <c r="G954" s="156">
        <v>0.0</v>
      </c>
      <c r="H954" s="156">
        <v>0.0</v>
      </c>
      <c r="I954" s="156">
        <v>0.0</v>
      </c>
      <c r="J954" s="156">
        <v>0.0</v>
      </c>
    </row>
    <row r="955">
      <c r="A955" s="155">
        <v>44113.0</v>
      </c>
      <c r="B955" s="21" t="s">
        <v>328</v>
      </c>
      <c r="C955" s="21" t="s">
        <v>290</v>
      </c>
      <c r="D955" s="156">
        <v>10000.0</v>
      </c>
      <c r="E955" s="21" t="s">
        <v>205</v>
      </c>
      <c r="F955" s="156">
        <v>0.0</v>
      </c>
      <c r="G955" s="156">
        <v>10000.0</v>
      </c>
      <c r="H955" s="156">
        <v>0.0</v>
      </c>
      <c r="I955" s="156">
        <v>0.0</v>
      </c>
      <c r="J955" s="156">
        <v>0.0</v>
      </c>
    </row>
    <row r="956">
      <c r="A956" s="155">
        <v>44113.0</v>
      </c>
      <c r="B956" s="21" t="s">
        <v>220</v>
      </c>
      <c r="C956" s="21" t="s">
        <v>390</v>
      </c>
      <c r="D956" s="156">
        <v>5000.0</v>
      </c>
      <c r="E956" s="21" t="s">
        <v>205</v>
      </c>
      <c r="F956" s="156">
        <v>0.0</v>
      </c>
      <c r="G956" s="156">
        <v>5000.0</v>
      </c>
      <c r="H956" s="156">
        <v>0.0</v>
      </c>
      <c r="I956" s="156">
        <v>0.0</v>
      </c>
      <c r="J956" s="156">
        <v>0.0</v>
      </c>
    </row>
    <row r="957">
      <c r="A957" s="155">
        <v>44113.0</v>
      </c>
      <c r="B957" s="21" t="s">
        <v>535</v>
      </c>
      <c r="C957" s="21" t="s">
        <v>251</v>
      </c>
      <c r="D957" s="156">
        <v>5000.0</v>
      </c>
      <c r="E957" s="21" t="s">
        <v>205</v>
      </c>
      <c r="F957" s="156">
        <v>0.0</v>
      </c>
      <c r="G957" s="156">
        <v>5000.0</v>
      </c>
      <c r="H957" s="156">
        <v>0.0</v>
      </c>
      <c r="I957" s="156">
        <v>0.0</v>
      </c>
      <c r="J957" s="156">
        <v>0.0</v>
      </c>
    </row>
    <row r="958">
      <c r="A958" s="155">
        <v>44113.0</v>
      </c>
      <c r="B958" s="21" t="s">
        <v>406</v>
      </c>
      <c r="C958" s="21" t="s">
        <v>382</v>
      </c>
      <c r="D958" s="156">
        <v>30000.0</v>
      </c>
      <c r="E958" s="21" t="s">
        <v>205</v>
      </c>
      <c r="F958" s="156">
        <v>0.0</v>
      </c>
      <c r="G958" s="156">
        <v>30000.0</v>
      </c>
      <c r="H958" s="156">
        <v>0.0</v>
      </c>
      <c r="I958" s="156">
        <v>0.0</v>
      </c>
      <c r="J958" s="156">
        <v>0.0</v>
      </c>
    </row>
    <row r="959">
      <c r="A959" s="155">
        <v>44113.0</v>
      </c>
      <c r="B959" s="21" t="s">
        <v>514</v>
      </c>
      <c r="C959" s="21" t="s">
        <v>450</v>
      </c>
      <c r="D959" s="156">
        <v>240000.0</v>
      </c>
      <c r="E959" s="21" t="s">
        <v>205</v>
      </c>
      <c r="F959" s="156">
        <v>0.0</v>
      </c>
      <c r="G959" s="156">
        <v>240000.0</v>
      </c>
      <c r="H959" s="156">
        <v>0.0</v>
      </c>
      <c r="I959" s="156">
        <v>0.0</v>
      </c>
      <c r="J959" s="156">
        <v>0.0</v>
      </c>
    </row>
    <row r="960">
      <c r="A960" s="155">
        <v>44113.0</v>
      </c>
      <c r="B960" s="21" t="s">
        <v>329</v>
      </c>
      <c r="C960" s="21" t="s">
        <v>526</v>
      </c>
      <c r="D960" s="156">
        <v>200.0</v>
      </c>
      <c r="E960" s="21" t="s">
        <v>205</v>
      </c>
      <c r="F960" s="156">
        <v>0.0</v>
      </c>
      <c r="G960" s="156">
        <v>200.0</v>
      </c>
      <c r="H960" s="156">
        <v>0.0</v>
      </c>
      <c r="I960" s="156">
        <v>0.0</v>
      </c>
      <c r="J960" s="156">
        <v>0.0</v>
      </c>
    </row>
    <row r="961">
      <c r="A961" s="155">
        <v>44113.0</v>
      </c>
      <c r="B961" s="21" t="s">
        <v>248</v>
      </c>
      <c r="C961" s="21" t="s">
        <v>438</v>
      </c>
      <c r="D961" s="156">
        <v>8500.0</v>
      </c>
      <c r="E961" s="21" t="s">
        <v>205</v>
      </c>
      <c r="F961" s="156">
        <v>0.0</v>
      </c>
      <c r="G961" s="156">
        <v>8500.0</v>
      </c>
      <c r="H961" s="156">
        <v>0.0</v>
      </c>
      <c r="I961" s="156">
        <v>0.0</v>
      </c>
      <c r="J961" s="156">
        <v>0.0</v>
      </c>
    </row>
    <row r="962">
      <c r="A962" s="155">
        <v>44113.0</v>
      </c>
      <c r="B962" s="21" t="s">
        <v>258</v>
      </c>
      <c r="C962" s="21" t="s">
        <v>414</v>
      </c>
      <c r="D962" s="156">
        <v>70000.0</v>
      </c>
      <c r="E962" s="21" t="s">
        <v>205</v>
      </c>
      <c r="F962" s="156">
        <v>0.0</v>
      </c>
      <c r="G962" s="156">
        <v>70000.0</v>
      </c>
      <c r="H962" s="156">
        <v>0.0</v>
      </c>
      <c r="I962" s="156">
        <v>0.0</v>
      </c>
      <c r="J962" s="156">
        <v>0.0</v>
      </c>
    </row>
    <row r="963">
      <c r="A963" s="155">
        <v>44113.0</v>
      </c>
      <c r="B963" s="21" t="s">
        <v>222</v>
      </c>
      <c r="C963" s="21" t="s">
        <v>536</v>
      </c>
      <c r="D963" s="156">
        <v>368700.0</v>
      </c>
      <c r="E963" s="21" t="s">
        <v>211</v>
      </c>
      <c r="F963" s="156">
        <v>0.0</v>
      </c>
      <c r="G963" s="156">
        <v>0.0</v>
      </c>
      <c r="H963" s="156">
        <v>0.0</v>
      </c>
      <c r="I963" s="156">
        <v>368700.0</v>
      </c>
      <c r="J963" s="156">
        <v>0.0</v>
      </c>
    </row>
    <row r="964">
      <c r="A964" s="155">
        <v>44113.0</v>
      </c>
      <c r="B964" s="21" t="s">
        <v>216</v>
      </c>
      <c r="C964" s="21" t="s">
        <v>221</v>
      </c>
      <c r="D964" s="156">
        <v>5250000.0</v>
      </c>
      <c r="E964" s="21" t="s">
        <v>201</v>
      </c>
      <c r="F964" s="156">
        <v>0.0</v>
      </c>
      <c r="G964" s="156">
        <v>0.0</v>
      </c>
      <c r="H964" s="156">
        <v>5250000.0</v>
      </c>
      <c r="I964" s="156">
        <v>0.0</v>
      </c>
      <c r="J964" s="156">
        <v>0.0</v>
      </c>
    </row>
    <row r="965">
      <c r="A965" s="155">
        <v>44114.0</v>
      </c>
      <c r="B965" s="21" t="s">
        <v>109</v>
      </c>
      <c r="C965" s="21" t="s">
        <v>537</v>
      </c>
      <c r="D965" s="156">
        <v>800000.0</v>
      </c>
      <c r="E965" s="21" t="s">
        <v>202</v>
      </c>
      <c r="F965" s="156">
        <v>0.0</v>
      </c>
      <c r="G965" s="156">
        <v>0.0</v>
      </c>
      <c r="H965" s="156">
        <v>0.0</v>
      </c>
      <c r="I965" s="156">
        <v>0.0</v>
      </c>
      <c r="J965" s="156">
        <v>0.0</v>
      </c>
    </row>
    <row r="966">
      <c r="A966" s="155">
        <v>44114.0</v>
      </c>
      <c r="B966" s="21" t="s">
        <v>109</v>
      </c>
      <c r="C966" s="21" t="s">
        <v>538</v>
      </c>
      <c r="D966" s="156">
        <v>800000.0</v>
      </c>
      <c r="E966" s="21" t="s">
        <v>202</v>
      </c>
      <c r="F966" s="156">
        <v>0.0</v>
      </c>
      <c r="G966" s="156">
        <v>0.0</v>
      </c>
      <c r="H966" s="156">
        <v>0.0</v>
      </c>
      <c r="I966" s="156">
        <v>0.0</v>
      </c>
      <c r="J966" s="156">
        <v>0.0</v>
      </c>
    </row>
    <row r="967">
      <c r="A967" s="155">
        <v>44114.0</v>
      </c>
      <c r="B967" s="21" t="s">
        <v>120</v>
      </c>
      <c r="C967" s="21" t="s">
        <v>539</v>
      </c>
      <c r="D967" s="156">
        <v>12000.0</v>
      </c>
      <c r="E967" s="21" t="s">
        <v>202</v>
      </c>
      <c r="F967" s="156">
        <v>0.0</v>
      </c>
      <c r="G967" s="156">
        <v>0.0</v>
      </c>
      <c r="H967" s="156">
        <v>0.0</v>
      </c>
      <c r="I967" s="156">
        <v>0.0</v>
      </c>
      <c r="J967" s="156">
        <v>0.0</v>
      </c>
    </row>
    <row r="968">
      <c r="A968" s="155">
        <v>44114.0</v>
      </c>
      <c r="B968" s="21" t="s">
        <v>109</v>
      </c>
      <c r="C968" s="21" t="s">
        <v>540</v>
      </c>
      <c r="D968" s="156">
        <v>800000.0</v>
      </c>
      <c r="E968" s="21" t="s">
        <v>202</v>
      </c>
      <c r="F968" s="156">
        <v>0.0</v>
      </c>
      <c r="G968" s="156">
        <v>0.0</v>
      </c>
      <c r="H968" s="156">
        <v>0.0</v>
      </c>
      <c r="I968" s="156">
        <v>0.0</v>
      </c>
      <c r="J968" s="156">
        <v>0.0</v>
      </c>
    </row>
    <row r="969">
      <c r="A969" s="155">
        <v>44114.0</v>
      </c>
      <c r="B969" s="21" t="s">
        <v>45</v>
      </c>
      <c r="C969" s="21" t="s">
        <v>327</v>
      </c>
      <c r="D969" s="156">
        <v>12000.0</v>
      </c>
      <c r="E969" s="21" t="s">
        <v>202</v>
      </c>
      <c r="F969" s="156">
        <v>0.0</v>
      </c>
      <c r="G969" s="156">
        <v>0.0</v>
      </c>
      <c r="H969" s="156">
        <v>0.0</v>
      </c>
      <c r="I969" s="156">
        <v>0.0</v>
      </c>
      <c r="J969" s="156">
        <v>0.0</v>
      </c>
    </row>
    <row r="970">
      <c r="A970" s="155">
        <v>44114.0</v>
      </c>
      <c r="B970" s="21" t="s">
        <v>519</v>
      </c>
      <c r="C970" s="21" t="s">
        <v>541</v>
      </c>
      <c r="D970" s="156">
        <v>22500.0</v>
      </c>
      <c r="E970" s="21" t="s">
        <v>205</v>
      </c>
      <c r="F970" s="156">
        <v>0.0</v>
      </c>
      <c r="G970" s="156">
        <v>22500.0</v>
      </c>
      <c r="H970" s="156">
        <v>0.0</v>
      </c>
      <c r="I970" s="156">
        <v>0.0</v>
      </c>
      <c r="J970" s="156">
        <v>0.0</v>
      </c>
    </row>
    <row r="971">
      <c r="A971" s="155">
        <v>44114.0</v>
      </c>
      <c r="B971" s="21" t="s">
        <v>216</v>
      </c>
      <c r="C971" s="21" t="s">
        <v>322</v>
      </c>
      <c r="D971" s="156">
        <v>28000.0</v>
      </c>
      <c r="E971" s="21" t="s">
        <v>205</v>
      </c>
      <c r="F971" s="156">
        <v>0.0</v>
      </c>
      <c r="G971" s="156">
        <v>28000.0</v>
      </c>
      <c r="H971" s="156">
        <v>0.0</v>
      </c>
      <c r="I971" s="156">
        <v>0.0</v>
      </c>
      <c r="J971" s="156">
        <v>0.0</v>
      </c>
    </row>
    <row r="972">
      <c r="A972" s="155">
        <v>44114.0</v>
      </c>
      <c r="B972" s="21" t="s">
        <v>529</v>
      </c>
      <c r="C972" s="21" t="s">
        <v>224</v>
      </c>
      <c r="D972" s="156">
        <v>20000.0</v>
      </c>
      <c r="E972" s="21" t="s">
        <v>205</v>
      </c>
      <c r="F972" s="156">
        <v>0.0</v>
      </c>
      <c r="G972" s="156">
        <v>20000.0</v>
      </c>
      <c r="H972" s="156">
        <v>0.0</v>
      </c>
      <c r="I972" s="156">
        <v>0.0</v>
      </c>
      <c r="J972" s="156">
        <v>0.0</v>
      </c>
    </row>
    <row r="973">
      <c r="A973" s="155">
        <v>44114.0</v>
      </c>
      <c r="B973" s="21" t="s">
        <v>276</v>
      </c>
      <c r="C973" s="21" t="s">
        <v>421</v>
      </c>
      <c r="D973" s="156">
        <v>16600.0</v>
      </c>
      <c r="E973" s="21" t="s">
        <v>205</v>
      </c>
      <c r="F973" s="156">
        <v>0.0</v>
      </c>
      <c r="G973" s="156">
        <v>16600.0</v>
      </c>
      <c r="H973" s="156">
        <v>0.0</v>
      </c>
      <c r="I973" s="156">
        <v>0.0</v>
      </c>
      <c r="J973" s="156">
        <v>0.0</v>
      </c>
    </row>
    <row r="974">
      <c r="A974" s="155">
        <v>44114.0</v>
      </c>
      <c r="B974" s="21" t="s">
        <v>183</v>
      </c>
      <c r="C974" s="21" t="s">
        <v>251</v>
      </c>
      <c r="D974" s="156">
        <v>2000.0</v>
      </c>
      <c r="E974" s="21" t="s">
        <v>205</v>
      </c>
      <c r="F974" s="156">
        <v>0.0</v>
      </c>
      <c r="G974" s="156">
        <v>2000.0</v>
      </c>
      <c r="H974" s="156">
        <v>0.0</v>
      </c>
      <c r="I974" s="156">
        <v>0.0</v>
      </c>
      <c r="J974" s="156">
        <v>0.0</v>
      </c>
    </row>
    <row r="975">
      <c r="A975" s="155">
        <v>44114.0</v>
      </c>
      <c r="B975" s="21" t="s">
        <v>542</v>
      </c>
      <c r="C975" s="21" t="s">
        <v>251</v>
      </c>
      <c r="D975" s="156">
        <v>3000.0</v>
      </c>
      <c r="E975" s="21" t="s">
        <v>205</v>
      </c>
      <c r="F975" s="156">
        <v>0.0</v>
      </c>
      <c r="G975" s="156">
        <v>3000.0</v>
      </c>
      <c r="H975" s="156">
        <v>0.0</v>
      </c>
      <c r="I975" s="156">
        <v>0.0</v>
      </c>
      <c r="J975" s="156">
        <v>0.0</v>
      </c>
    </row>
    <row r="976">
      <c r="A976" s="155">
        <v>44114.0</v>
      </c>
      <c r="B976" s="21" t="s">
        <v>516</v>
      </c>
      <c r="C976" s="21" t="s">
        <v>543</v>
      </c>
      <c r="D976" s="156">
        <v>1000.0</v>
      </c>
      <c r="E976" s="21" t="s">
        <v>205</v>
      </c>
      <c r="F976" s="156">
        <v>0.0</v>
      </c>
      <c r="G976" s="156">
        <v>1000.0</v>
      </c>
      <c r="H976" s="156">
        <v>0.0</v>
      </c>
      <c r="I976" s="156">
        <v>0.0</v>
      </c>
      <c r="J976" s="156">
        <v>0.0</v>
      </c>
    </row>
    <row r="977">
      <c r="A977" s="155">
        <v>44114.0</v>
      </c>
      <c r="B977" s="21" t="s">
        <v>248</v>
      </c>
      <c r="C977" s="21" t="s">
        <v>323</v>
      </c>
      <c r="D977" s="156">
        <v>49200.0</v>
      </c>
      <c r="E977" s="21" t="s">
        <v>205</v>
      </c>
      <c r="F977" s="156">
        <v>0.0</v>
      </c>
      <c r="G977" s="156">
        <v>49200.0</v>
      </c>
      <c r="H977" s="156">
        <v>0.0</v>
      </c>
      <c r="I977" s="156">
        <v>0.0</v>
      </c>
      <c r="J977" s="156">
        <v>0.0</v>
      </c>
    </row>
    <row r="978">
      <c r="A978" s="155">
        <v>44114.0</v>
      </c>
      <c r="B978" s="21" t="s">
        <v>522</v>
      </c>
      <c r="C978" s="21" t="s">
        <v>414</v>
      </c>
      <c r="D978" s="156">
        <v>70000.0</v>
      </c>
      <c r="E978" s="21" t="s">
        <v>205</v>
      </c>
      <c r="F978" s="156">
        <v>0.0</v>
      </c>
      <c r="G978" s="156">
        <v>70000.0</v>
      </c>
      <c r="H978" s="156">
        <v>0.0</v>
      </c>
      <c r="I978" s="156">
        <v>0.0</v>
      </c>
      <c r="J978" s="156">
        <v>0.0</v>
      </c>
    </row>
    <row r="979">
      <c r="A979" s="155">
        <v>44114.0</v>
      </c>
      <c r="B979" s="21" t="s">
        <v>222</v>
      </c>
      <c r="C979" s="21" t="s">
        <v>223</v>
      </c>
      <c r="D979" s="156">
        <v>344700.0</v>
      </c>
      <c r="E979" s="21" t="s">
        <v>211</v>
      </c>
      <c r="F979" s="156">
        <v>0.0</v>
      </c>
      <c r="G979" s="156">
        <v>0.0</v>
      </c>
      <c r="H979" s="156">
        <v>0.0</v>
      </c>
      <c r="I979" s="156">
        <v>344700.0</v>
      </c>
      <c r="J979" s="156">
        <v>0.0</v>
      </c>
    </row>
    <row r="980">
      <c r="A980" s="155">
        <v>44114.0</v>
      </c>
      <c r="B980" s="21" t="s">
        <v>216</v>
      </c>
      <c r="C980" s="21" t="s">
        <v>221</v>
      </c>
      <c r="D980" s="156">
        <v>1860000.0</v>
      </c>
      <c r="E980" s="21" t="s">
        <v>201</v>
      </c>
      <c r="F980" s="156">
        <v>0.0</v>
      </c>
      <c r="G980" s="156">
        <v>0.0</v>
      </c>
      <c r="H980" s="156">
        <v>1860000.0</v>
      </c>
      <c r="I980" s="156">
        <v>0.0</v>
      </c>
      <c r="J980" s="156">
        <v>0.0</v>
      </c>
    </row>
    <row r="981">
      <c r="A981" s="155">
        <v>44116.0</v>
      </c>
      <c r="B981" s="21" t="s">
        <v>439</v>
      </c>
      <c r="C981" s="21" t="s">
        <v>388</v>
      </c>
      <c r="D981" s="156">
        <v>5000.0</v>
      </c>
      <c r="E981" s="21" t="s">
        <v>205</v>
      </c>
      <c r="F981" s="156">
        <v>0.0</v>
      </c>
      <c r="G981" s="156">
        <v>5000.0</v>
      </c>
      <c r="H981" s="156">
        <v>0.0</v>
      </c>
      <c r="I981" s="156">
        <v>0.0</v>
      </c>
      <c r="J981" s="156">
        <v>0.0</v>
      </c>
    </row>
    <row r="982">
      <c r="A982" s="155">
        <v>44116.0</v>
      </c>
      <c r="B982" s="21" t="s">
        <v>276</v>
      </c>
      <c r="C982" s="21" t="s">
        <v>421</v>
      </c>
      <c r="D982" s="156">
        <v>16600.0</v>
      </c>
      <c r="E982" s="21" t="s">
        <v>205</v>
      </c>
      <c r="F982" s="156">
        <v>0.0</v>
      </c>
      <c r="G982" s="156">
        <v>16600.0</v>
      </c>
      <c r="H982" s="156">
        <v>0.0</v>
      </c>
      <c r="I982" s="156">
        <v>0.0</v>
      </c>
      <c r="J982" s="156">
        <v>0.0</v>
      </c>
    </row>
    <row r="983">
      <c r="A983" s="155">
        <v>44116.0</v>
      </c>
      <c r="B983" s="21" t="s">
        <v>181</v>
      </c>
      <c r="C983" s="21" t="s">
        <v>90</v>
      </c>
      <c r="D983" s="156">
        <v>100000.0</v>
      </c>
      <c r="E983" s="21" t="s">
        <v>202</v>
      </c>
      <c r="F983" s="156">
        <v>0.0</v>
      </c>
      <c r="G983" s="156">
        <v>0.0</v>
      </c>
      <c r="H983" s="156">
        <v>0.0</v>
      </c>
      <c r="I983" s="156">
        <v>0.0</v>
      </c>
      <c r="J983" s="156">
        <v>0.0</v>
      </c>
    </row>
    <row r="984">
      <c r="A984" s="155">
        <v>44116.0</v>
      </c>
      <c r="B984" s="21" t="s">
        <v>109</v>
      </c>
      <c r="C984" s="21" t="s">
        <v>537</v>
      </c>
      <c r="D984" s="156">
        <v>120000.0</v>
      </c>
      <c r="E984" s="21" t="s">
        <v>202</v>
      </c>
      <c r="F984" s="156">
        <v>0.0</v>
      </c>
      <c r="G984" s="156">
        <v>0.0</v>
      </c>
      <c r="H984" s="156">
        <v>0.0</v>
      </c>
      <c r="I984" s="156">
        <v>0.0</v>
      </c>
      <c r="J984" s="156">
        <v>0.0</v>
      </c>
    </row>
    <row r="985">
      <c r="A985" s="155">
        <v>44116.0</v>
      </c>
      <c r="B985" s="21" t="s">
        <v>109</v>
      </c>
      <c r="C985" s="21" t="s">
        <v>537</v>
      </c>
      <c r="D985" s="156">
        <v>160400.0</v>
      </c>
      <c r="E985" s="21" t="s">
        <v>202</v>
      </c>
      <c r="F985" s="156">
        <v>0.0</v>
      </c>
      <c r="G985" s="156">
        <v>0.0</v>
      </c>
      <c r="H985" s="156">
        <v>0.0</v>
      </c>
      <c r="I985" s="156">
        <v>0.0</v>
      </c>
      <c r="J985" s="156">
        <v>0.0</v>
      </c>
    </row>
    <row r="986">
      <c r="A986" s="155">
        <v>44116.0</v>
      </c>
      <c r="B986" s="21" t="s">
        <v>109</v>
      </c>
      <c r="C986" s="21" t="s">
        <v>544</v>
      </c>
      <c r="D986" s="156">
        <v>73500.0</v>
      </c>
      <c r="E986" s="21" t="s">
        <v>202</v>
      </c>
      <c r="F986" s="156">
        <v>0.0</v>
      </c>
      <c r="G986" s="156">
        <v>0.0</v>
      </c>
      <c r="H986" s="156">
        <v>0.0</v>
      </c>
      <c r="I986" s="156">
        <v>0.0</v>
      </c>
      <c r="J986" s="156">
        <v>0.0</v>
      </c>
    </row>
    <row r="987">
      <c r="A987" s="155">
        <v>44116.0</v>
      </c>
      <c r="B987" s="21" t="s">
        <v>109</v>
      </c>
      <c r="C987" s="21" t="s">
        <v>90</v>
      </c>
      <c r="D987" s="156">
        <v>150000.0</v>
      </c>
      <c r="E987" s="21" t="s">
        <v>202</v>
      </c>
      <c r="F987" s="156">
        <v>0.0</v>
      </c>
      <c r="G987" s="156">
        <v>0.0</v>
      </c>
      <c r="H987" s="156">
        <v>0.0</v>
      </c>
      <c r="I987" s="156">
        <v>0.0</v>
      </c>
      <c r="J987" s="156">
        <v>0.0</v>
      </c>
    </row>
    <row r="988">
      <c r="A988" s="155">
        <v>44116.0</v>
      </c>
      <c r="B988" s="21" t="s">
        <v>109</v>
      </c>
      <c r="C988" s="21" t="s">
        <v>545</v>
      </c>
      <c r="D988" s="156">
        <v>234000.0</v>
      </c>
      <c r="E988" s="21" t="s">
        <v>202</v>
      </c>
      <c r="F988" s="156">
        <v>0.0</v>
      </c>
      <c r="G988" s="156">
        <v>0.0</v>
      </c>
      <c r="H988" s="156">
        <v>0.0</v>
      </c>
      <c r="I988" s="156">
        <v>0.0</v>
      </c>
      <c r="J988" s="156">
        <v>0.0</v>
      </c>
    </row>
    <row r="989">
      <c r="A989" s="155">
        <v>44116.0</v>
      </c>
      <c r="B989" s="21" t="s">
        <v>160</v>
      </c>
      <c r="C989" s="21" t="s">
        <v>90</v>
      </c>
      <c r="D989" s="156">
        <v>50000.0</v>
      </c>
      <c r="E989" s="21" t="s">
        <v>202</v>
      </c>
      <c r="F989" s="156">
        <v>0.0</v>
      </c>
      <c r="G989" s="156">
        <v>0.0</v>
      </c>
      <c r="H989" s="156">
        <v>0.0</v>
      </c>
      <c r="I989" s="156">
        <v>0.0</v>
      </c>
      <c r="J989" s="156">
        <v>0.0</v>
      </c>
    </row>
    <row r="990">
      <c r="A990" s="155">
        <v>44116.0</v>
      </c>
      <c r="B990" s="21" t="s">
        <v>113</v>
      </c>
      <c r="C990" s="21" t="s">
        <v>90</v>
      </c>
      <c r="D990" s="156">
        <v>280000.0</v>
      </c>
      <c r="E990" s="21" t="s">
        <v>202</v>
      </c>
      <c r="F990" s="156">
        <v>0.0</v>
      </c>
      <c r="G990" s="156">
        <v>0.0</v>
      </c>
      <c r="H990" s="156">
        <v>0.0</v>
      </c>
      <c r="I990" s="156">
        <v>0.0</v>
      </c>
      <c r="J990" s="156">
        <v>0.0</v>
      </c>
    </row>
    <row r="991">
      <c r="A991" s="155">
        <v>44116.0</v>
      </c>
      <c r="B991" s="21" t="s">
        <v>222</v>
      </c>
      <c r="C991" s="21" t="s">
        <v>223</v>
      </c>
      <c r="D991" s="156">
        <v>21600.0</v>
      </c>
      <c r="E991" s="21" t="s">
        <v>211</v>
      </c>
      <c r="F991" s="156">
        <v>0.0</v>
      </c>
      <c r="G991" s="156">
        <v>0.0</v>
      </c>
      <c r="H991" s="156">
        <v>0.0</v>
      </c>
      <c r="I991" s="156">
        <v>21600.0</v>
      </c>
      <c r="J991" s="156">
        <v>0.0</v>
      </c>
    </row>
    <row r="992">
      <c r="A992" s="155">
        <v>44116.0</v>
      </c>
      <c r="B992" s="21" t="s">
        <v>109</v>
      </c>
      <c r="C992" s="21" t="s">
        <v>221</v>
      </c>
      <c r="D992" s="156">
        <v>3000000.0</v>
      </c>
      <c r="E992" s="21" t="s">
        <v>201</v>
      </c>
      <c r="F992" s="156">
        <v>0.0</v>
      </c>
      <c r="G992" s="156">
        <v>0.0</v>
      </c>
      <c r="H992" s="156">
        <v>3000000.0</v>
      </c>
      <c r="I992" s="156">
        <v>0.0</v>
      </c>
      <c r="J992" s="156">
        <v>0.0</v>
      </c>
    </row>
    <row r="993">
      <c r="A993" s="155">
        <v>44116.0</v>
      </c>
      <c r="B993" s="21" t="s">
        <v>216</v>
      </c>
      <c r="C993" s="21" t="s">
        <v>221</v>
      </c>
      <c r="D993" s="156">
        <v>350000.0</v>
      </c>
      <c r="E993" s="21"/>
      <c r="F993" s="156">
        <v>0.0</v>
      </c>
      <c r="G993" s="156">
        <v>0.0</v>
      </c>
      <c r="H993" s="156">
        <v>0.0</v>
      </c>
      <c r="I993" s="156">
        <v>0.0</v>
      </c>
      <c r="J993" s="156">
        <v>0.0</v>
      </c>
    </row>
    <row r="994">
      <c r="A994" s="155"/>
      <c r="B994" s="21"/>
      <c r="C994" s="21"/>
      <c r="D994" s="156"/>
      <c r="E994" s="21"/>
      <c r="F994" s="156"/>
      <c r="G994" s="156"/>
      <c r="H994" s="156"/>
      <c r="I994" s="156"/>
      <c r="J994" s="156"/>
    </row>
  </sheetData>
  <mergeCells count="3">
    <mergeCell ref="A1:E1"/>
    <mergeCell ref="A2:C2"/>
    <mergeCell ref="A3:B3"/>
  </mergeCells>
  <dataValidations>
    <dataValidation type="list" allowBlank="1" showErrorMessage="1" sqref="E6:E43 E45:E994">
      <formula1>lists!$A:$A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75"/>
    <col customWidth="1" min="3" max="3" width="22.88"/>
    <col customWidth="1" min="4" max="4" width="19.75"/>
    <col customWidth="1" min="5" max="7" width="15.38"/>
  </cols>
  <sheetData>
    <row r="1">
      <c r="A1" s="157" t="s">
        <v>546</v>
      </c>
      <c r="B1" s="158"/>
      <c r="C1" s="158"/>
      <c r="D1" s="158"/>
      <c r="E1" s="158"/>
      <c r="F1" s="159"/>
      <c r="G1" s="160"/>
    </row>
    <row r="2">
      <c r="A2" s="161" t="s">
        <v>78</v>
      </c>
      <c r="B2" s="162">
        <f>OFFSET(A1,COUNTA(A:A)-1,0)</f>
        <v>44032</v>
      </c>
      <c r="C2" s="163"/>
      <c r="D2" s="164"/>
      <c r="F2" s="165"/>
      <c r="G2" s="165"/>
    </row>
    <row r="3">
      <c r="A3" s="166" t="s">
        <v>190</v>
      </c>
      <c r="B3" s="167" t="s">
        <v>547</v>
      </c>
      <c r="C3" s="167" t="s">
        <v>548</v>
      </c>
      <c r="D3" s="168" t="s">
        <v>549</v>
      </c>
      <c r="E3" s="167" t="s">
        <v>550</v>
      </c>
      <c r="F3" s="169" t="s">
        <v>551</v>
      </c>
      <c r="G3" s="169" t="s">
        <v>552</v>
      </c>
    </row>
    <row r="4">
      <c r="A4" s="42">
        <v>44032.0</v>
      </c>
      <c r="B4" s="34" t="s">
        <v>553</v>
      </c>
      <c r="C4" s="34" t="s">
        <v>469</v>
      </c>
      <c r="D4" s="34" t="s">
        <v>554</v>
      </c>
      <c r="E4" s="34">
        <v>100.0</v>
      </c>
      <c r="F4" s="170"/>
      <c r="G4" s="171"/>
    </row>
    <row r="5">
      <c r="A5" s="44"/>
      <c r="B5" s="43"/>
      <c r="C5" s="43"/>
      <c r="D5" s="172"/>
      <c r="E5" s="43"/>
      <c r="F5" s="173"/>
      <c r="G5" s="174"/>
    </row>
    <row r="6">
      <c r="A6" s="44"/>
      <c r="B6" s="43"/>
      <c r="C6" s="43"/>
      <c r="D6" s="172"/>
      <c r="E6" s="43"/>
      <c r="F6" s="173"/>
      <c r="G6" s="174"/>
    </row>
    <row r="7">
      <c r="A7" s="44"/>
      <c r="B7" s="43"/>
      <c r="C7" s="43"/>
      <c r="D7" s="172"/>
      <c r="E7" s="43"/>
      <c r="F7" s="173"/>
      <c r="G7" s="174"/>
    </row>
    <row r="8">
      <c r="A8" s="44"/>
      <c r="B8" s="43"/>
      <c r="C8" s="43"/>
      <c r="D8" s="172"/>
      <c r="E8" s="43"/>
      <c r="F8" s="173"/>
      <c r="G8" s="174"/>
    </row>
    <row r="9">
      <c r="A9" s="47"/>
      <c r="B9" s="48"/>
      <c r="C9" s="48"/>
      <c r="D9" s="172"/>
      <c r="E9" s="43"/>
      <c r="F9" s="173"/>
      <c r="G9" s="174"/>
    </row>
    <row r="10">
      <c r="A10" s="47"/>
      <c r="B10" s="48"/>
      <c r="C10" s="48"/>
      <c r="D10" s="172"/>
      <c r="E10" s="48"/>
      <c r="F10" s="170"/>
      <c r="G10" s="175"/>
    </row>
    <row r="11">
      <c r="A11" s="47"/>
      <c r="B11" s="48"/>
      <c r="C11" s="48"/>
      <c r="D11" s="172"/>
      <c r="E11" s="48"/>
      <c r="F11" s="170"/>
      <c r="G11" s="175"/>
    </row>
    <row r="12">
      <c r="A12" s="47"/>
      <c r="B12" s="48"/>
      <c r="C12" s="48"/>
      <c r="D12" s="172"/>
      <c r="E12" s="48"/>
      <c r="F12" s="170"/>
      <c r="G12" s="175"/>
    </row>
    <row r="13">
      <c r="A13" s="47"/>
      <c r="B13" s="48"/>
      <c r="C13" s="48"/>
      <c r="D13" s="172"/>
      <c r="E13" s="48"/>
      <c r="F13" s="170"/>
      <c r="G13" s="175"/>
    </row>
    <row r="14">
      <c r="A14" s="47"/>
      <c r="B14" s="48"/>
      <c r="C14" s="48"/>
      <c r="D14" s="172"/>
      <c r="E14" s="48"/>
      <c r="F14" s="170"/>
      <c r="G14" s="175"/>
    </row>
    <row r="15">
      <c r="A15" s="47"/>
      <c r="B15" s="48"/>
      <c r="C15" s="48"/>
      <c r="D15" s="172"/>
      <c r="E15" s="48"/>
      <c r="F15" s="170"/>
      <c r="G15" s="175"/>
    </row>
    <row r="16">
      <c r="A16" s="47"/>
      <c r="B16" s="48"/>
      <c r="C16" s="48"/>
      <c r="D16" s="172"/>
      <c r="E16" s="48"/>
      <c r="F16" s="170"/>
      <c r="G16" s="175"/>
    </row>
    <row r="17">
      <c r="A17" s="47"/>
      <c r="B17" s="48"/>
      <c r="C17" s="48"/>
      <c r="D17" s="172"/>
      <c r="E17" s="48"/>
      <c r="F17" s="170"/>
      <c r="G17" s="175"/>
    </row>
    <row r="18">
      <c r="A18" s="47"/>
      <c r="B18" s="48"/>
      <c r="C18" s="48"/>
      <c r="D18" s="172"/>
      <c r="E18" s="48"/>
      <c r="F18" s="170"/>
      <c r="G18" s="175"/>
    </row>
    <row r="19">
      <c r="A19" s="47"/>
      <c r="B19" s="48"/>
      <c r="C19" s="48"/>
      <c r="D19" s="172"/>
      <c r="E19" s="48"/>
      <c r="F19" s="170"/>
      <c r="G19" s="175"/>
    </row>
    <row r="20">
      <c r="A20" s="47"/>
      <c r="B20" s="48"/>
      <c r="C20" s="48"/>
      <c r="D20" s="172"/>
      <c r="E20" s="48"/>
      <c r="F20" s="170"/>
      <c r="G20" s="175"/>
    </row>
    <row r="21">
      <c r="A21" s="47"/>
      <c r="B21" s="48"/>
      <c r="C21" s="48"/>
      <c r="D21" s="172"/>
      <c r="E21" s="48"/>
      <c r="F21" s="170"/>
      <c r="G21" s="175"/>
    </row>
    <row r="22">
      <c r="A22" s="47"/>
      <c r="B22" s="48"/>
      <c r="C22" s="48"/>
      <c r="D22" s="172"/>
      <c r="E22" s="48"/>
      <c r="F22" s="170"/>
      <c r="G22" s="175"/>
    </row>
    <row r="23">
      <c r="A23" s="47"/>
      <c r="B23" s="48"/>
      <c r="C23" s="48"/>
      <c r="D23" s="172"/>
      <c r="E23" s="48"/>
      <c r="F23" s="170"/>
      <c r="G23" s="175"/>
    </row>
    <row r="24">
      <c r="A24" s="47"/>
      <c r="B24" s="48"/>
      <c r="C24" s="48"/>
      <c r="D24" s="172"/>
      <c r="E24" s="48"/>
      <c r="F24" s="170"/>
      <c r="G24" s="175"/>
    </row>
    <row r="25">
      <c r="A25" s="47"/>
      <c r="B25" s="48"/>
      <c r="C25" s="48"/>
      <c r="D25" s="172"/>
      <c r="E25" s="48"/>
      <c r="F25" s="170"/>
      <c r="G25" s="175"/>
    </row>
    <row r="26">
      <c r="A26" s="47"/>
      <c r="B26" s="48"/>
      <c r="C26" s="48"/>
      <c r="D26" s="172"/>
      <c r="E26" s="48"/>
      <c r="F26" s="170"/>
      <c r="G26" s="175"/>
    </row>
    <row r="27">
      <c r="A27" s="47"/>
      <c r="B27" s="48"/>
      <c r="C27" s="48"/>
      <c r="D27" s="172"/>
      <c r="E27" s="48"/>
      <c r="F27" s="170"/>
      <c r="G27" s="175"/>
    </row>
    <row r="28">
      <c r="A28" s="47"/>
      <c r="B28" s="48"/>
      <c r="C28" s="48"/>
      <c r="D28" s="172"/>
      <c r="E28" s="48"/>
      <c r="F28" s="170"/>
      <c r="G28" s="175"/>
    </row>
    <row r="29">
      <c r="A29" s="47"/>
      <c r="B29" s="48"/>
      <c r="C29" s="48"/>
      <c r="D29" s="172"/>
      <c r="E29" s="48"/>
      <c r="F29" s="170"/>
      <c r="G29" s="175"/>
    </row>
    <row r="30">
      <c r="A30" s="47"/>
      <c r="B30" s="48"/>
      <c r="C30" s="48"/>
      <c r="D30" s="172"/>
      <c r="E30" s="48"/>
      <c r="F30" s="170"/>
      <c r="G30" s="175"/>
    </row>
    <row r="31">
      <c r="A31" s="47"/>
      <c r="B31" s="48"/>
      <c r="C31" s="48"/>
      <c r="D31" s="172"/>
      <c r="E31" s="48"/>
      <c r="F31" s="170"/>
      <c r="G31" s="175"/>
    </row>
    <row r="32">
      <c r="A32" s="47"/>
      <c r="B32" s="48"/>
      <c r="C32" s="48"/>
      <c r="D32" s="172"/>
      <c r="E32" s="48"/>
      <c r="F32" s="170"/>
      <c r="G32" s="175"/>
    </row>
    <row r="33">
      <c r="A33" s="47"/>
      <c r="B33" s="48"/>
      <c r="C33" s="48"/>
      <c r="D33" s="172"/>
      <c r="E33" s="48"/>
      <c r="F33" s="170"/>
      <c r="G33" s="175"/>
    </row>
    <row r="34">
      <c r="A34" s="47"/>
      <c r="B34" s="48"/>
      <c r="C34" s="48"/>
      <c r="D34" s="172"/>
      <c r="E34" s="48"/>
      <c r="F34" s="170"/>
      <c r="G34" s="175"/>
    </row>
    <row r="35">
      <c r="A35" s="47"/>
      <c r="B35" s="48"/>
      <c r="C35" s="48"/>
      <c r="D35" s="172"/>
      <c r="E35" s="48"/>
      <c r="F35" s="170"/>
      <c r="G35" s="175"/>
    </row>
    <row r="36">
      <c r="A36" s="47"/>
      <c r="B36" s="48"/>
      <c r="C36" s="48"/>
      <c r="D36" s="172"/>
      <c r="E36" s="48"/>
      <c r="F36" s="170"/>
      <c r="G36" s="175"/>
    </row>
    <row r="37">
      <c r="A37" s="47"/>
      <c r="B37" s="48"/>
      <c r="C37" s="48"/>
      <c r="D37" s="172"/>
      <c r="E37" s="48"/>
      <c r="F37" s="170"/>
      <c r="G37" s="175"/>
    </row>
    <row r="38">
      <c r="A38" s="47"/>
      <c r="B38" s="48"/>
      <c r="C38" s="48"/>
      <c r="D38" s="172"/>
      <c r="E38" s="48"/>
      <c r="F38" s="170"/>
      <c r="G38" s="175"/>
    </row>
    <row r="39">
      <c r="A39" s="47"/>
      <c r="B39" s="48"/>
      <c r="C39" s="48"/>
      <c r="D39" s="172"/>
      <c r="E39" s="48"/>
      <c r="F39" s="170"/>
      <c r="G39" s="175"/>
    </row>
    <row r="40">
      <c r="A40" s="47"/>
      <c r="B40" s="48"/>
      <c r="C40" s="48"/>
      <c r="D40" s="172"/>
      <c r="E40" s="48"/>
      <c r="F40" s="170"/>
      <c r="G40" s="175"/>
    </row>
    <row r="41">
      <c r="A41" s="47"/>
      <c r="B41" s="48"/>
      <c r="C41" s="48"/>
      <c r="D41" s="172"/>
      <c r="E41" s="48"/>
      <c r="F41" s="170"/>
      <c r="G41" s="175"/>
    </row>
    <row r="42">
      <c r="A42" s="47"/>
      <c r="B42" s="48"/>
      <c r="C42" s="48"/>
      <c r="D42" s="172"/>
      <c r="E42" s="48"/>
      <c r="F42" s="170"/>
      <c r="G42" s="175"/>
    </row>
    <row r="43">
      <c r="A43" s="47"/>
      <c r="B43" s="48"/>
      <c r="C43" s="48"/>
      <c r="D43" s="172"/>
      <c r="E43" s="48"/>
      <c r="F43" s="170"/>
      <c r="G43" s="175"/>
    </row>
    <row r="44">
      <c r="A44" s="47"/>
      <c r="B44" s="48"/>
      <c r="C44" s="48"/>
      <c r="D44" s="172"/>
      <c r="E44" s="48"/>
      <c r="F44" s="170"/>
      <c r="G44" s="175"/>
    </row>
    <row r="45">
      <c r="A45" s="47"/>
      <c r="B45" s="48"/>
      <c r="C45" s="48"/>
      <c r="D45" s="172"/>
      <c r="E45" s="48"/>
      <c r="F45" s="170"/>
      <c r="G45" s="175"/>
    </row>
    <row r="46">
      <c r="A46" s="47"/>
      <c r="B46" s="48"/>
      <c r="C46" s="48"/>
      <c r="D46" s="172"/>
      <c r="E46" s="48"/>
      <c r="F46" s="170"/>
      <c r="G46" s="175"/>
    </row>
    <row r="47">
      <c r="A47" s="47"/>
      <c r="B47" s="48"/>
      <c r="C47" s="48"/>
      <c r="D47" s="172"/>
      <c r="E47" s="48"/>
      <c r="F47" s="170"/>
      <c r="G47" s="175"/>
    </row>
    <row r="48">
      <c r="A48" s="47"/>
      <c r="B48" s="48"/>
      <c r="C48" s="48"/>
      <c r="D48" s="172"/>
      <c r="E48" s="48"/>
      <c r="F48" s="170"/>
      <c r="G48" s="175"/>
    </row>
    <row r="49">
      <c r="A49" s="47"/>
      <c r="B49" s="48"/>
      <c r="C49" s="48"/>
      <c r="D49" s="172"/>
      <c r="E49" s="48"/>
      <c r="F49" s="170"/>
      <c r="G49" s="175"/>
    </row>
    <row r="50">
      <c r="A50" s="47"/>
      <c r="B50" s="48"/>
      <c r="C50" s="48"/>
      <c r="D50" s="172"/>
      <c r="E50" s="48"/>
      <c r="F50" s="170"/>
      <c r="G50" s="175"/>
    </row>
    <row r="51">
      <c r="A51" s="47"/>
      <c r="B51" s="48"/>
      <c r="C51" s="48"/>
      <c r="D51" s="172"/>
      <c r="E51" s="48"/>
      <c r="F51" s="170"/>
      <c r="G51" s="175"/>
    </row>
    <row r="52">
      <c r="A52" s="47"/>
      <c r="B52" s="48"/>
      <c r="C52" s="48"/>
      <c r="D52" s="172"/>
      <c r="E52" s="48"/>
      <c r="F52" s="170"/>
      <c r="G52" s="175"/>
    </row>
    <row r="53">
      <c r="A53" s="47"/>
      <c r="B53" s="48"/>
      <c r="C53" s="48"/>
      <c r="D53" s="172"/>
      <c r="E53" s="48"/>
      <c r="F53" s="170"/>
      <c r="G53" s="175"/>
    </row>
    <row r="54">
      <c r="A54" s="47"/>
      <c r="B54" s="48"/>
      <c r="C54" s="48"/>
      <c r="D54" s="172"/>
      <c r="E54" s="48"/>
      <c r="F54" s="170"/>
      <c r="G54" s="175"/>
    </row>
    <row r="55">
      <c r="A55" s="47"/>
      <c r="B55" s="48"/>
      <c r="C55" s="48"/>
      <c r="D55" s="172"/>
      <c r="E55" s="48"/>
      <c r="F55" s="170"/>
      <c r="G55" s="175"/>
    </row>
    <row r="56">
      <c r="A56" s="47"/>
      <c r="B56" s="48"/>
      <c r="C56" s="48"/>
      <c r="D56" s="172"/>
      <c r="E56" s="48"/>
      <c r="F56" s="170"/>
      <c r="G56" s="175"/>
    </row>
    <row r="57">
      <c r="A57" s="47"/>
      <c r="B57" s="48"/>
      <c r="C57" s="48"/>
      <c r="D57" s="172"/>
      <c r="E57" s="48"/>
      <c r="F57" s="170"/>
      <c r="G57" s="175"/>
    </row>
    <row r="58">
      <c r="A58" s="47"/>
      <c r="B58" s="48"/>
      <c r="C58" s="48"/>
      <c r="D58" s="172"/>
      <c r="E58" s="48"/>
      <c r="F58" s="170"/>
      <c r="G58" s="175"/>
    </row>
    <row r="59">
      <c r="A59" s="47"/>
      <c r="B59" s="48"/>
      <c r="C59" s="48"/>
      <c r="D59" s="172"/>
      <c r="E59" s="48"/>
      <c r="F59" s="170"/>
      <c r="G59" s="175"/>
    </row>
    <row r="60">
      <c r="A60" s="47"/>
      <c r="B60" s="48"/>
      <c r="C60" s="48"/>
      <c r="D60" s="172"/>
      <c r="E60" s="48"/>
      <c r="F60" s="170"/>
      <c r="G60" s="175"/>
    </row>
    <row r="61">
      <c r="A61" s="47"/>
      <c r="B61" s="48"/>
      <c r="C61" s="48"/>
      <c r="D61" s="172"/>
      <c r="E61" s="48"/>
      <c r="F61" s="170"/>
      <c r="G61" s="175"/>
    </row>
    <row r="62">
      <c r="A62" s="47"/>
      <c r="B62" s="48"/>
      <c r="C62" s="48"/>
      <c r="D62" s="172"/>
      <c r="E62" s="48"/>
      <c r="F62" s="170"/>
      <c r="G62" s="175"/>
    </row>
    <row r="63">
      <c r="A63" s="47"/>
      <c r="B63" s="48"/>
      <c r="C63" s="48"/>
      <c r="D63" s="172"/>
      <c r="E63" s="48"/>
      <c r="F63" s="170"/>
      <c r="G63" s="175"/>
    </row>
    <row r="64">
      <c r="A64" s="47"/>
      <c r="B64" s="48"/>
      <c r="C64" s="48"/>
      <c r="D64" s="172"/>
      <c r="E64" s="48"/>
      <c r="F64" s="170"/>
      <c r="G64" s="175"/>
    </row>
    <row r="65">
      <c r="A65" s="47"/>
      <c r="B65" s="48"/>
      <c r="C65" s="48"/>
      <c r="D65" s="172"/>
      <c r="E65" s="48"/>
      <c r="F65" s="170"/>
      <c r="G65" s="175"/>
    </row>
    <row r="66">
      <c r="A66" s="47"/>
      <c r="B66" s="48"/>
      <c r="C66" s="48"/>
      <c r="D66" s="172"/>
      <c r="E66" s="48"/>
      <c r="F66" s="170"/>
      <c r="G66" s="175"/>
    </row>
    <row r="67">
      <c r="A67" s="47"/>
      <c r="B67" s="48"/>
      <c r="C67" s="48"/>
      <c r="D67" s="172"/>
      <c r="E67" s="48"/>
      <c r="F67" s="170"/>
      <c r="G67" s="175"/>
    </row>
    <row r="68">
      <c r="A68" s="47"/>
      <c r="B68" s="48"/>
      <c r="C68" s="48"/>
      <c r="D68" s="172"/>
      <c r="E68" s="48"/>
      <c r="F68" s="170"/>
      <c r="G68" s="175"/>
    </row>
    <row r="69">
      <c r="A69" s="47"/>
      <c r="B69" s="48"/>
      <c r="C69" s="48"/>
      <c r="D69" s="172"/>
      <c r="E69" s="48"/>
      <c r="F69" s="170"/>
      <c r="G69" s="175"/>
    </row>
    <row r="70">
      <c r="A70" s="47"/>
      <c r="B70" s="48"/>
      <c r="C70" s="48"/>
      <c r="D70" s="172"/>
      <c r="E70" s="48"/>
      <c r="F70" s="170"/>
      <c r="G70" s="175"/>
    </row>
    <row r="71">
      <c r="A71" s="47"/>
      <c r="B71" s="48"/>
      <c r="C71" s="48"/>
      <c r="D71" s="172"/>
      <c r="E71" s="48"/>
      <c r="F71" s="170"/>
      <c r="G71" s="175"/>
    </row>
    <row r="72">
      <c r="A72" s="47"/>
      <c r="B72" s="48"/>
      <c r="C72" s="48"/>
      <c r="D72" s="172"/>
      <c r="E72" s="48"/>
      <c r="F72" s="170"/>
      <c r="G72" s="175"/>
    </row>
    <row r="73">
      <c r="A73" s="47"/>
      <c r="B73" s="48"/>
      <c r="C73" s="48"/>
      <c r="D73" s="172"/>
      <c r="E73" s="48"/>
      <c r="F73" s="170"/>
      <c r="G73" s="175"/>
    </row>
    <row r="74">
      <c r="A74" s="47"/>
      <c r="B74" s="48"/>
      <c r="C74" s="48"/>
      <c r="D74" s="172"/>
      <c r="E74" s="48"/>
      <c r="F74" s="170"/>
      <c r="G74" s="175"/>
    </row>
    <row r="75">
      <c r="A75" s="47"/>
      <c r="B75" s="48"/>
      <c r="C75" s="48"/>
      <c r="D75" s="172"/>
      <c r="E75" s="48"/>
      <c r="F75" s="170"/>
      <c r="G75" s="175"/>
    </row>
    <row r="76">
      <c r="A76" s="47"/>
      <c r="B76" s="48"/>
      <c r="C76" s="48"/>
      <c r="D76" s="172"/>
      <c r="E76" s="48"/>
      <c r="F76" s="170"/>
      <c r="G76" s="175"/>
    </row>
    <row r="77">
      <c r="A77" s="47"/>
      <c r="B77" s="48"/>
      <c r="C77" s="48"/>
      <c r="D77" s="172"/>
      <c r="E77" s="48"/>
      <c r="F77" s="170"/>
      <c r="G77" s="175"/>
    </row>
    <row r="78">
      <c r="A78" s="47"/>
      <c r="B78" s="48"/>
      <c r="C78" s="48"/>
      <c r="D78" s="172"/>
      <c r="E78" s="48"/>
      <c r="F78" s="170"/>
      <c r="G78" s="175"/>
    </row>
    <row r="79">
      <c r="A79" s="47"/>
      <c r="B79" s="48"/>
      <c r="C79" s="48"/>
      <c r="D79" s="172"/>
      <c r="E79" s="48"/>
      <c r="F79" s="170"/>
      <c r="G79" s="175"/>
    </row>
    <row r="80">
      <c r="A80" s="47"/>
      <c r="B80" s="48"/>
      <c r="C80" s="48"/>
      <c r="D80" s="172"/>
      <c r="E80" s="48"/>
      <c r="F80" s="170"/>
      <c r="G80" s="175"/>
    </row>
    <row r="81">
      <c r="A81" s="47"/>
      <c r="B81" s="48"/>
      <c r="C81" s="48"/>
      <c r="D81" s="172"/>
      <c r="E81" s="48"/>
      <c r="F81" s="170"/>
      <c r="G81" s="175"/>
    </row>
    <row r="82">
      <c r="A82" s="47"/>
      <c r="B82" s="48"/>
      <c r="C82" s="48"/>
      <c r="D82" s="172"/>
      <c r="E82" s="48"/>
      <c r="F82" s="170"/>
      <c r="G82" s="175"/>
    </row>
    <row r="83">
      <c r="A83" s="47"/>
      <c r="B83" s="48"/>
      <c r="C83" s="48"/>
      <c r="D83" s="172"/>
      <c r="E83" s="48"/>
      <c r="F83" s="170"/>
      <c r="G83" s="175"/>
    </row>
    <row r="84">
      <c r="A84" s="47"/>
      <c r="B84" s="48"/>
      <c r="C84" s="48"/>
      <c r="D84" s="172"/>
      <c r="E84" s="48"/>
      <c r="F84" s="170"/>
      <c r="G84" s="175"/>
    </row>
    <row r="85">
      <c r="A85" s="47"/>
      <c r="B85" s="48"/>
      <c r="C85" s="48"/>
      <c r="D85" s="172"/>
      <c r="E85" s="48"/>
      <c r="F85" s="170"/>
      <c r="G85" s="175"/>
    </row>
    <row r="86">
      <c r="A86" s="47"/>
      <c r="B86" s="48"/>
      <c r="C86" s="48"/>
      <c r="D86" s="172"/>
      <c r="E86" s="48"/>
      <c r="F86" s="170"/>
      <c r="G86" s="175"/>
    </row>
    <row r="87">
      <c r="A87" s="47"/>
      <c r="B87" s="48"/>
      <c r="C87" s="48"/>
      <c r="D87" s="172"/>
      <c r="E87" s="48"/>
      <c r="F87" s="170"/>
      <c r="G87" s="175"/>
    </row>
    <row r="88">
      <c r="A88" s="47"/>
      <c r="B88" s="48"/>
      <c r="C88" s="48"/>
      <c r="D88" s="172"/>
      <c r="E88" s="48"/>
      <c r="F88" s="170"/>
      <c r="G88" s="175"/>
    </row>
    <row r="89">
      <c r="A89" s="47"/>
      <c r="B89" s="48"/>
      <c r="C89" s="48"/>
      <c r="D89" s="172"/>
      <c r="E89" s="48"/>
      <c r="F89" s="170"/>
      <c r="G89" s="175"/>
    </row>
    <row r="90">
      <c r="A90" s="47"/>
      <c r="B90" s="48"/>
      <c r="C90" s="48"/>
      <c r="D90" s="172"/>
      <c r="E90" s="48"/>
      <c r="F90" s="170"/>
      <c r="G90" s="175"/>
    </row>
    <row r="91">
      <c r="A91" s="47"/>
      <c r="B91" s="48"/>
      <c r="C91" s="48"/>
      <c r="D91" s="172"/>
      <c r="E91" s="48"/>
      <c r="F91" s="170"/>
      <c r="G91" s="175"/>
    </row>
    <row r="92">
      <c r="A92" s="47"/>
      <c r="B92" s="48"/>
      <c r="C92" s="48"/>
      <c r="D92" s="172"/>
      <c r="E92" s="48"/>
      <c r="F92" s="170"/>
      <c r="G92" s="175"/>
    </row>
    <row r="93">
      <c r="A93" s="47"/>
      <c r="B93" s="48"/>
      <c r="C93" s="48"/>
      <c r="D93" s="172"/>
      <c r="E93" s="48"/>
      <c r="F93" s="170"/>
      <c r="G93" s="175"/>
    </row>
    <row r="94">
      <c r="A94" s="47"/>
      <c r="B94" s="48"/>
      <c r="C94" s="48"/>
      <c r="D94" s="172"/>
      <c r="E94" s="48"/>
      <c r="F94" s="170"/>
      <c r="G94" s="175"/>
    </row>
    <row r="95">
      <c r="A95" s="47"/>
      <c r="B95" s="48"/>
      <c r="C95" s="48"/>
      <c r="D95" s="172"/>
      <c r="E95" s="48"/>
      <c r="F95" s="170"/>
      <c r="G95" s="175"/>
    </row>
    <row r="96">
      <c r="A96" s="47"/>
      <c r="B96" s="48"/>
      <c r="C96" s="48"/>
      <c r="D96" s="172"/>
      <c r="E96" s="48"/>
      <c r="F96" s="170"/>
      <c r="G96" s="175"/>
    </row>
    <row r="97">
      <c r="A97" s="47"/>
      <c r="B97" s="48"/>
      <c r="C97" s="48"/>
      <c r="D97" s="172"/>
      <c r="E97" s="48"/>
      <c r="F97" s="170"/>
      <c r="G97" s="175"/>
    </row>
    <row r="98">
      <c r="A98" s="47"/>
      <c r="B98" s="48"/>
      <c r="C98" s="48"/>
      <c r="D98" s="172"/>
      <c r="E98" s="48"/>
      <c r="F98" s="170"/>
      <c r="G98" s="175"/>
    </row>
    <row r="99">
      <c r="A99" s="47"/>
      <c r="B99" s="48"/>
      <c r="C99" s="48"/>
      <c r="D99" s="172"/>
      <c r="E99" s="48"/>
      <c r="F99" s="170"/>
      <c r="G99" s="175"/>
    </row>
    <row r="100">
      <c r="A100" s="47"/>
      <c r="B100" s="48"/>
      <c r="C100" s="48"/>
      <c r="D100" s="172"/>
      <c r="E100" s="48"/>
      <c r="F100" s="170"/>
      <c r="G100" s="175"/>
    </row>
    <row r="101">
      <c r="A101" s="47"/>
      <c r="B101" s="48"/>
      <c r="C101" s="48"/>
      <c r="D101" s="172"/>
      <c r="E101" s="48"/>
      <c r="F101" s="170"/>
      <c r="G101" s="175"/>
    </row>
    <row r="102">
      <c r="A102" s="47"/>
      <c r="B102" s="48"/>
      <c r="C102" s="48"/>
      <c r="D102" s="172"/>
      <c r="E102" s="48"/>
      <c r="F102" s="170"/>
      <c r="G102" s="175"/>
    </row>
    <row r="103">
      <c r="A103" s="47"/>
      <c r="B103" s="48"/>
      <c r="C103" s="48"/>
      <c r="D103" s="172"/>
      <c r="E103" s="48"/>
      <c r="F103" s="170"/>
      <c r="G103" s="175"/>
    </row>
    <row r="104">
      <c r="A104" s="47"/>
      <c r="B104" s="48"/>
      <c r="C104" s="48"/>
      <c r="D104" s="172"/>
      <c r="E104" s="48"/>
      <c r="F104" s="170"/>
      <c r="G104" s="175"/>
    </row>
    <row r="105">
      <c r="A105" s="47"/>
      <c r="B105" s="48"/>
      <c r="C105" s="48"/>
      <c r="D105" s="172"/>
      <c r="E105" s="48"/>
      <c r="F105" s="170"/>
      <c r="G105" s="175"/>
    </row>
    <row r="106">
      <c r="A106" s="47"/>
      <c r="B106" s="48"/>
      <c r="C106" s="48"/>
      <c r="D106" s="172"/>
      <c r="E106" s="48"/>
      <c r="F106" s="170"/>
      <c r="G106" s="175"/>
    </row>
    <row r="107">
      <c r="A107" s="47"/>
      <c r="B107" s="48"/>
      <c r="C107" s="48"/>
      <c r="D107" s="172"/>
      <c r="E107" s="48"/>
      <c r="F107" s="170"/>
      <c r="G107" s="175"/>
    </row>
    <row r="108">
      <c r="A108" s="47"/>
      <c r="B108" s="48"/>
      <c r="C108" s="48"/>
      <c r="D108" s="172"/>
      <c r="E108" s="48"/>
      <c r="F108" s="170"/>
      <c r="G108" s="175"/>
    </row>
    <row r="109">
      <c r="A109" s="47"/>
      <c r="B109" s="48"/>
      <c r="C109" s="48"/>
      <c r="D109" s="172"/>
      <c r="E109" s="48"/>
      <c r="F109" s="170"/>
      <c r="G109" s="175"/>
    </row>
    <row r="110">
      <c r="A110" s="47"/>
      <c r="B110" s="48"/>
      <c r="C110" s="48"/>
      <c r="D110" s="172"/>
      <c r="E110" s="48"/>
      <c r="F110" s="170"/>
      <c r="G110" s="175"/>
    </row>
    <row r="111">
      <c r="A111" s="47"/>
      <c r="B111" s="48"/>
      <c r="C111" s="48"/>
      <c r="D111" s="172"/>
      <c r="E111" s="48"/>
      <c r="F111" s="170"/>
      <c r="G111" s="175"/>
    </row>
    <row r="112">
      <c r="A112" s="47"/>
      <c r="B112" s="48"/>
      <c r="C112" s="48"/>
      <c r="D112" s="172"/>
      <c r="E112" s="48"/>
      <c r="F112" s="170"/>
      <c r="G112" s="175"/>
    </row>
    <row r="113">
      <c r="A113" s="47"/>
      <c r="B113" s="48"/>
      <c r="C113" s="48"/>
      <c r="D113" s="172"/>
      <c r="E113" s="48"/>
      <c r="F113" s="170"/>
      <c r="G113" s="175"/>
    </row>
    <row r="114">
      <c r="A114" s="47"/>
      <c r="B114" s="48"/>
      <c r="C114" s="48"/>
      <c r="D114" s="172"/>
      <c r="E114" s="48"/>
      <c r="F114" s="170"/>
      <c r="G114" s="175"/>
    </row>
    <row r="115">
      <c r="A115" s="47"/>
      <c r="B115" s="48"/>
      <c r="C115" s="48"/>
      <c r="D115" s="172"/>
      <c r="E115" s="48"/>
      <c r="F115" s="170"/>
      <c r="G115" s="175"/>
    </row>
    <row r="116">
      <c r="A116" s="47"/>
      <c r="B116" s="48"/>
      <c r="C116" s="48"/>
      <c r="D116" s="172"/>
      <c r="E116" s="48"/>
      <c r="F116" s="170"/>
      <c r="G116" s="175"/>
    </row>
    <row r="117">
      <c r="A117" s="47"/>
      <c r="B117" s="48"/>
      <c r="C117" s="48"/>
      <c r="D117" s="172"/>
      <c r="E117" s="48"/>
      <c r="F117" s="170"/>
      <c r="G117" s="175"/>
    </row>
    <row r="118">
      <c r="A118" s="47"/>
      <c r="B118" s="48"/>
      <c r="C118" s="48"/>
      <c r="D118" s="172"/>
      <c r="E118" s="48"/>
      <c r="F118" s="170"/>
      <c r="G118" s="175"/>
    </row>
    <row r="119">
      <c r="A119" s="47"/>
      <c r="B119" s="48"/>
      <c r="C119" s="48"/>
      <c r="D119" s="172"/>
      <c r="E119" s="48"/>
      <c r="F119" s="170"/>
      <c r="G119" s="175"/>
    </row>
    <row r="120">
      <c r="A120" s="47"/>
      <c r="B120" s="48"/>
      <c r="C120" s="48"/>
      <c r="D120" s="172"/>
      <c r="E120" s="48"/>
      <c r="F120" s="170"/>
      <c r="G120" s="175"/>
    </row>
    <row r="121">
      <c r="A121" s="47"/>
      <c r="B121" s="48"/>
      <c r="C121" s="48"/>
      <c r="D121" s="172"/>
      <c r="E121" s="48"/>
      <c r="F121" s="170"/>
      <c r="G121" s="175"/>
    </row>
    <row r="122">
      <c r="A122" s="47"/>
      <c r="B122" s="48"/>
      <c r="C122" s="48"/>
      <c r="D122" s="172"/>
      <c r="E122" s="48"/>
      <c r="F122" s="170"/>
      <c r="G122" s="175"/>
    </row>
    <row r="123">
      <c r="A123" s="47"/>
      <c r="B123" s="48"/>
      <c r="C123" s="48"/>
      <c r="D123" s="172"/>
      <c r="E123" s="48"/>
      <c r="F123" s="170"/>
      <c r="G123" s="175"/>
    </row>
    <row r="124">
      <c r="A124" s="47"/>
      <c r="B124" s="48"/>
      <c r="C124" s="48"/>
      <c r="D124" s="172"/>
      <c r="E124" s="48"/>
      <c r="F124" s="170"/>
      <c r="G124" s="175"/>
    </row>
    <row r="125">
      <c r="A125" s="47"/>
      <c r="B125" s="48"/>
      <c r="C125" s="48"/>
      <c r="D125" s="172"/>
      <c r="E125" s="48"/>
      <c r="F125" s="170"/>
      <c r="G125" s="175"/>
    </row>
    <row r="126">
      <c r="A126" s="47"/>
      <c r="B126" s="48"/>
      <c r="C126" s="48"/>
      <c r="D126" s="172"/>
      <c r="E126" s="48"/>
      <c r="F126" s="170"/>
      <c r="G126" s="175"/>
    </row>
    <row r="127">
      <c r="A127" s="47"/>
      <c r="B127" s="48"/>
      <c r="C127" s="48"/>
      <c r="D127" s="172"/>
      <c r="E127" s="48"/>
      <c r="F127" s="170"/>
      <c r="G127" s="175"/>
    </row>
    <row r="128">
      <c r="A128" s="47"/>
      <c r="B128" s="48"/>
      <c r="C128" s="48"/>
      <c r="D128" s="172"/>
      <c r="E128" s="48"/>
      <c r="F128" s="170"/>
      <c r="G128" s="175"/>
    </row>
    <row r="129">
      <c r="A129" s="47"/>
      <c r="B129" s="48"/>
      <c r="C129" s="48"/>
      <c r="D129" s="172"/>
      <c r="E129" s="48"/>
      <c r="F129" s="170"/>
      <c r="G129" s="175"/>
    </row>
    <row r="130">
      <c r="A130" s="47"/>
      <c r="B130" s="48"/>
      <c r="C130" s="48"/>
      <c r="D130" s="172"/>
      <c r="E130" s="48"/>
      <c r="F130" s="170"/>
      <c r="G130" s="175"/>
    </row>
    <row r="131">
      <c r="A131" s="47"/>
      <c r="B131" s="48"/>
      <c r="C131" s="48"/>
      <c r="D131" s="172"/>
      <c r="E131" s="48"/>
      <c r="F131" s="170"/>
      <c r="G131" s="175"/>
    </row>
    <row r="132">
      <c r="A132" s="47"/>
      <c r="B132" s="48"/>
      <c r="C132" s="48"/>
      <c r="D132" s="172"/>
      <c r="E132" s="48"/>
      <c r="F132" s="170"/>
      <c r="G132" s="175"/>
    </row>
    <row r="133">
      <c r="A133" s="47"/>
      <c r="B133" s="48"/>
      <c r="C133" s="48"/>
      <c r="D133" s="172"/>
      <c r="E133" s="48"/>
      <c r="F133" s="170"/>
      <c r="G133" s="175"/>
    </row>
    <row r="134">
      <c r="A134" s="47"/>
      <c r="B134" s="48"/>
      <c r="C134" s="48"/>
      <c r="D134" s="172"/>
      <c r="E134" s="48"/>
      <c r="F134" s="170"/>
      <c r="G134" s="175"/>
    </row>
    <row r="135">
      <c r="A135" s="47"/>
      <c r="B135" s="48"/>
      <c r="C135" s="48"/>
      <c r="D135" s="172"/>
      <c r="E135" s="48"/>
      <c r="F135" s="170"/>
      <c r="G135" s="175"/>
    </row>
    <row r="136">
      <c r="A136" s="47"/>
      <c r="B136" s="48"/>
      <c r="C136" s="48"/>
      <c r="D136" s="172"/>
      <c r="E136" s="48"/>
      <c r="F136" s="170"/>
      <c r="G136" s="175"/>
    </row>
    <row r="137">
      <c r="A137" s="47"/>
      <c r="B137" s="48"/>
      <c r="C137" s="48"/>
      <c r="D137" s="172"/>
      <c r="E137" s="48"/>
      <c r="F137" s="170"/>
      <c r="G137" s="175"/>
    </row>
    <row r="138">
      <c r="A138" s="47"/>
      <c r="B138" s="48"/>
      <c r="C138" s="48"/>
      <c r="D138" s="172"/>
      <c r="E138" s="48"/>
      <c r="F138" s="170"/>
      <c r="G138" s="175"/>
    </row>
    <row r="139">
      <c r="A139" s="47"/>
      <c r="B139" s="48"/>
      <c r="C139" s="48"/>
      <c r="D139" s="172"/>
      <c r="E139" s="48"/>
      <c r="F139" s="170"/>
      <c r="G139" s="175"/>
    </row>
    <row r="140">
      <c r="A140" s="47"/>
      <c r="B140" s="48"/>
      <c r="C140" s="48"/>
      <c r="D140" s="172"/>
      <c r="E140" s="48"/>
      <c r="F140" s="170"/>
      <c r="G140" s="175"/>
    </row>
    <row r="141">
      <c r="A141" s="47"/>
      <c r="B141" s="48"/>
      <c r="C141" s="48"/>
      <c r="D141" s="172"/>
      <c r="E141" s="48"/>
      <c r="F141" s="170"/>
      <c r="G141" s="175"/>
    </row>
    <row r="142">
      <c r="A142" s="47"/>
      <c r="B142" s="48"/>
      <c r="C142" s="48"/>
      <c r="D142" s="172"/>
      <c r="E142" s="48"/>
      <c r="F142" s="170"/>
      <c r="G142" s="175"/>
    </row>
    <row r="143">
      <c r="A143" s="47"/>
      <c r="B143" s="48"/>
      <c r="C143" s="48"/>
      <c r="D143" s="172"/>
      <c r="E143" s="48"/>
      <c r="F143" s="170"/>
      <c r="G143" s="175"/>
    </row>
    <row r="144">
      <c r="A144" s="47"/>
      <c r="B144" s="48"/>
      <c r="C144" s="48"/>
      <c r="D144" s="172"/>
      <c r="E144" s="48"/>
      <c r="F144" s="170"/>
      <c r="G144" s="175"/>
    </row>
    <row r="145">
      <c r="A145" s="47"/>
      <c r="B145" s="48"/>
      <c r="C145" s="48"/>
      <c r="D145" s="172"/>
      <c r="E145" s="48"/>
      <c r="F145" s="170"/>
      <c r="G145" s="175"/>
    </row>
    <row r="146">
      <c r="A146" s="47"/>
      <c r="B146" s="48"/>
      <c r="C146" s="48"/>
      <c r="D146" s="172"/>
      <c r="E146" s="48"/>
      <c r="F146" s="170"/>
      <c r="G146" s="175"/>
    </row>
    <row r="147">
      <c r="A147" s="47"/>
      <c r="B147" s="48"/>
      <c r="C147" s="48"/>
      <c r="D147" s="172"/>
      <c r="E147" s="48"/>
      <c r="F147" s="170"/>
      <c r="G147" s="175"/>
    </row>
    <row r="148">
      <c r="A148" s="47"/>
      <c r="B148" s="48"/>
      <c r="C148" s="48"/>
      <c r="D148" s="172"/>
      <c r="E148" s="48"/>
      <c r="F148" s="170"/>
      <c r="G148" s="175"/>
    </row>
    <row r="149">
      <c r="A149" s="47"/>
      <c r="B149" s="48"/>
      <c r="C149" s="48"/>
      <c r="D149" s="172"/>
      <c r="E149" s="48"/>
      <c r="F149" s="170"/>
      <c r="G149" s="175"/>
    </row>
    <row r="150">
      <c r="A150" s="47"/>
      <c r="B150" s="48"/>
      <c r="C150" s="48"/>
      <c r="D150" s="172"/>
      <c r="E150" s="48"/>
      <c r="F150" s="170"/>
      <c r="G150" s="175"/>
    </row>
    <row r="151">
      <c r="A151" s="47"/>
      <c r="B151" s="48"/>
      <c r="C151" s="48"/>
      <c r="D151" s="172"/>
      <c r="E151" s="48"/>
      <c r="F151" s="170"/>
      <c r="G151" s="175"/>
    </row>
    <row r="152">
      <c r="A152" s="47"/>
      <c r="B152" s="48"/>
      <c r="C152" s="48"/>
      <c r="D152" s="172"/>
      <c r="E152" s="48"/>
      <c r="F152" s="170"/>
      <c r="G152" s="175"/>
    </row>
    <row r="153">
      <c r="A153" s="47"/>
      <c r="B153" s="48"/>
      <c r="C153" s="48"/>
      <c r="D153" s="172"/>
      <c r="E153" s="48"/>
      <c r="F153" s="170"/>
      <c r="G153" s="175"/>
    </row>
    <row r="154">
      <c r="A154" s="47"/>
      <c r="B154" s="48"/>
      <c r="C154" s="48"/>
      <c r="D154" s="172"/>
      <c r="E154" s="48"/>
      <c r="F154" s="170"/>
      <c r="G154" s="175"/>
    </row>
    <row r="155">
      <c r="A155" s="47"/>
      <c r="B155" s="48"/>
      <c r="C155" s="48"/>
      <c r="D155" s="172"/>
      <c r="E155" s="48"/>
      <c r="F155" s="170"/>
      <c r="G155" s="175"/>
    </row>
    <row r="156">
      <c r="A156" s="47"/>
      <c r="B156" s="48"/>
      <c r="C156" s="48"/>
      <c r="D156" s="172"/>
      <c r="E156" s="48"/>
      <c r="F156" s="170"/>
      <c r="G156" s="175"/>
    </row>
    <row r="157">
      <c r="A157" s="47"/>
      <c r="B157" s="48"/>
      <c r="C157" s="48"/>
      <c r="D157" s="172"/>
      <c r="E157" s="48"/>
      <c r="F157" s="170"/>
      <c r="G157" s="175"/>
    </row>
    <row r="158">
      <c r="A158" s="47"/>
      <c r="B158" s="48"/>
      <c r="C158" s="48"/>
      <c r="D158" s="172"/>
      <c r="E158" s="48"/>
      <c r="F158" s="170"/>
      <c r="G158" s="175"/>
    </row>
    <row r="159">
      <c r="A159" s="47"/>
      <c r="B159" s="48"/>
      <c r="C159" s="48"/>
      <c r="D159" s="172"/>
      <c r="E159" s="48"/>
      <c r="F159" s="170"/>
      <c r="G159" s="175"/>
    </row>
    <row r="160">
      <c r="A160" s="47"/>
      <c r="B160" s="48"/>
      <c r="C160" s="48"/>
      <c r="D160" s="172"/>
      <c r="E160" s="48"/>
      <c r="F160" s="170"/>
      <c r="G160" s="175"/>
    </row>
    <row r="161">
      <c r="A161" s="47"/>
      <c r="B161" s="48"/>
      <c r="C161" s="48"/>
      <c r="D161" s="172"/>
      <c r="E161" s="48"/>
      <c r="F161" s="170"/>
      <c r="G161" s="175"/>
    </row>
    <row r="162">
      <c r="A162" s="47"/>
      <c r="B162" s="48"/>
      <c r="C162" s="48"/>
      <c r="D162" s="172"/>
      <c r="E162" s="48"/>
      <c r="F162" s="170"/>
      <c r="G162" s="175"/>
    </row>
    <row r="163">
      <c r="A163" s="47"/>
      <c r="B163" s="48"/>
      <c r="C163" s="48"/>
      <c r="D163" s="172"/>
      <c r="E163" s="48"/>
      <c r="F163" s="170"/>
      <c r="G163" s="175"/>
    </row>
    <row r="164">
      <c r="A164" s="47"/>
      <c r="B164" s="48"/>
      <c r="C164" s="48"/>
      <c r="D164" s="172"/>
      <c r="E164" s="48"/>
      <c r="F164" s="170"/>
      <c r="G164" s="175"/>
    </row>
    <row r="165">
      <c r="A165" s="47"/>
      <c r="B165" s="48"/>
      <c r="C165" s="48"/>
      <c r="D165" s="172"/>
      <c r="E165" s="48"/>
      <c r="F165" s="170"/>
      <c r="G165" s="175"/>
    </row>
    <row r="166">
      <c r="A166" s="47"/>
      <c r="B166" s="48"/>
      <c r="C166" s="48"/>
      <c r="D166" s="172"/>
      <c r="E166" s="48"/>
      <c r="F166" s="170"/>
      <c r="G166" s="175"/>
    </row>
    <row r="167">
      <c r="A167" s="47"/>
      <c r="B167" s="48"/>
      <c r="C167" s="48"/>
      <c r="D167" s="172"/>
      <c r="E167" s="48"/>
      <c r="F167" s="170"/>
      <c r="G167" s="175"/>
    </row>
    <row r="168">
      <c r="A168" s="47"/>
      <c r="B168" s="48"/>
      <c r="C168" s="48"/>
      <c r="D168" s="172"/>
      <c r="E168" s="48"/>
      <c r="F168" s="170"/>
      <c r="G168" s="175"/>
    </row>
    <row r="169">
      <c r="A169" s="47"/>
      <c r="B169" s="48"/>
      <c r="C169" s="48"/>
      <c r="D169" s="172"/>
      <c r="E169" s="48"/>
      <c r="F169" s="170"/>
      <c r="G169" s="175"/>
    </row>
    <row r="170">
      <c r="A170" s="47"/>
      <c r="B170" s="48"/>
      <c r="C170" s="48"/>
      <c r="D170" s="172"/>
      <c r="E170" s="48"/>
      <c r="F170" s="170"/>
      <c r="G170" s="175"/>
    </row>
    <row r="171">
      <c r="A171" s="47"/>
      <c r="B171" s="48"/>
      <c r="C171" s="48"/>
      <c r="D171" s="172"/>
      <c r="E171" s="48"/>
      <c r="F171" s="170"/>
      <c r="G171" s="175"/>
    </row>
    <row r="172">
      <c r="A172" s="47"/>
      <c r="B172" s="48"/>
      <c r="C172" s="48"/>
      <c r="D172" s="172"/>
      <c r="E172" s="48"/>
      <c r="F172" s="170"/>
      <c r="G172" s="175"/>
    </row>
    <row r="173">
      <c r="A173" s="47"/>
      <c r="B173" s="48"/>
      <c r="C173" s="48"/>
      <c r="D173" s="172"/>
      <c r="E173" s="48"/>
      <c r="F173" s="170"/>
      <c r="G173" s="175"/>
    </row>
    <row r="174">
      <c r="A174" s="47"/>
      <c r="B174" s="48"/>
      <c r="C174" s="48"/>
      <c r="D174" s="172"/>
      <c r="E174" s="48"/>
      <c r="F174" s="170"/>
      <c r="G174" s="175"/>
    </row>
    <row r="175">
      <c r="A175" s="47"/>
      <c r="B175" s="48"/>
      <c r="C175" s="48"/>
      <c r="D175" s="172"/>
      <c r="E175" s="48"/>
      <c r="F175" s="170"/>
      <c r="G175" s="175"/>
    </row>
    <row r="176">
      <c r="A176" s="47"/>
      <c r="B176" s="48"/>
      <c r="C176" s="48"/>
      <c r="D176" s="172"/>
      <c r="E176" s="48"/>
      <c r="F176" s="170"/>
      <c r="G176" s="175"/>
    </row>
    <row r="177">
      <c r="A177" s="47"/>
      <c r="B177" s="48"/>
      <c r="C177" s="48"/>
      <c r="D177" s="172"/>
      <c r="E177" s="48"/>
      <c r="F177" s="170"/>
      <c r="G177" s="175"/>
    </row>
    <row r="178">
      <c r="A178" s="47"/>
      <c r="B178" s="48"/>
      <c r="C178" s="48"/>
      <c r="D178" s="172"/>
      <c r="E178" s="48"/>
      <c r="F178" s="170"/>
      <c r="G178" s="175"/>
    </row>
    <row r="179">
      <c r="A179" s="47"/>
      <c r="B179" s="48"/>
      <c r="C179" s="48"/>
      <c r="D179" s="172"/>
      <c r="E179" s="48"/>
      <c r="F179" s="170"/>
      <c r="G179" s="175"/>
    </row>
    <row r="180">
      <c r="A180" s="47"/>
      <c r="B180" s="48"/>
      <c r="C180" s="48"/>
      <c r="D180" s="172"/>
      <c r="E180" s="48"/>
      <c r="F180" s="170"/>
      <c r="G180" s="175"/>
    </row>
    <row r="181">
      <c r="A181" s="47"/>
      <c r="B181" s="48"/>
      <c r="C181" s="48"/>
      <c r="D181" s="172"/>
      <c r="E181" s="48"/>
      <c r="F181" s="170"/>
      <c r="G181" s="175"/>
    </row>
    <row r="182">
      <c r="A182" s="47"/>
      <c r="B182" s="48"/>
      <c r="C182" s="48"/>
      <c r="D182" s="172"/>
      <c r="E182" s="48"/>
      <c r="F182" s="170"/>
      <c r="G182" s="175"/>
    </row>
    <row r="183">
      <c r="A183" s="47"/>
      <c r="B183" s="48"/>
      <c r="C183" s="48"/>
      <c r="D183" s="172"/>
      <c r="E183" s="48"/>
      <c r="F183" s="170"/>
      <c r="G183" s="175"/>
    </row>
    <row r="184">
      <c r="A184" s="47"/>
      <c r="B184" s="48"/>
      <c r="C184" s="48"/>
      <c r="D184" s="172"/>
      <c r="E184" s="48"/>
      <c r="F184" s="170"/>
      <c r="G184" s="175"/>
    </row>
    <row r="185">
      <c r="A185" s="47"/>
      <c r="B185" s="48"/>
      <c r="C185" s="48"/>
      <c r="D185" s="172"/>
      <c r="E185" s="48"/>
      <c r="F185" s="170"/>
      <c r="G185" s="175"/>
    </row>
    <row r="186">
      <c r="A186" s="47"/>
      <c r="B186" s="48"/>
      <c r="C186" s="48"/>
      <c r="D186" s="172"/>
      <c r="E186" s="48"/>
      <c r="F186" s="170"/>
      <c r="G186" s="175"/>
    </row>
    <row r="187">
      <c r="A187" s="47"/>
      <c r="B187" s="48"/>
      <c r="C187" s="48"/>
      <c r="D187" s="172"/>
      <c r="E187" s="48"/>
      <c r="F187" s="170"/>
      <c r="G187" s="175"/>
    </row>
    <row r="188">
      <c r="A188" s="47"/>
      <c r="B188" s="48"/>
      <c r="C188" s="48"/>
      <c r="D188" s="172"/>
      <c r="E188" s="48"/>
      <c r="F188" s="170"/>
      <c r="G188" s="175"/>
    </row>
    <row r="189">
      <c r="A189" s="47"/>
      <c r="B189" s="48"/>
      <c r="C189" s="48"/>
      <c r="D189" s="172"/>
      <c r="E189" s="48"/>
      <c r="F189" s="170"/>
      <c r="G189" s="175"/>
    </row>
    <row r="190">
      <c r="A190" s="47"/>
      <c r="B190" s="48"/>
      <c r="C190" s="48"/>
      <c r="D190" s="172"/>
      <c r="E190" s="48"/>
      <c r="F190" s="170"/>
      <c r="G190" s="175"/>
    </row>
    <row r="191">
      <c r="A191" s="47"/>
      <c r="B191" s="48"/>
      <c r="C191" s="48"/>
      <c r="D191" s="172"/>
      <c r="E191" s="48"/>
      <c r="F191" s="170"/>
      <c r="G191" s="175"/>
    </row>
    <row r="192">
      <c r="A192" s="47"/>
      <c r="B192" s="48"/>
      <c r="C192" s="48"/>
      <c r="D192" s="172"/>
      <c r="E192" s="48"/>
      <c r="F192" s="170"/>
      <c r="G192" s="175"/>
    </row>
    <row r="193">
      <c r="A193" s="47"/>
      <c r="B193" s="48"/>
      <c r="C193" s="48"/>
      <c r="D193" s="172"/>
      <c r="E193" s="48"/>
      <c r="F193" s="170"/>
      <c r="G193" s="175"/>
    </row>
    <row r="194">
      <c r="A194" s="47"/>
      <c r="B194" s="48"/>
      <c r="C194" s="48"/>
      <c r="D194" s="172"/>
      <c r="E194" s="48"/>
      <c r="F194" s="170"/>
      <c r="G194" s="175"/>
    </row>
    <row r="195">
      <c r="A195" s="47"/>
      <c r="B195" s="48"/>
      <c r="C195" s="48"/>
      <c r="D195" s="172"/>
      <c r="E195" s="48"/>
      <c r="F195" s="170"/>
      <c r="G195" s="175"/>
    </row>
    <row r="196">
      <c r="A196" s="47"/>
      <c r="B196" s="48"/>
      <c r="C196" s="48"/>
      <c r="D196" s="172"/>
      <c r="E196" s="48"/>
      <c r="F196" s="170"/>
      <c r="G196" s="175"/>
    </row>
    <row r="197">
      <c r="A197" s="47"/>
      <c r="B197" s="48"/>
      <c r="C197" s="48"/>
      <c r="D197" s="172"/>
      <c r="E197" s="48"/>
      <c r="F197" s="170"/>
      <c r="G197" s="175"/>
    </row>
    <row r="198">
      <c r="A198" s="47"/>
      <c r="B198" s="48"/>
      <c r="C198" s="48"/>
      <c r="D198" s="172"/>
      <c r="E198" s="48"/>
      <c r="F198" s="170"/>
      <c r="G198" s="175"/>
    </row>
    <row r="199">
      <c r="A199" s="47"/>
      <c r="B199" s="48"/>
      <c r="C199" s="48"/>
      <c r="D199" s="172"/>
      <c r="E199" s="48"/>
      <c r="F199" s="170"/>
      <c r="G199" s="175"/>
    </row>
    <row r="200">
      <c r="A200" s="47"/>
      <c r="B200" s="48"/>
      <c r="C200" s="48"/>
      <c r="D200" s="172"/>
      <c r="E200" s="48"/>
      <c r="F200" s="170"/>
      <c r="G200" s="175"/>
    </row>
    <row r="201">
      <c r="A201" s="47"/>
      <c r="B201" s="48"/>
      <c r="C201" s="48"/>
      <c r="D201" s="172"/>
      <c r="E201" s="48"/>
      <c r="F201" s="170"/>
      <c r="G201" s="175"/>
    </row>
    <row r="202">
      <c r="A202" s="47"/>
      <c r="B202" s="48"/>
      <c r="C202" s="48"/>
      <c r="D202" s="172"/>
      <c r="E202" s="48"/>
      <c r="F202" s="170"/>
      <c r="G202" s="175"/>
    </row>
    <row r="203">
      <c r="A203" s="47"/>
      <c r="B203" s="48"/>
      <c r="C203" s="48"/>
      <c r="D203" s="172"/>
      <c r="E203" s="48"/>
      <c r="F203" s="170"/>
      <c r="G203" s="175"/>
    </row>
    <row r="204">
      <c r="A204" s="47"/>
      <c r="B204" s="48"/>
      <c r="C204" s="48"/>
      <c r="D204" s="172"/>
      <c r="E204" s="48"/>
      <c r="F204" s="170"/>
      <c r="G204" s="175"/>
    </row>
    <row r="205">
      <c r="A205" s="47"/>
      <c r="B205" s="48"/>
      <c r="C205" s="48"/>
      <c r="D205" s="172"/>
      <c r="E205" s="48"/>
      <c r="F205" s="170"/>
      <c r="G205" s="175"/>
    </row>
    <row r="206">
      <c r="A206" s="47"/>
      <c r="B206" s="48"/>
      <c r="C206" s="48"/>
      <c r="D206" s="172"/>
      <c r="E206" s="48"/>
      <c r="F206" s="170"/>
      <c r="G206" s="175"/>
    </row>
    <row r="207">
      <c r="A207" s="47"/>
      <c r="B207" s="48"/>
      <c r="C207" s="48"/>
      <c r="D207" s="172"/>
      <c r="E207" s="48"/>
      <c r="F207" s="170"/>
      <c r="G207" s="175"/>
    </row>
    <row r="208">
      <c r="A208" s="47"/>
      <c r="B208" s="48"/>
      <c r="C208" s="48"/>
      <c r="D208" s="172"/>
      <c r="E208" s="48"/>
      <c r="F208" s="170"/>
      <c r="G208" s="175"/>
    </row>
    <row r="209">
      <c r="A209" s="47"/>
      <c r="B209" s="48"/>
      <c r="C209" s="48"/>
      <c r="D209" s="172"/>
      <c r="E209" s="48"/>
      <c r="F209" s="170"/>
      <c r="G209" s="175"/>
    </row>
    <row r="210">
      <c r="A210" s="47"/>
      <c r="B210" s="48"/>
      <c r="C210" s="48"/>
      <c r="D210" s="172"/>
      <c r="E210" s="48"/>
      <c r="F210" s="170"/>
      <c r="G210" s="175"/>
    </row>
    <row r="211">
      <c r="A211" s="47"/>
      <c r="B211" s="48"/>
      <c r="C211" s="48"/>
      <c r="D211" s="172"/>
      <c r="E211" s="48"/>
      <c r="F211" s="170"/>
      <c r="G211" s="175"/>
    </row>
    <row r="212">
      <c r="A212" s="47"/>
      <c r="B212" s="48"/>
      <c r="C212" s="48"/>
      <c r="D212" s="172"/>
      <c r="E212" s="48"/>
      <c r="F212" s="170"/>
      <c r="G212" s="175"/>
    </row>
    <row r="213">
      <c r="A213" s="47"/>
      <c r="B213" s="48"/>
      <c r="C213" s="48"/>
      <c r="D213" s="172"/>
      <c r="E213" s="48"/>
      <c r="F213" s="170"/>
      <c r="G213" s="175"/>
    </row>
    <row r="214">
      <c r="A214" s="47"/>
      <c r="B214" s="48"/>
      <c r="C214" s="48"/>
      <c r="D214" s="172"/>
      <c r="E214" s="48"/>
      <c r="F214" s="170"/>
      <c r="G214" s="175"/>
    </row>
    <row r="215">
      <c r="A215" s="47"/>
      <c r="B215" s="48"/>
      <c r="C215" s="48"/>
      <c r="D215" s="172"/>
      <c r="E215" s="48"/>
      <c r="F215" s="170"/>
      <c r="G215" s="175"/>
    </row>
    <row r="216">
      <c r="A216" s="47"/>
      <c r="B216" s="48"/>
      <c r="C216" s="48"/>
      <c r="D216" s="172"/>
      <c r="E216" s="48"/>
      <c r="F216" s="170"/>
      <c r="G216" s="175"/>
    </row>
    <row r="217">
      <c r="A217" s="47"/>
      <c r="B217" s="48"/>
      <c r="C217" s="48"/>
      <c r="D217" s="172"/>
      <c r="E217" s="48"/>
      <c r="F217" s="170"/>
      <c r="G217" s="175"/>
    </row>
    <row r="218">
      <c r="A218" s="47"/>
      <c r="B218" s="48"/>
      <c r="C218" s="48"/>
      <c r="D218" s="172"/>
      <c r="E218" s="48"/>
      <c r="F218" s="170"/>
      <c r="G218" s="175"/>
    </row>
    <row r="219">
      <c r="A219" s="47"/>
      <c r="B219" s="48"/>
      <c r="C219" s="48"/>
      <c r="D219" s="172"/>
      <c r="E219" s="48"/>
      <c r="F219" s="170"/>
      <c r="G219" s="175"/>
    </row>
    <row r="220">
      <c r="A220" s="47"/>
      <c r="B220" s="48"/>
      <c r="C220" s="48"/>
      <c r="D220" s="172"/>
      <c r="E220" s="48"/>
      <c r="F220" s="170"/>
      <c r="G220" s="175"/>
    </row>
    <row r="221">
      <c r="A221" s="47"/>
      <c r="B221" s="48"/>
      <c r="C221" s="48"/>
      <c r="D221" s="172"/>
      <c r="E221" s="48"/>
      <c r="F221" s="170"/>
      <c r="G221" s="175"/>
    </row>
    <row r="222">
      <c r="A222" s="47"/>
      <c r="B222" s="48"/>
      <c r="C222" s="48"/>
      <c r="D222" s="172"/>
      <c r="E222" s="48"/>
      <c r="F222" s="170"/>
      <c r="G222" s="175"/>
    </row>
    <row r="223">
      <c r="A223" s="47"/>
      <c r="B223" s="48"/>
      <c r="C223" s="48"/>
      <c r="D223" s="172"/>
      <c r="E223" s="48"/>
      <c r="F223" s="170"/>
      <c r="G223" s="175"/>
    </row>
    <row r="224">
      <c r="A224" s="47"/>
      <c r="B224" s="48"/>
      <c r="C224" s="48"/>
      <c r="D224" s="172"/>
      <c r="E224" s="48"/>
      <c r="F224" s="170"/>
      <c r="G224" s="175"/>
    </row>
    <row r="225">
      <c r="A225" s="47"/>
      <c r="B225" s="48"/>
      <c r="C225" s="48"/>
      <c r="D225" s="172"/>
      <c r="E225" s="48"/>
      <c r="F225" s="170"/>
      <c r="G225" s="175"/>
    </row>
    <row r="226">
      <c r="A226" s="47"/>
      <c r="B226" s="48"/>
      <c r="C226" s="48"/>
      <c r="D226" s="172"/>
      <c r="E226" s="48"/>
      <c r="F226" s="170"/>
      <c r="G226" s="175"/>
    </row>
    <row r="227">
      <c r="A227" s="47"/>
      <c r="B227" s="48"/>
      <c r="C227" s="48"/>
      <c r="D227" s="172"/>
      <c r="E227" s="48"/>
      <c r="F227" s="170"/>
      <c r="G227" s="175"/>
    </row>
    <row r="228">
      <c r="A228" s="47"/>
      <c r="B228" s="48"/>
      <c r="C228" s="48"/>
      <c r="D228" s="172"/>
      <c r="E228" s="48"/>
      <c r="F228" s="170"/>
      <c r="G228" s="175"/>
    </row>
    <row r="229">
      <c r="A229" s="47"/>
      <c r="B229" s="48"/>
      <c r="C229" s="48"/>
      <c r="D229" s="172"/>
      <c r="E229" s="48"/>
      <c r="F229" s="170"/>
      <c r="G229" s="175"/>
    </row>
    <row r="230">
      <c r="A230" s="47"/>
      <c r="B230" s="48"/>
      <c r="C230" s="48"/>
      <c r="D230" s="172"/>
      <c r="E230" s="48"/>
      <c r="F230" s="170"/>
      <c r="G230" s="175"/>
    </row>
    <row r="231">
      <c r="A231" s="47"/>
      <c r="B231" s="48"/>
      <c r="C231" s="48"/>
      <c r="D231" s="172"/>
      <c r="E231" s="48"/>
      <c r="F231" s="170"/>
      <c r="G231" s="175"/>
    </row>
    <row r="232">
      <c r="A232" s="47"/>
      <c r="B232" s="48"/>
      <c r="C232" s="48"/>
      <c r="D232" s="172"/>
      <c r="E232" s="48"/>
      <c r="F232" s="170"/>
      <c r="G232" s="175"/>
    </row>
    <row r="233">
      <c r="A233" s="47"/>
      <c r="B233" s="48"/>
      <c r="C233" s="48"/>
      <c r="D233" s="172"/>
      <c r="E233" s="48"/>
      <c r="F233" s="170"/>
      <c r="G233" s="175"/>
    </row>
    <row r="234">
      <c r="A234" s="47"/>
      <c r="B234" s="48"/>
      <c r="C234" s="48"/>
      <c r="D234" s="172"/>
      <c r="E234" s="48"/>
      <c r="F234" s="170"/>
      <c r="G234" s="175"/>
    </row>
    <row r="235">
      <c r="A235" s="47"/>
      <c r="B235" s="48"/>
      <c r="C235" s="48"/>
      <c r="D235" s="172"/>
      <c r="E235" s="48"/>
      <c r="F235" s="170"/>
      <c r="G235" s="175"/>
    </row>
    <row r="236">
      <c r="A236" s="47"/>
      <c r="B236" s="48"/>
      <c r="C236" s="48"/>
      <c r="D236" s="172"/>
      <c r="E236" s="48"/>
      <c r="F236" s="170"/>
      <c r="G236" s="175"/>
    </row>
    <row r="237">
      <c r="A237" s="47"/>
      <c r="B237" s="48"/>
      <c r="C237" s="48"/>
      <c r="D237" s="172"/>
      <c r="E237" s="48"/>
      <c r="F237" s="170"/>
      <c r="G237" s="175"/>
    </row>
    <row r="238">
      <c r="A238" s="47"/>
      <c r="B238" s="48"/>
      <c r="C238" s="48"/>
      <c r="D238" s="172"/>
      <c r="E238" s="48"/>
      <c r="F238" s="170"/>
      <c r="G238" s="175"/>
    </row>
    <row r="239">
      <c r="A239" s="47"/>
      <c r="B239" s="48"/>
      <c r="C239" s="48"/>
      <c r="D239" s="172"/>
      <c r="E239" s="48"/>
      <c r="F239" s="170"/>
      <c r="G239" s="175"/>
    </row>
    <row r="240">
      <c r="A240" s="47"/>
      <c r="B240" s="48"/>
      <c r="C240" s="48"/>
      <c r="D240" s="172"/>
      <c r="E240" s="48"/>
      <c r="F240" s="170"/>
      <c r="G240" s="175"/>
    </row>
    <row r="241">
      <c r="A241" s="47"/>
      <c r="B241" s="48"/>
      <c r="C241" s="48"/>
      <c r="D241" s="172"/>
      <c r="E241" s="48"/>
      <c r="F241" s="170"/>
      <c r="G241" s="175"/>
    </row>
    <row r="242">
      <c r="A242" s="47"/>
      <c r="B242" s="48"/>
      <c r="C242" s="48"/>
      <c r="D242" s="172"/>
      <c r="E242" s="48"/>
      <c r="F242" s="170"/>
      <c r="G242" s="175"/>
    </row>
    <row r="243">
      <c r="A243" s="47"/>
      <c r="B243" s="48"/>
      <c r="C243" s="48"/>
      <c r="D243" s="172"/>
      <c r="E243" s="48"/>
      <c r="F243" s="170"/>
      <c r="G243" s="175"/>
    </row>
    <row r="244">
      <c r="A244" s="47"/>
      <c r="B244" s="48"/>
      <c r="C244" s="48"/>
      <c r="D244" s="172"/>
      <c r="E244" s="48"/>
      <c r="F244" s="170"/>
      <c r="G244" s="175"/>
    </row>
    <row r="245">
      <c r="A245" s="47"/>
      <c r="B245" s="48"/>
      <c r="C245" s="48"/>
      <c r="D245" s="172"/>
      <c r="E245" s="48"/>
      <c r="F245" s="170"/>
      <c r="G245" s="175"/>
    </row>
    <row r="246">
      <c r="A246" s="47"/>
      <c r="B246" s="48"/>
      <c r="C246" s="48"/>
      <c r="D246" s="172"/>
      <c r="E246" s="48"/>
      <c r="F246" s="170"/>
      <c r="G246" s="175"/>
    </row>
    <row r="247">
      <c r="A247" s="47"/>
      <c r="B247" s="48"/>
      <c r="C247" s="48"/>
      <c r="D247" s="172"/>
      <c r="E247" s="48"/>
      <c r="F247" s="170"/>
      <c r="G247" s="175"/>
    </row>
    <row r="248">
      <c r="A248" s="47"/>
      <c r="B248" s="48"/>
      <c r="C248" s="48"/>
      <c r="D248" s="172"/>
      <c r="E248" s="48"/>
      <c r="F248" s="170"/>
      <c r="G248" s="175"/>
    </row>
    <row r="249">
      <c r="A249" s="47"/>
      <c r="B249" s="48"/>
      <c r="C249" s="48"/>
      <c r="D249" s="172"/>
      <c r="E249" s="48"/>
      <c r="F249" s="170"/>
      <c r="G249" s="175"/>
    </row>
    <row r="250">
      <c r="A250" s="47"/>
      <c r="B250" s="48"/>
      <c r="C250" s="48"/>
      <c r="D250" s="172"/>
      <c r="E250" s="48"/>
      <c r="F250" s="170"/>
      <c r="G250" s="175"/>
    </row>
    <row r="251">
      <c r="A251" s="47"/>
      <c r="B251" s="48"/>
      <c r="C251" s="48"/>
      <c r="D251" s="172"/>
      <c r="E251" s="48"/>
      <c r="F251" s="170"/>
      <c r="G251" s="175"/>
    </row>
    <row r="252">
      <c r="A252" s="47"/>
      <c r="B252" s="48"/>
      <c r="C252" s="48"/>
      <c r="D252" s="172"/>
      <c r="E252" s="48"/>
      <c r="F252" s="170"/>
      <c r="G252" s="175"/>
    </row>
    <row r="253">
      <c r="A253" s="47"/>
      <c r="B253" s="48"/>
      <c r="C253" s="48"/>
      <c r="D253" s="172"/>
      <c r="E253" s="48"/>
      <c r="F253" s="170"/>
      <c r="G253" s="175"/>
    </row>
    <row r="254">
      <c r="A254" s="47"/>
      <c r="B254" s="48"/>
      <c r="C254" s="48"/>
      <c r="D254" s="172"/>
      <c r="E254" s="48"/>
      <c r="F254" s="170"/>
      <c r="G254" s="175"/>
    </row>
    <row r="255">
      <c r="A255" s="47"/>
      <c r="B255" s="48"/>
      <c r="C255" s="48"/>
      <c r="D255" s="172"/>
      <c r="E255" s="48"/>
      <c r="F255" s="170"/>
      <c r="G255" s="175"/>
    </row>
    <row r="256">
      <c r="A256" s="47"/>
      <c r="B256" s="48"/>
      <c r="C256" s="48"/>
      <c r="D256" s="172"/>
      <c r="E256" s="48"/>
      <c r="F256" s="170"/>
      <c r="G256" s="175"/>
    </row>
    <row r="257">
      <c r="A257" s="47"/>
      <c r="B257" s="48"/>
      <c r="C257" s="48"/>
      <c r="D257" s="172"/>
      <c r="E257" s="48"/>
      <c r="F257" s="170"/>
      <c r="G257" s="175"/>
    </row>
    <row r="258">
      <c r="A258" s="47"/>
      <c r="B258" s="48"/>
      <c r="C258" s="48"/>
      <c r="D258" s="172"/>
      <c r="E258" s="48"/>
      <c r="F258" s="170"/>
      <c r="G258" s="175"/>
    </row>
    <row r="259">
      <c r="A259" s="47"/>
      <c r="B259" s="48"/>
      <c r="C259" s="48"/>
      <c r="D259" s="172"/>
      <c r="E259" s="48"/>
      <c r="F259" s="170"/>
      <c r="G259" s="175"/>
    </row>
    <row r="260">
      <c r="A260" s="47"/>
      <c r="B260" s="48"/>
      <c r="C260" s="48"/>
      <c r="D260" s="172"/>
      <c r="E260" s="48"/>
      <c r="F260" s="170"/>
      <c r="G260" s="175"/>
    </row>
    <row r="261">
      <c r="A261" s="47"/>
      <c r="B261" s="48"/>
      <c r="C261" s="48"/>
      <c r="D261" s="172"/>
      <c r="E261" s="48"/>
      <c r="F261" s="170"/>
      <c r="G261" s="175"/>
    </row>
    <row r="262">
      <c r="A262" s="47"/>
      <c r="B262" s="48"/>
      <c r="C262" s="48"/>
      <c r="D262" s="172"/>
      <c r="E262" s="48"/>
      <c r="F262" s="170"/>
      <c r="G262" s="175"/>
    </row>
    <row r="263">
      <c r="A263" s="47"/>
      <c r="B263" s="48"/>
      <c r="C263" s="48"/>
      <c r="D263" s="172"/>
      <c r="E263" s="48"/>
      <c r="F263" s="170"/>
      <c r="G263" s="175"/>
    </row>
    <row r="264">
      <c r="A264" s="47"/>
      <c r="B264" s="48"/>
      <c r="C264" s="48"/>
      <c r="D264" s="172"/>
      <c r="E264" s="48"/>
      <c r="F264" s="170"/>
      <c r="G264" s="175"/>
    </row>
    <row r="265">
      <c r="A265" s="47"/>
      <c r="B265" s="48"/>
      <c r="C265" s="48"/>
      <c r="D265" s="172"/>
      <c r="E265" s="48"/>
      <c r="F265" s="170"/>
      <c r="G265" s="175"/>
    </row>
    <row r="266">
      <c r="A266" s="47"/>
      <c r="B266" s="48"/>
      <c r="C266" s="48"/>
      <c r="D266" s="172"/>
      <c r="E266" s="48"/>
      <c r="F266" s="170"/>
      <c r="G266" s="175"/>
    </row>
    <row r="267">
      <c r="A267" s="47"/>
      <c r="B267" s="48"/>
      <c r="C267" s="48"/>
      <c r="D267" s="172"/>
      <c r="E267" s="48"/>
      <c r="F267" s="170"/>
      <c r="G267" s="175"/>
    </row>
    <row r="268">
      <c r="A268" s="47"/>
      <c r="B268" s="48"/>
      <c r="C268" s="48"/>
      <c r="D268" s="172"/>
      <c r="E268" s="48"/>
      <c r="F268" s="170"/>
      <c r="G268" s="175"/>
    </row>
    <row r="269">
      <c r="A269" s="47"/>
      <c r="B269" s="48"/>
      <c r="C269" s="48"/>
      <c r="D269" s="172"/>
      <c r="E269" s="48"/>
      <c r="F269" s="170"/>
      <c r="G269" s="175"/>
    </row>
    <row r="270">
      <c r="A270" s="47"/>
      <c r="B270" s="48"/>
      <c r="C270" s="48"/>
      <c r="D270" s="172"/>
      <c r="E270" s="48"/>
      <c r="F270" s="170"/>
      <c r="G270" s="175"/>
    </row>
    <row r="271">
      <c r="A271" s="47"/>
      <c r="B271" s="48"/>
      <c r="C271" s="48"/>
      <c r="D271" s="172"/>
      <c r="E271" s="48"/>
      <c r="F271" s="170"/>
      <c r="G271" s="175"/>
    </row>
    <row r="272">
      <c r="A272" s="47"/>
      <c r="B272" s="48"/>
      <c r="C272" s="48"/>
      <c r="D272" s="172"/>
      <c r="E272" s="48"/>
      <c r="F272" s="170"/>
      <c r="G272" s="175"/>
    </row>
    <row r="273">
      <c r="A273" s="47"/>
      <c r="B273" s="48"/>
      <c r="C273" s="48"/>
      <c r="D273" s="172"/>
      <c r="E273" s="48"/>
      <c r="F273" s="170"/>
      <c r="G273" s="175"/>
    </row>
    <row r="274">
      <c r="A274" s="47"/>
      <c r="B274" s="48"/>
      <c r="C274" s="48"/>
      <c r="D274" s="172"/>
      <c r="E274" s="48"/>
      <c r="F274" s="170"/>
      <c r="G274" s="175"/>
    </row>
    <row r="275">
      <c r="A275" s="47"/>
      <c r="B275" s="48"/>
      <c r="C275" s="48"/>
      <c r="D275" s="172"/>
      <c r="E275" s="48"/>
      <c r="F275" s="170"/>
      <c r="G275" s="175"/>
    </row>
    <row r="276">
      <c r="A276" s="47"/>
      <c r="B276" s="48"/>
      <c r="C276" s="48"/>
      <c r="D276" s="172"/>
      <c r="E276" s="48"/>
      <c r="F276" s="170"/>
      <c r="G276" s="175"/>
    </row>
    <row r="277">
      <c r="A277" s="47"/>
      <c r="B277" s="48"/>
      <c r="C277" s="48"/>
      <c r="D277" s="172"/>
      <c r="E277" s="48"/>
      <c r="F277" s="170"/>
      <c r="G277" s="175"/>
    </row>
    <row r="278">
      <c r="A278" s="47"/>
      <c r="B278" s="48"/>
      <c r="C278" s="48"/>
      <c r="D278" s="172"/>
      <c r="E278" s="48"/>
      <c r="F278" s="170"/>
      <c r="G278" s="175"/>
    </row>
    <row r="279">
      <c r="A279" s="47"/>
      <c r="B279" s="48"/>
      <c r="C279" s="48"/>
      <c r="D279" s="172"/>
      <c r="E279" s="48"/>
      <c r="F279" s="170"/>
      <c r="G279" s="175"/>
    </row>
    <row r="280">
      <c r="A280" s="47"/>
      <c r="B280" s="48"/>
      <c r="C280" s="48"/>
      <c r="D280" s="172"/>
      <c r="E280" s="48"/>
      <c r="F280" s="170"/>
      <c r="G280" s="175"/>
    </row>
    <row r="281">
      <c r="A281" s="47"/>
      <c r="B281" s="48"/>
      <c r="C281" s="48"/>
      <c r="D281" s="172"/>
      <c r="E281" s="48"/>
      <c r="F281" s="170"/>
      <c r="G281" s="175"/>
    </row>
    <row r="282">
      <c r="A282" s="47"/>
      <c r="B282" s="48"/>
      <c r="C282" s="48"/>
      <c r="D282" s="172"/>
      <c r="E282" s="48"/>
      <c r="F282" s="170"/>
      <c r="G282" s="175"/>
    </row>
    <row r="283">
      <c r="A283" s="47"/>
      <c r="B283" s="48"/>
      <c r="C283" s="48"/>
      <c r="D283" s="172"/>
      <c r="E283" s="48"/>
      <c r="F283" s="170"/>
      <c r="G283" s="175"/>
    </row>
    <row r="284">
      <c r="A284" s="47"/>
      <c r="B284" s="48"/>
      <c r="C284" s="48"/>
      <c r="D284" s="172"/>
      <c r="E284" s="48"/>
      <c r="F284" s="170"/>
      <c r="G284" s="175"/>
    </row>
    <row r="285">
      <c r="A285" s="47"/>
      <c r="B285" s="48"/>
      <c r="C285" s="48"/>
      <c r="D285" s="172"/>
      <c r="E285" s="48"/>
      <c r="F285" s="170"/>
      <c r="G285" s="175"/>
    </row>
    <row r="286">
      <c r="A286" s="47"/>
      <c r="B286" s="48"/>
      <c r="C286" s="48"/>
      <c r="D286" s="172"/>
      <c r="E286" s="48"/>
      <c r="F286" s="170"/>
      <c r="G286" s="175"/>
    </row>
    <row r="287">
      <c r="A287" s="47"/>
      <c r="B287" s="48"/>
      <c r="C287" s="48"/>
      <c r="D287" s="172"/>
      <c r="E287" s="48"/>
      <c r="F287" s="170"/>
      <c r="G287" s="175"/>
    </row>
    <row r="288">
      <c r="A288" s="47"/>
      <c r="B288" s="48"/>
      <c r="C288" s="48"/>
      <c r="D288" s="172"/>
      <c r="E288" s="48"/>
      <c r="F288" s="170"/>
      <c r="G288" s="175"/>
    </row>
    <row r="289">
      <c r="A289" s="47"/>
      <c r="B289" s="48"/>
      <c r="C289" s="48"/>
      <c r="D289" s="172"/>
      <c r="E289" s="48"/>
      <c r="F289" s="170"/>
      <c r="G289" s="175"/>
    </row>
    <row r="290">
      <c r="A290" s="47"/>
      <c r="B290" s="48"/>
      <c r="C290" s="48"/>
      <c r="D290" s="172"/>
      <c r="E290" s="48"/>
      <c r="F290" s="170"/>
      <c r="G290" s="175"/>
    </row>
    <row r="291">
      <c r="A291" s="47"/>
      <c r="B291" s="48"/>
      <c r="C291" s="48"/>
      <c r="D291" s="172"/>
      <c r="E291" s="48"/>
      <c r="F291" s="170"/>
      <c r="G291" s="175"/>
    </row>
    <row r="292">
      <c r="A292" s="47"/>
      <c r="B292" s="48"/>
      <c r="C292" s="48"/>
      <c r="D292" s="172"/>
      <c r="E292" s="48"/>
      <c r="F292" s="170"/>
      <c r="G292" s="175"/>
    </row>
    <row r="293">
      <c r="A293" s="47"/>
      <c r="B293" s="48"/>
      <c r="C293" s="48"/>
      <c r="D293" s="172"/>
      <c r="E293" s="48"/>
      <c r="F293" s="170"/>
      <c r="G293" s="175"/>
    </row>
    <row r="294">
      <c r="A294" s="47"/>
      <c r="B294" s="48"/>
      <c r="C294" s="48"/>
      <c r="D294" s="172"/>
      <c r="E294" s="48"/>
      <c r="F294" s="170"/>
      <c r="G294" s="175"/>
    </row>
    <row r="295">
      <c r="A295" s="47"/>
      <c r="B295" s="48"/>
      <c r="C295" s="48"/>
      <c r="D295" s="172"/>
      <c r="E295" s="48"/>
      <c r="F295" s="170"/>
      <c r="G295" s="175"/>
    </row>
    <row r="296">
      <c r="A296" s="47"/>
      <c r="B296" s="48"/>
      <c r="C296" s="48"/>
      <c r="D296" s="172"/>
      <c r="E296" s="48"/>
      <c r="F296" s="170"/>
      <c r="G296" s="175"/>
    </row>
    <row r="297">
      <c r="A297" s="47"/>
      <c r="B297" s="48"/>
      <c r="C297" s="48"/>
      <c r="D297" s="172"/>
      <c r="E297" s="48"/>
      <c r="F297" s="170"/>
      <c r="G297" s="175"/>
    </row>
    <row r="298">
      <c r="A298" s="47"/>
      <c r="B298" s="48"/>
      <c r="C298" s="48"/>
      <c r="D298" s="172"/>
      <c r="E298" s="48"/>
      <c r="F298" s="170"/>
      <c r="G298" s="175"/>
    </row>
    <row r="299">
      <c r="A299" s="47"/>
      <c r="B299" s="48"/>
      <c r="C299" s="48"/>
      <c r="D299" s="172"/>
      <c r="E299" s="48"/>
      <c r="F299" s="170"/>
      <c r="G299" s="175"/>
    </row>
    <row r="300">
      <c r="A300" s="47"/>
      <c r="B300" s="48"/>
      <c r="C300" s="48"/>
      <c r="D300" s="172"/>
      <c r="E300" s="48"/>
      <c r="F300" s="170"/>
      <c r="G300" s="175"/>
    </row>
    <row r="301">
      <c r="A301" s="47"/>
      <c r="B301" s="48"/>
      <c r="C301" s="48"/>
      <c r="D301" s="172"/>
      <c r="E301" s="48"/>
      <c r="F301" s="170"/>
      <c r="G301" s="175"/>
    </row>
    <row r="302">
      <c r="A302" s="47"/>
      <c r="B302" s="48"/>
      <c r="C302" s="48"/>
      <c r="D302" s="172"/>
      <c r="E302" s="48"/>
      <c r="F302" s="170"/>
      <c r="G302" s="175"/>
    </row>
    <row r="303">
      <c r="A303" s="47"/>
      <c r="B303" s="48"/>
      <c r="C303" s="48"/>
      <c r="D303" s="172"/>
      <c r="E303" s="48"/>
      <c r="F303" s="170"/>
      <c r="G303" s="175"/>
    </row>
    <row r="304">
      <c r="A304" s="47"/>
      <c r="B304" s="48"/>
      <c r="C304" s="48"/>
      <c r="D304" s="172"/>
      <c r="E304" s="48"/>
      <c r="F304" s="170"/>
      <c r="G304" s="175"/>
    </row>
    <row r="305">
      <c r="A305" s="47"/>
      <c r="B305" s="48"/>
      <c r="C305" s="48"/>
      <c r="D305" s="172"/>
      <c r="E305" s="48"/>
      <c r="F305" s="170"/>
      <c r="G305" s="175"/>
    </row>
    <row r="306">
      <c r="A306" s="47"/>
      <c r="B306" s="48"/>
      <c r="C306" s="48"/>
      <c r="D306" s="172"/>
      <c r="E306" s="48"/>
      <c r="F306" s="170"/>
      <c r="G306" s="175"/>
    </row>
    <row r="307">
      <c r="A307" s="47"/>
      <c r="B307" s="48"/>
      <c r="C307" s="48"/>
      <c r="D307" s="172"/>
      <c r="E307" s="48"/>
      <c r="F307" s="170"/>
      <c r="G307" s="175"/>
    </row>
    <row r="308">
      <c r="A308" s="47"/>
      <c r="B308" s="48"/>
      <c r="C308" s="48"/>
      <c r="D308" s="172"/>
      <c r="E308" s="48"/>
      <c r="F308" s="170"/>
      <c r="G308" s="175"/>
    </row>
    <row r="309">
      <c r="A309" s="47"/>
      <c r="B309" s="48"/>
      <c r="C309" s="48"/>
      <c r="D309" s="172"/>
      <c r="E309" s="48"/>
      <c r="F309" s="170"/>
      <c r="G309" s="175"/>
    </row>
    <row r="310">
      <c r="A310" s="47"/>
      <c r="B310" s="48"/>
      <c r="C310" s="48"/>
      <c r="D310" s="172"/>
      <c r="E310" s="48"/>
      <c r="F310" s="170"/>
      <c r="G310" s="175"/>
    </row>
    <row r="311">
      <c r="A311" s="47"/>
      <c r="B311" s="48"/>
      <c r="C311" s="48"/>
      <c r="D311" s="172"/>
      <c r="E311" s="48"/>
      <c r="F311" s="170"/>
      <c r="G311" s="175"/>
    </row>
    <row r="312">
      <c r="A312" s="47"/>
      <c r="B312" s="48"/>
      <c r="C312" s="48"/>
      <c r="D312" s="172"/>
      <c r="E312" s="48"/>
      <c r="F312" s="170"/>
      <c r="G312" s="175"/>
    </row>
    <row r="313">
      <c r="A313" s="47"/>
      <c r="B313" s="48"/>
      <c r="C313" s="48"/>
      <c r="D313" s="172"/>
      <c r="E313" s="48"/>
      <c r="F313" s="170"/>
      <c r="G313" s="175"/>
    </row>
    <row r="314">
      <c r="A314" s="47"/>
      <c r="B314" s="48"/>
      <c r="C314" s="48"/>
      <c r="D314" s="172"/>
      <c r="E314" s="48"/>
      <c r="F314" s="170"/>
      <c r="G314" s="175"/>
    </row>
    <row r="315">
      <c r="A315" s="47"/>
      <c r="B315" s="48"/>
      <c r="C315" s="48"/>
      <c r="D315" s="172"/>
      <c r="E315" s="48"/>
      <c r="F315" s="170"/>
      <c r="G315" s="175"/>
    </row>
    <row r="316">
      <c r="A316" s="47"/>
      <c r="B316" s="48"/>
      <c r="C316" s="48"/>
      <c r="D316" s="172"/>
      <c r="E316" s="48"/>
      <c r="F316" s="170"/>
      <c r="G316" s="175"/>
    </row>
    <row r="317">
      <c r="A317" s="47"/>
      <c r="B317" s="48"/>
      <c r="C317" s="48"/>
      <c r="D317" s="172"/>
      <c r="E317" s="48"/>
      <c r="F317" s="170"/>
      <c r="G317" s="175"/>
    </row>
    <row r="318">
      <c r="A318" s="47"/>
      <c r="B318" s="48"/>
      <c r="C318" s="48"/>
      <c r="D318" s="172"/>
      <c r="E318" s="48"/>
      <c r="F318" s="170"/>
      <c r="G318" s="175"/>
    </row>
    <row r="319">
      <c r="A319" s="47"/>
      <c r="B319" s="48"/>
      <c r="C319" s="48"/>
      <c r="D319" s="172"/>
      <c r="E319" s="48"/>
      <c r="F319" s="170"/>
      <c r="G319" s="175"/>
    </row>
    <row r="320">
      <c r="A320" s="47"/>
      <c r="B320" s="48"/>
      <c r="C320" s="48"/>
      <c r="D320" s="172"/>
      <c r="E320" s="48"/>
      <c r="F320" s="170"/>
      <c r="G320" s="175"/>
    </row>
    <row r="321">
      <c r="A321" s="47"/>
      <c r="B321" s="48"/>
      <c r="C321" s="48"/>
      <c r="D321" s="172"/>
      <c r="E321" s="48"/>
      <c r="F321" s="170"/>
      <c r="G321" s="175"/>
    </row>
    <row r="322">
      <c r="A322" s="47"/>
      <c r="B322" s="48"/>
      <c r="C322" s="48"/>
      <c r="D322" s="172"/>
      <c r="E322" s="48"/>
      <c r="F322" s="170"/>
      <c r="G322" s="175"/>
    </row>
    <row r="323">
      <c r="A323" s="47"/>
      <c r="B323" s="48"/>
      <c r="C323" s="48"/>
      <c r="D323" s="172"/>
      <c r="E323" s="48"/>
      <c r="F323" s="170"/>
      <c r="G323" s="175"/>
    </row>
    <row r="324">
      <c r="A324" s="47"/>
      <c r="B324" s="48"/>
      <c r="C324" s="48"/>
      <c r="D324" s="172"/>
      <c r="E324" s="48"/>
      <c r="F324" s="170"/>
      <c r="G324" s="175"/>
    </row>
    <row r="325">
      <c r="A325" s="47"/>
      <c r="B325" s="48"/>
      <c r="C325" s="48"/>
      <c r="D325" s="172"/>
      <c r="E325" s="48"/>
      <c r="F325" s="170"/>
      <c r="G325" s="175"/>
    </row>
    <row r="326">
      <c r="A326" s="47"/>
      <c r="B326" s="48"/>
      <c r="C326" s="48"/>
      <c r="D326" s="172"/>
      <c r="E326" s="48"/>
      <c r="F326" s="170"/>
      <c r="G326" s="175"/>
    </row>
    <row r="327">
      <c r="A327" s="47"/>
      <c r="B327" s="48"/>
      <c r="C327" s="48"/>
      <c r="D327" s="172"/>
      <c r="E327" s="48"/>
      <c r="F327" s="170"/>
      <c r="G327" s="175"/>
    </row>
    <row r="328">
      <c r="A328" s="47"/>
      <c r="B328" s="48"/>
      <c r="C328" s="48"/>
      <c r="D328" s="172"/>
      <c r="E328" s="48"/>
      <c r="F328" s="170"/>
      <c r="G328" s="175"/>
    </row>
    <row r="329">
      <c r="A329" s="47"/>
      <c r="B329" s="48"/>
      <c r="C329" s="48"/>
      <c r="D329" s="172"/>
      <c r="E329" s="48"/>
      <c r="F329" s="170"/>
      <c r="G329" s="175"/>
    </row>
    <row r="330">
      <c r="A330" s="47"/>
      <c r="B330" s="48"/>
      <c r="C330" s="48"/>
      <c r="D330" s="172"/>
      <c r="E330" s="48"/>
      <c r="F330" s="170"/>
      <c r="G330" s="175"/>
    </row>
    <row r="331">
      <c r="A331" s="47"/>
      <c r="B331" s="48"/>
      <c r="C331" s="48"/>
      <c r="D331" s="172"/>
      <c r="E331" s="48"/>
      <c r="F331" s="170"/>
      <c r="G331" s="175"/>
    </row>
    <row r="332">
      <c r="A332" s="47"/>
      <c r="B332" s="48"/>
      <c r="C332" s="48"/>
      <c r="D332" s="172"/>
      <c r="E332" s="48"/>
      <c r="F332" s="170"/>
      <c r="G332" s="175"/>
    </row>
    <row r="333">
      <c r="A333" s="47"/>
      <c r="B333" s="48"/>
      <c r="C333" s="48"/>
      <c r="D333" s="172"/>
      <c r="E333" s="48"/>
      <c r="F333" s="170"/>
      <c r="G333" s="175"/>
    </row>
    <row r="334">
      <c r="A334" s="47"/>
      <c r="B334" s="48"/>
      <c r="C334" s="48"/>
      <c r="D334" s="172"/>
      <c r="E334" s="48"/>
      <c r="F334" s="170"/>
      <c r="G334" s="175"/>
    </row>
    <row r="335">
      <c r="A335" s="47"/>
      <c r="B335" s="48"/>
      <c r="C335" s="48"/>
      <c r="D335" s="172"/>
      <c r="E335" s="48"/>
      <c r="F335" s="170"/>
      <c r="G335" s="175"/>
    </row>
    <row r="336">
      <c r="A336" s="47"/>
      <c r="B336" s="48"/>
      <c r="C336" s="48"/>
      <c r="D336" s="172"/>
      <c r="E336" s="48"/>
      <c r="F336" s="170"/>
      <c r="G336" s="175"/>
    </row>
    <row r="337">
      <c r="A337" s="47"/>
      <c r="B337" s="48"/>
      <c r="C337" s="48"/>
      <c r="D337" s="172"/>
      <c r="E337" s="48"/>
      <c r="F337" s="170"/>
      <c r="G337" s="175"/>
    </row>
    <row r="338">
      <c r="A338" s="47"/>
      <c r="B338" s="48"/>
      <c r="C338" s="48"/>
      <c r="D338" s="172"/>
      <c r="E338" s="48"/>
      <c r="F338" s="170"/>
      <c r="G338" s="175"/>
    </row>
    <row r="339">
      <c r="A339" s="47"/>
      <c r="B339" s="48"/>
      <c r="C339" s="48"/>
      <c r="D339" s="172"/>
      <c r="E339" s="48"/>
      <c r="F339" s="170"/>
      <c r="G339" s="175"/>
    </row>
    <row r="340">
      <c r="A340" s="47"/>
      <c r="B340" s="48"/>
      <c r="C340" s="48"/>
      <c r="D340" s="172"/>
      <c r="E340" s="48"/>
      <c r="F340" s="170"/>
      <c r="G340" s="175"/>
    </row>
    <row r="341">
      <c r="A341" s="47"/>
      <c r="B341" s="48"/>
      <c r="C341" s="48"/>
      <c r="D341" s="172"/>
      <c r="E341" s="48"/>
      <c r="F341" s="170"/>
      <c r="G341" s="175"/>
    </row>
    <row r="342">
      <c r="A342" s="47"/>
      <c r="B342" s="48"/>
      <c r="C342" s="48"/>
      <c r="D342" s="172"/>
      <c r="E342" s="48"/>
      <c r="F342" s="170"/>
      <c r="G342" s="175"/>
    </row>
    <row r="343">
      <c r="A343" s="47"/>
      <c r="B343" s="48"/>
      <c r="C343" s="48"/>
      <c r="D343" s="172"/>
      <c r="E343" s="48"/>
      <c r="F343" s="170"/>
      <c r="G343" s="175"/>
    </row>
    <row r="344">
      <c r="A344" s="47"/>
      <c r="B344" s="48"/>
      <c r="C344" s="48"/>
      <c r="D344" s="172"/>
      <c r="E344" s="48"/>
      <c r="F344" s="170"/>
      <c r="G344" s="175"/>
    </row>
    <row r="345">
      <c r="A345" s="47"/>
      <c r="B345" s="48"/>
      <c r="C345" s="48"/>
      <c r="D345" s="172"/>
      <c r="E345" s="48"/>
      <c r="F345" s="170"/>
      <c r="G345" s="175"/>
    </row>
    <row r="346">
      <c r="A346" s="47"/>
      <c r="B346" s="48"/>
      <c r="C346" s="48"/>
      <c r="D346" s="172"/>
      <c r="E346" s="48"/>
      <c r="F346" s="170"/>
      <c r="G346" s="175"/>
    </row>
    <row r="347">
      <c r="A347" s="47"/>
      <c r="B347" s="48"/>
      <c r="C347" s="48"/>
      <c r="D347" s="172"/>
      <c r="E347" s="48"/>
      <c r="F347" s="170"/>
      <c r="G347" s="175"/>
    </row>
    <row r="348">
      <c r="A348" s="47"/>
      <c r="B348" s="48"/>
      <c r="C348" s="48"/>
      <c r="D348" s="172"/>
      <c r="E348" s="48"/>
      <c r="F348" s="170"/>
      <c r="G348" s="175"/>
    </row>
    <row r="349">
      <c r="A349" s="47"/>
      <c r="B349" s="48"/>
      <c r="C349" s="48"/>
      <c r="D349" s="172"/>
      <c r="E349" s="48"/>
      <c r="F349" s="170"/>
      <c r="G349" s="175"/>
    </row>
    <row r="350">
      <c r="A350" s="47"/>
      <c r="B350" s="48"/>
      <c r="C350" s="48"/>
      <c r="D350" s="172"/>
      <c r="E350" s="48"/>
      <c r="F350" s="170"/>
      <c r="G350" s="175"/>
    </row>
    <row r="351">
      <c r="A351" s="47"/>
      <c r="B351" s="48"/>
      <c r="C351" s="48"/>
      <c r="D351" s="172"/>
      <c r="E351" s="48"/>
      <c r="F351" s="170"/>
      <c r="G351" s="175"/>
    </row>
    <row r="352">
      <c r="A352" s="47"/>
      <c r="B352" s="48"/>
      <c r="C352" s="48"/>
      <c r="D352" s="172"/>
      <c r="E352" s="48"/>
      <c r="F352" s="170"/>
      <c r="G352" s="175"/>
    </row>
    <row r="353">
      <c r="A353" s="47"/>
      <c r="B353" s="48"/>
      <c r="C353" s="48"/>
      <c r="D353" s="172"/>
      <c r="E353" s="48"/>
      <c r="F353" s="170"/>
      <c r="G353" s="175"/>
    </row>
    <row r="354">
      <c r="A354" s="47"/>
      <c r="B354" s="48"/>
      <c r="C354" s="48"/>
      <c r="D354" s="172"/>
      <c r="E354" s="48"/>
      <c r="F354" s="170"/>
      <c r="G354" s="175"/>
    </row>
    <row r="355">
      <c r="A355" s="47"/>
      <c r="B355" s="48"/>
      <c r="C355" s="48"/>
      <c r="D355" s="172"/>
      <c r="E355" s="48"/>
      <c r="F355" s="170"/>
      <c r="G355" s="175"/>
    </row>
    <row r="356">
      <c r="A356" s="47"/>
      <c r="B356" s="48"/>
      <c r="C356" s="48"/>
      <c r="D356" s="172"/>
      <c r="E356" s="48"/>
      <c r="F356" s="170"/>
      <c r="G356" s="175"/>
    </row>
    <row r="357">
      <c r="A357" s="47"/>
      <c r="B357" s="48"/>
      <c r="C357" s="48"/>
      <c r="D357" s="172"/>
      <c r="E357" s="48"/>
      <c r="F357" s="170"/>
      <c r="G357" s="175"/>
    </row>
    <row r="358">
      <c r="A358" s="47"/>
      <c r="B358" s="48"/>
      <c r="C358" s="48"/>
      <c r="D358" s="172"/>
      <c r="E358" s="48"/>
      <c r="F358" s="170"/>
      <c r="G358" s="175"/>
    </row>
    <row r="359">
      <c r="A359" s="47"/>
      <c r="B359" s="48"/>
      <c r="C359" s="48"/>
      <c r="D359" s="172"/>
      <c r="E359" s="48"/>
      <c r="F359" s="170"/>
      <c r="G359" s="175"/>
    </row>
    <row r="360">
      <c r="A360" s="47"/>
      <c r="B360" s="48"/>
      <c r="C360" s="48"/>
      <c r="D360" s="172"/>
      <c r="E360" s="48"/>
      <c r="F360" s="170"/>
      <c r="G360" s="175"/>
    </row>
    <row r="361">
      <c r="A361" s="47"/>
      <c r="B361" s="48"/>
      <c r="C361" s="48"/>
      <c r="D361" s="172"/>
      <c r="E361" s="48"/>
      <c r="F361" s="170"/>
      <c r="G361" s="175"/>
    </row>
    <row r="362">
      <c r="A362" s="47"/>
      <c r="B362" s="48"/>
      <c r="C362" s="48"/>
      <c r="D362" s="172"/>
      <c r="E362" s="48"/>
      <c r="F362" s="170"/>
      <c r="G362" s="175"/>
    </row>
    <row r="363">
      <c r="A363" s="47"/>
      <c r="B363" s="48"/>
      <c r="C363" s="48"/>
      <c r="D363" s="172"/>
      <c r="E363" s="48"/>
      <c r="F363" s="170"/>
      <c r="G363" s="175"/>
    </row>
    <row r="364">
      <c r="A364" s="47"/>
      <c r="B364" s="48"/>
      <c r="C364" s="48"/>
      <c r="D364" s="172"/>
      <c r="E364" s="48"/>
      <c r="F364" s="170"/>
      <c r="G364" s="175"/>
    </row>
    <row r="365">
      <c r="A365" s="47"/>
      <c r="B365" s="48"/>
      <c r="C365" s="48"/>
      <c r="D365" s="172"/>
      <c r="E365" s="48"/>
      <c r="F365" s="170"/>
      <c r="G365" s="175"/>
    </row>
    <row r="366">
      <c r="A366" s="47"/>
      <c r="B366" s="48"/>
      <c r="C366" s="48"/>
      <c r="D366" s="172"/>
      <c r="E366" s="48"/>
      <c r="F366" s="170"/>
      <c r="G366" s="175"/>
    </row>
    <row r="367">
      <c r="A367" s="47"/>
      <c r="B367" s="48"/>
      <c r="C367" s="48"/>
      <c r="D367" s="172"/>
      <c r="E367" s="48"/>
      <c r="F367" s="170"/>
      <c r="G367" s="175"/>
    </row>
    <row r="368">
      <c r="A368" s="47"/>
      <c r="B368" s="48"/>
      <c r="C368" s="48"/>
      <c r="D368" s="172"/>
      <c r="E368" s="48"/>
      <c r="F368" s="170"/>
      <c r="G368" s="175"/>
    </row>
    <row r="369">
      <c r="A369" s="47"/>
      <c r="B369" s="48"/>
      <c r="C369" s="48"/>
      <c r="D369" s="172"/>
      <c r="E369" s="48"/>
      <c r="F369" s="170"/>
      <c r="G369" s="175"/>
    </row>
    <row r="370">
      <c r="A370" s="47"/>
      <c r="B370" s="48"/>
      <c r="C370" s="48"/>
      <c r="D370" s="172"/>
      <c r="E370" s="48"/>
      <c r="F370" s="170"/>
      <c r="G370" s="175"/>
    </row>
    <row r="371">
      <c r="A371" s="47"/>
      <c r="B371" s="48"/>
      <c r="C371" s="48"/>
      <c r="D371" s="172"/>
      <c r="E371" s="48"/>
      <c r="F371" s="170"/>
      <c r="G371" s="175"/>
    </row>
    <row r="372">
      <c r="A372" s="47"/>
      <c r="B372" s="48"/>
      <c r="C372" s="48"/>
      <c r="D372" s="172"/>
      <c r="E372" s="48"/>
      <c r="F372" s="170"/>
      <c r="G372" s="175"/>
    </row>
    <row r="373">
      <c r="A373" s="47"/>
      <c r="B373" s="48"/>
      <c r="C373" s="48"/>
      <c r="D373" s="172"/>
      <c r="E373" s="48"/>
      <c r="F373" s="170"/>
      <c r="G373" s="175"/>
    </row>
    <row r="374">
      <c r="A374" s="47"/>
      <c r="B374" s="48"/>
      <c r="C374" s="48"/>
      <c r="D374" s="172"/>
      <c r="E374" s="48"/>
      <c r="F374" s="170"/>
      <c r="G374" s="175"/>
    </row>
    <row r="375">
      <c r="A375" s="47"/>
      <c r="B375" s="48"/>
      <c r="C375" s="48"/>
      <c r="D375" s="172"/>
      <c r="E375" s="48"/>
      <c r="F375" s="170"/>
      <c r="G375" s="175"/>
    </row>
    <row r="376">
      <c r="A376" s="47"/>
      <c r="B376" s="48"/>
      <c r="C376" s="48"/>
      <c r="D376" s="172"/>
      <c r="E376" s="48"/>
      <c r="F376" s="170"/>
      <c r="G376" s="175"/>
    </row>
    <row r="377">
      <c r="A377" s="47"/>
      <c r="B377" s="48"/>
      <c r="C377" s="48"/>
      <c r="D377" s="172"/>
      <c r="E377" s="48"/>
      <c r="F377" s="170"/>
      <c r="G377" s="175"/>
    </row>
    <row r="378">
      <c r="A378" s="47"/>
      <c r="B378" s="48"/>
      <c r="C378" s="48"/>
      <c r="D378" s="172"/>
      <c r="E378" s="48"/>
      <c r="F378" s="170"/>
      <c r="G378" s="175"/>
    </row>
    <row r="379">
      <c r="A379" s="47"/>
      <c r="B379" s="48"/>
      <c r="C379" s="48"/>
      <c r="D379" s="172"/>
      <c r="E379" s="48"/>
      <c r="F379" s="170"/>
      <c r="G379" s="175"/>
    </row>
    <row r="380">
      <c r="A380" s="47"/>
      <c r="B380" s="48"/>
      <c r="C380" s="48"/>
      <c r="D380" s="172"/>
      <c r="E380" s="48"/>
      <c r="F380" s="170"/>
      <c r="G380" s="175"/>
    </row>
    <row r="381">
      <c r="A381" s="47"/>
      <c r="B381" s="48"/>
      <c r="C381" s="48"/>
      <c r="D381" s="172"/>
      <c r="E381" s="48"/>
      <c r="F381" s="170"/>
      <c r="G381" s="175"/>
    </row>
    <row r="382">
      <c r="A382" s="47"/>
      <c r="B382" s="48"/>
      <c r="C382" s="48"/>
      <c r="D382" s="172"/>
      <c r="E382" s="48"/>
      <c r="F382" s="170"/>
      <c r="G382" s="175"/>
    </row>
    <row r="383">
      <c r="A383" s="47"/>
      <c r="B383" s="48"/>
      <c r="C383" s="48"/>
      <c r="D383" s="172"/>
      <c r="E383" s="48"/>
      <c r="F383" s="170"/>
      <c r="G383" s="175"/>
    </row>
    <row r="384">
      <c r="A384" s="47"/>
      <c r="B384" s="48"/>
      <c r="C384" s="48"/>
      <c r="D384" s="172"/>
      <c r="E384" s="48"/>
      <c r="F384" s="170"/>
      <c r="G384" s="175"/>
    </row>
    <row r="385">
      <c r="A385" s="47"/>
      <c r="B385" s="48"/>
      <c r="C385" s="48"/>
      <c r="D385" s="172"/>
      <c r="E385" s="48"/>
      <c r="F385" s="170"/>
      <c r="G385" s="175"/>
    </row>
    <row r="386">
      <c r="A386" s="47"/>
      <c r="B386" s="48"/>
      <c r="C386" s="48"/>
      <c r="D386" s="172"/>
      <c r="E386" s="48"/>
      <c r="F386" s="170"/>
      <c r="G386" s="175"/>
    </row>
    <row r="387">
      <c r="A387" s="47"/>
      <c r="B387" s="48"/>
      <c r="C387" s="48"/>
      <c r="D387" s="172"/>
      <c r="E387" s="48"/>
      <c r="F387" s="170"/>
      <c r="G387" s="175"/>
    </row>
    <row r="388">
      <c r="A388" s="47"/>
      <c r="B388" s="48"/>
      <c r="C388" s="48"/>
      <c r="D388" s="172"/>
      <c r="E388" s="48"/>
      <c r="F388" s="170"/>
      <c r="G388" s="175"/>
    </row>
    <row r="389">
      <c r="A389" s="47"/>
      <c r="B389" s="48"/>
      <c r="C389" s="48"/>
      <c r="D389" s="172"/>
      <c r="E389" s="48"/>
      <c r="F389" s="170"/>
      <c r="G389" s="175"/>
    </row>
    <row r="390">
      <c r="A390" s="47"/>
      <c r="B390" s="48"/>
      <c r="C390" s="48"/>
      <c r="D390" s="172"/>
      <c r="E390" s="48"/>
      <c r="F390" s="170"/>
      <c r="G390" s="175"/>
    </row>
    <row r="391">
      <c r="A391" s="47"/>
      <c r="B391" s="48"/>
      <c r="C391" s="48"/>
      <c r="D391" s="172"/>
      <c r="E391" s="48"/>
      <c r="F391" s="170"/>
      <c r="G391" s="175"/>
    </row>
    <row r="392">
      <c r="A392" s="47"/>
      <c r="B392" s="48"/>
      <c r="C392" s="48"/>
      <c r="D392" s="172"/>
      <c r="E392" s="48"/>
      <c r="F392" s="170"/>
      <c r="G392" s="175"/>
    </row>
    <row r="393">
      <c r="A393" s="47"/>
      <c r="B393" s="48"/>
      <c r="C393" s="48"/>
      <c r="D393" s="172"/>
      <c r="E393" s="48"/>
      <c r="F393" s="170"/>
      <c r="G393" s="175"/>
    </row>
    <row r="394">
      <c r="A394" s="47"/>
      <c r="B394" s="48"/>
      <c r="C394" s="48"/>
      <c r="D394" s="172"/>
      <c r="E394" s="48"/>
      <c r="F394" s="170"/>
      <c r="G394" s="175"/>
    </row>
    <row r="395">
      <c r="A395" s="47"/>
      <c r="B395" s="48"/>
      <c r="C395" s="48"/>
      <c r="D395" s="172"/>
      <c r="E395" s="48"/>
      <c r="F395" s="170"/>
      <c r="G395" s="175"/>
    </row>
    <row r="396">
      <c r="A396" s="47"/>
      <c r="B396" s="48"/>
      <c r="C396" s="48"/>
      <c r="D396" s="172"/>
      <c r="E396" s="48"/>
      <c r="F396" s="170"/>
      <c r="G396" s="175"/>
    </row>
    <row r="397">
      <c r="A397" s="47"/>
      <c r="B397" s="48"/>
      <c r="C397" s="48"/>
      <c r="D397" s="172"/>
      <c r="E397" s="48"/>
      <c r="F397" s="170"/>
      <c r="G397" s="175"/>
    </row>
    <row r="398">
      <c r="A398" s="47"/>
      <c r="B398" s="48"/>
      <c r="C398" s="48"/>
      <c r="D398" s="172"/>
      <c r="E398" s="48"/>
      <c r="F398" s="170"/>
      <c r="G398" s="175"/>
    </row>
    <row r="399">
      <c r="A399" s="47"/>
      <c r="B399" s="48"/>
      <c r="C399" s="48"/>
      <c r="D399" s="172"/>
      <c r="E399" s="48"/>
      <c r="F399" s="170"/>
      <c r="G399" s="175"/>
    </row>
    <row r="400">
      <c r="A400" s="47"/>
      <c r="B400" s="48"/>
      <c r="C400" s="48"/>
      <c r="D400" s="172"/>
      <c r="E400" s="48"/>
      <c r="F400" s="170"/>
      <c r="G400" s="175"/>
    </row>
    <row r="401">
      <c r="A401" s="47"/>
      <c r="B401" s="48"/>
      <c r="C401" s="48"/>
      <c r="D401" s="172"/>
      <c r="E401" s="48"/>
      <c r="F401" s="170"/>
      <c r="G401" s="175"/>
    </row>
    <row r="402">
      <c r="A402" s="47"/>
      <c r="B402" s="48"/>
      <c r="C402" s="48"/>
      <c r="D402" s="172"/>
      <c r="E402" s="48"/>
      <c r="F402" s="170"/>
      <c r="G402" s="175"/>
    </row>
    <row r="403">
      <c r="A403" s="47"/>
      <c r="B403" s="48"/>
      <c r="C403" s="48"/>
      <c r="D403" s="172"/>
      <c r="E403" s="48"/>
      <c r="F403" s="170"/>
      <c r="G403" s="175"/>
    </row>
    <row r="404">
      <c r="A404" s="47"/>
      <c r="B404" s="48"/>
      <c r="C404" s="48"/>
      <c r="D404" s="172"/>
      <c r="E404" s="48"/>
      <c r="F404" s="170"/>
      <c r="G404" s="175"/>
    </row>
    <row r="405">
      <c r="A405" s="47"/>
      <c r="B405" s="48"/>
      <c r="C405" s="48"/>
      <c r="D405" s="172"/>
      <c r="E405" s="48"/>
      <c r="F405" s="170"/>
      <c r="G405" s="175"/>
    </row>
    <row r="406">
      <c r="A406" s="47"/>
      <c r="B406" s="48"/>
      <c r="C406" s="48"/>
      <c r="D406" s="172"/>
      <c r="E406" s="48"/>
      <c r="F406" s="170"/>
      <c r="G406" s="175"/>
    </row>
    <row r="407">
      <c r="A407" s="47"/>
      <c r="B407" s="48"/>
      <c r="C407" s="48"/>
      <c r="D407" s="172"/>
      <c r="E407" s="48"/>
      <c r="F407" s="170"/>
      <c r="G407" s="175"/>
    </row>
    <row r="408">
      <c r="A408" s="47"/>
      <c r="B408" s="48"/>
      <c r="C408" s="48"/>
      <c r="D408" s="172"/>
      <c r="E408" s="48"/>
      <c r="F408" s="170"/>
      <c r="G408" s="175"/>
    </row>
    <row r="409">
      <c r="A409" s="47"/>
      <c r="B409" s="48"/>
      <c r="C409" s="48"/>
      <c r="D409" s="172"/>
      <c r="E409" s="48"/>
      <c r="F409" s="170"/>
      <c r="G409" s="175"/>
    </row>
    <row r="410">
      <c r="A410" s="47"/>
      <c r="B410" s="48"/>
      <c r="C410" s="48"/>
      <c r="D410" s="172"/>
      <c r="E410" s="48"/>
      <c r="F410" s="170"/>
      <c r="G410" s="175"/>
    </row>
    <row r="411">
      <c r="A411" s="47"/>
      <c r="B411" s="48"/>
      <c r="C411" s="48"/>
      <c r="D411" s="172"/>
      <c r="E411" s="48"/>
      <c r="F411" s="170"/>
      <c r="G411" s="175"/>
    </row>
    <row r="412">
      <c r="A412" s="47"/>
      <c r="B412" s="48"/>
      <c r="C412" s="48"/>
      <c r="D412" s="172"/>
      <c r="E412" s="48"/>
      <c r="F412" s="170"/>
      <c r="G412" s="175"/>
    </row>
    <row r="413">
      <c r="A413" s="47"/>
      <c r="B413" s="48"/>
      <c r="C413" s="48"/>
      <c r="D413" s="172"/>
      <c r="E413" s="48"/>
      <c r="F413" s="170"/>
      <c r="G413" s="175"/>
    </row>
    <row r="414">
      <c r="A414" s="47"/>
      <c r="B414" s="48"/>
      <c r="C414" s="48"/>
      <c r="D414" s="172"/>
      <c r="E414" s="48"/>
      <c r="F414" s="170"/>
      <c r="G414" s="175"/>
    </row>
    <row r="415">
      <c r="A415" s="47"/>
      <c r="B415" s="48"/>
      <c r="C415" s="48"/>
      <c r="D415" s="172"/>
      <c r="E415" s="48"/>
      <c r="F415" s="170"/>
      <c r="G415" s="175"/>
    </row>
    <row r="416">
      <c r="A416" s="47"/>
      <c r="B416" s="48"/>
      <c r="C416" s="48"/>
      <c r="D416" s="172"/>
      <c r="E416" s="48"/>
      <c r="F416" s="170"/>
      <c r="G416" s="175"/>
    </row>
    <row r="417">
      <c r="A417" s="47"/>
      <c r="B417" s="48"/>
      <c r="C417" s="48"/>
      <c r="D417" s="172"/>
      <c r="E417" s="48"/>
      <c r="F417" s="170"/>
      <c r="G417" s="175"/>
    </row>
    <row r="418">
      <c r="A418" s="47"/>
      <c r="B418" s="48"/>
      <c r="C418" s="48"/>
      <c r="D418" s="172"/>
      <c r="E418" s="48"/>
      <c r="F418" s="170"/>
      <c r="G418" s="175"/>
    </row>
    <row r="419">
      <c r="A419" s="47"/>
      <c r="B419" s="48"/>
      <c r="C419" s="48"/>
      <c r="D419" s="172"/>
      <c r="E419" s="48"/>
      <c r="F419" s="170"/>
      <c r="G419" s="175"/>
    </row>
    <row r="420">
      <c r="A420" s="47"/>
      <c r="B420" s="48"/>
      <c r="C420" s="48"/>
      <c r="D420" s="172"/>
      <c r="E420" s="48"/>
      <c r="F420" s="170"/>
      <c r="G420" s="175"/>
    </row>
    <row r="421">
      <c r="A421" s="47"/>
      <c r="B421" s="48"/>
      <c r="C421" s="48"/>
      <c r="D421" s="172"/>
      <c r="E421" s="48"/>
      <c r="F421" s="170"/>
      <c r="G421" s="175"/>
    </row>
    <row r="422">
      <c r="A422" s="47"/>
      <c r="B422" s="48"/>
      <c r="C422" s="48"/>
      <c r="D422" s="172"/>
      <c r="E422" s="48"/>
      <c r="F422" s="170"/>
      <c r="G422" s="175"/>
    </row>
    <row r="423">
      <c r="A423" s="47"/>
      <c r="B423" s="48"/>
      <c r="C423" s="48"/>
      <c r="D423" s="172"/>
      <c r="E423" s="48"/>
      <c r="F423" s="170"/>
      <c r="G423" s="175"/>
    </row>
    <row r="424">
      <c r="A424" s="47"/>
      <c r="B424" s="48"/>
      <c r="C424" s="48"/>
      <c r="D424" s="172"/>
      <c r="E424" s="48"/>
      <c r="F424" s="170"/>
      <c r="G424" s="175"/>
    </row>
    <row r="425">
      <c r="A425" s="47"/>
      <c r="B425" s="48"/>
      <c r="C425" s="48"/>
      <c r="D425" s="172"/>
      <c r="E425" s="48"/>
      <c r="F425" s="170"/>
      <c r="G425" s="175"/>
    </row>
    <row r="426">
      <c r="A426" s="47"/>
      <c r="B426" s="48"/>
      <c r="C426" s="48"/>
      <c r="D426" s="172"/>
      <c r="E426" s="48"/>
      <c r="F426" s="170"/>
      <c r="G426" s="175"/>
    </row>
    <row r="427">
      <c r="A427" s="47"/>
      <c r="B427" s="48"/>
      <c r="C427" s="48"/>
      <c r="D427" s="172"/>
      <c r="E427" s="48"/>
      <c r="F427" s="170"/>
      <c r="G427" s="175"/>
    </row>
    <row r="428">
      <c r="A428" s="47"/>
      <c r="B428" s="48"/>
      <c r="C428" s="48"/>
      <c r="D428" s="172"/>
      <c r="E428" s="48"/>
      <c r="F428" s="170"/>
      <c r="G428" s="175"/>
    </row>
    <row r="429">
      <c r="A429" s="47"/>
      <c r="B429" s="48"/>
      <c r="C429" s="48"/>
      <c r="D429" s="172"/>
      <c r="E429" s="48"/>
      <c r="F429" s="170"/>
      <c r="G429" s="175"/>
    </row>
    <row r="430">
      <c r="A430" s="47"/>
      <c r="B430" s="48"/>
      <c r="C430" s="48"/>
      <c r="D430" s="172"/>
      <c r="E430" s="48"/>
      <c r="F430" s="170"/>
      <c r="G430" s="175"/>
    </row>
    <row r="431">
      <c r="A431" s="47"/>
      <c r="B431" s="48"/>
      <c r="C431" s="48"/>
      <c r="D431" s="172"/>
      <c r="E431" s="48"/>
      <c r="F431" s="170"/>
      <c r="G431" s="175"/>
    </row>
    <row r="432">
      <c r="A432" s="47"/>
      <c r="B432" s="48"/>
      <c r="C432" s="48"/>
      <c r="D432" s="172"/>
      <c r="E432" s="48"/>
      <c r="F432" s="170"/>
      <c r="G432" s="175"/>
    </row>
    <row r="433">
      <c r="A433" s="47"/>
      <c r="B433" s="48"/>
      <c r="C433" s="48"/>
      <c r="D433" s="172"/>
      <c r="E433" s="48"/>
      <c r="F433" s="170"/>
      <c r="G433" s="175"/>
    </row>
    <row r="434">
      <c r="A434" s="47"/>
      <c r="B434" s="48"/>
      <c r="C434" s="48"/>
      <c r="D434" s="172"/>
      <c r="E434" s="48"/>
      <c r="F434" s="170"/>
      <c r="G434" s="175"/>
    </row>
    <row r="435">
      <c r="A435" s="47"/>
      <c r="B435" s="48"/>
      <c r="C435" s="48"/>
      <c r="D435" s="172"/>
      <c r="E435" s="48"/>
      <c r="F435" s="170"/>
      <c r="G435" s="175"/>
    </row>
    <row r="436">
      <c r="A436" s="47"/>
      <c r="B436" s="48"/>
      <c r="C436" s="48"/>
      <c r="D436" s="172"/>
      <c r="E436" s="48"/>
      <c r="F436" s="170"/>
      <c r="G436" s="175"/>
    </row>
    <row r="437">
      <c r="A437" s="47"/>
      <c r="B437" s="48"/>
      <c r="C437" s="48"/>
      <c r="D437" s="172"/>
      <c r="E437" s="48"/>
      <c r="F437" s="170"/>
      <c r="G437" s="175"/>
    </row>
    <row r="438">
      <c r="A438" s="47"/>
      <c r="B438" s="48"/>
      <c r="C438" s="48"/>
      <c r="D438" s="172"/>
      <c r="E438" s="48"/>
      <c r="F438" s="170"/>
      <c r="G438" s="175"/>
    </row>
    <row r="439">
      <c r="A439" s="47"/>
      <c r="B439" s="48"/>
      <c r="C439" s="48"/>
      <c r="D439" s="172"/>
      <c r="E439" s="48"/>
      <c r="F439" s="170"/>
      <c r="G439" s="175"/>
    </row>
    <row r="440">
      <c r="A440" s="47"/>
      <c r="B440" s="48"/>
      <c r="C440" s="48"/>
      <c r="D440" s="172"/>
      <c r="E440" s="48"/>
      <c r="F440" s="170"/>
      <c r="G440" s="175"/>
    </row>
    <row r="441">
      <c r="A441" s="47"/>
      <c r="B441" s="48"/>
      <c r="C441" s="48"/>
      <c r="D441" s="172"/>
      <c r="E441" s="48"/>
      <c r="F441" s="170"/>
      <c r="G441" s="175"/>
    </row>
    <row r="442">
      <c r="A442" s="47"/>
      <c r="B442" s="48"/>
      <c r="C442" s="48"/>
      <c r="D442" s="172"/>
      <c r="E442" s="48"/>
      <c r="F442" s="170"/>
      <c r="G442" s="175"/>
    </row>
    <row r="443">
      <c r="A443" s="47"/>
      <c r="B443" s="48"/>
      <c r="C443" s="48"/>
      <c r="D443" s="172"/>
      <c r="E443" s="48"/>
      <c r="F443" s="170"/>
      <c r="G443" s="175"/>
    </row>
    <row r="444">
      <c r="A444" s="47"/>
      <c r="B444" s="48"/>
      <c r="C444" s="48"/>
      <c r="D444" s="172"/>
      <c r="E444" s="48"/>
      <c r="F444" s="170"/>
      <c r="G444" s="175"/>
    </row>
    <row r="445">
      <c r="A445" s="47"/>
      <c r="B445" s="48"/>
      <c r="C445" s="48"/>
      <c r="D445" s="172"/>
      <c r="E445" s="48"/>
      <c r="F445" s="170"/>
      <c r="G445" s="175"/>
    </row>
    <row r="446">
      <c r="A446" s="47"/>
      <c r="B446" s="48"/>
      <c r="C446" s="48"/>
      <c r="D446" s="172"/>
      <c r="E446" s="48"/>
      <c r="F446" s="170"/>
      <c r="G446" s="175"/>
    </row>
    <row r="447">
      <c r="A447" s="47"/>
      <c r="B447" s="48"/>
      <c r="C447" s="48"/>
      <c r="D447" s="172"/>
      <c r="E447" s="48"/>
      <c r="F447" s="170"/>
      <c r="G447" s="175"/>
    </row>
    <row r="448">
      <c r="A448" s="47"/>
      <c r="B448" s="48"/>
      <c r="C448" s="48"/>
      <c r="D448" s="172"/>
      <c r="E448" s="48"/>
      <c r="F448" s="170"/>
      <c r="G448" s="175"/>
    </row>
    <row r="449">
      <c r="A449" s="47"/>
      <c r="B449" s="48"/>
      <c r="C449" s="48"/>
      <c r="D449" s="172"/>
      <c r="E449" s="48"/>
      <c r="F449" s="170"/>
      <c r="G449" s="175"/>
    </row>
    <row r="450">
      <c r="A450" s="47"/>
      <c r="B450" s="48"/>
      <c r="C450" s="48"/>
      <c r="D450" s="172"/>
      <c r="E450" s="48"/>
      <c r="F450" s="170"/>
      <c r="G450" s="175"/>
    </row>
    <row r="451">
      <c r="A451" s="47"/>
      <c r="B451" s="48"/>
      <c r="C451" s="48"/>
      <c r="D451" s="172"/>
      <c r="E451" s="48"/>
      <c r="F451" s="170"/>
      <c r="G451" s="175"/>
    </row>
    <row r="452">
      <c r="A452" s="47"/>
      <c r="B452" s="48"/>
      <c r="C452" s="48"/>
      <c r="D452" s="172"/>
      <c r="E452" s="48"/>
      <c r="F452" s="170"/>
      <c r="G452" s="175"/>
    </row>
    <row r="453">
      <c r="A453" s="47"/>
      <c r="B453" s="48"/>
      <c r="C453" s="48"/>
      <c r="D453" s="172"/>
      <c r="E453" s="48"/>
      <c r="F453" s="170"/>
      <c r="G453" s="175"/>
    </row>
    <row r="454">
      <c r="A454" s="47"/>
      <c r="B454" s="48"/>
      <c r="C454" s="48"/>
      <c r="D454" s="172"/>
      <c r="E454" s="48"/>
      <c r="F454" s="170"/>
      <c r="G454" s="175"/>
    </row>
    <row r="455">
      <c r="A455" s="47"/>
      <c r="B455" s="48"/>
      <c r="C455" s="48"/>
      <c r="D455" s="172"/>
      <c r="E455" s="48"/>
      <c r="F455" s="170"/>
      <c r="G455" s="175"/>
    </row>
    <row r="456">
      <c r="A456" s="47"/>
      <c r="B456" s="48"/>
      <c r="C456" s="48"/>
      <c r="D456" s="172"/>
      <c r="E456" s="48"/>
      <c r="F456" s="170"/>
      <c r="G456" s="175"/>
    </row>
    <row r="457">
      <c r="A457" s="47"/>
      <c r="B457" s="48"/>
      <c r="C457" s="48"/>
      <c r="D457" s="172"/>
      <c r="E457" s="48"/>
      <c r="F457" s="170"/>
      <c r="G457" s="175"/>
    </row>
    <row r="458">
      <c r="A458" s="47"/>
      <c r="B458" s="48"/>
      <c r="C458" s="48"/>
      <c r="D458" s="172"/>
      <c r="E458" s="48"/>
      <c r="F458" s="170"/>
      <c r="G458" s="175"/>
    </row>
    <row r="459">
      <c r="A459" s="47"/>
      <c r="B459" s="48"/>
      <c r="C459" s="48"/>
      <c r="D459" s="172"/>
      <c r="E459" s="48"/>
      <c r="F459" s="170"/>
      <c r="G459" s="175"/>
    </row>
    <row r="460">
      <c r="A460" s="47"/>
      <c r="B460" s="48"/>
      <c r="C460" s="48"/>
      <c r="D460" s="172"/>
      <c r="E460" s="48"/>
      <c r="F460" s="170"/>
      <c r="G460" s="175"/>
    </row>
    <row r="461">
      <c r="A461" s="47"/>
      <c r="B461" s="48"/>
      <c r="C461" s="48"/>
      <c r="D461" s="172"/>
      <c r="E461" s="48"/>
      <c r="F461" s="170"/>
      <c r="G461" s="175"/>
    </row>
    <row r="462">
      <c r="A462" s="47"/>
      <c r="B462" s="48"/>
      <c r="C462" s="48"/>
      <c r="D462" s="172"/>
      <c r="E462" s="48"/>
      <c r="F462" s="170"/>
      <c r="G462" s="175"/>
    </row>
    <row r="463">
      <c r="A463" s="47"/>
      <c r="B463" s="48"/>
      <c r="C463" s="48"/>
      <c r="D463" s="172"/>
      <c r="E463" s="48"/>
      <c r="F463" s="170"/>
      <c r="G463" s="175"/>
    </row>
    <row r="464">
      <c r="A464" s="47"/>
      <c r="B464" s="48"/>
      <c r="C464" s="48"/>
      <c r="D464" s="172"/>
      <c r="E464" s="48"/>
      <c r="F464" s="170"/>
      <c r="G464" s="175"/>
    </row>
    <row r="465">
      <c r="A465" s="47"/>
      <c r="B465" s="48"/>
      <c r="C465" s="48"/>
      <c r="D465" s="172"/>
      <c r="E465" s="48"/>
      <c r="F465" s="170"/>
      <c r="G465" s="175"/>
    </row>
    <row r="466">
      <c r="A466" s="47"/>
      <c r="B466" s="48"/>
      <c r="C466" s="48"/>
      <c r="D466" s="172"/>
      <c r="E466" s="48"/>
      <c r="F466" s="170"/>
      <c r="G466" s="175"/>
    </row>
    <row r="467">
      <c r="A467" s="47"/>
      <c r="B467" s="48"/>
      <c r="C467" s="48"/>
      <c r="D467" s="172"/>
      <c r="E467" s="48"/>
      <c r="F467" s="170"/>
      <c r="G467" s="175"/>
    </row>
    <row r="468">
      <c r="A468" s="47"/>
      <c r="B468" s="48"/>
      <c r="C468" s="48"/>
      <c r="D468" s="172"/>
      <c r="E468" s="48"/>
      <c r="F468" s="170"/>
      <c r="G468" s="175"/>
    </row>
    <row r="469">
      <c r="A469" s="47"/>
      <c r="B469" s="48"/>
      <c r="C469" s="48"/>
      <c r="D469" s="172"/>
      <c r="E469" s="48"/>
      <c r="F469" s="170"/>
      <c r="G469" s="175"/>
    </row>
    <row r="470">
      <c r="A470" s="47"/>
      <c r="B470" s="48"/>
      <c r="C470" s="48"/>
      <c r="D470" s="172"/>
      <c r="E470" s="48"/>
      <c r="F470" s="170"/>
      <c r="G470" s="175"/>
    </row>
    <row r="471">
      <c r="A471" s="47"/>
      <c r="B471" s="48"/>
      <c r="C471" s="48"/>
      <c r="D471" s="172"/>
      <c r="E471" s="48"/>
      <c r="F471" s="170"/>
      <c r="G471" s="175"/>
    </row>
    <row r="472">
      <c r="A472" s="47"/>
      <c r="B472" s="48"/>
      <c r="C472" s="48"/>
      <c r="D472" s="172"/>
      <c r="E472" s="48"/>
      <c r="F472" s="170"/>
      <c r="G472" s="175"/>
    </row>
    <row r="473">
      <c r="A473" s="47"/>
      <c r="B473" s="48"/>
      <c r="C473" s="48"/>
      <c r="D473" s="172"/>
      <c r="E473" s="48"/>
      <c r="F473" s="170"/>
      <c r="G473" s="175"/>
    </row>
    <row r="474">
      <c r="A474" s="47"/>
      <c r="B474" s="48"/>
      <c r="C474" s="48"/>
      <c r="D474" s="172"/>
      <c r="E474" s="48"/>
      <c r="F474" s="170"/>
      <c r="G474" s="175"/>
    </row>
    <row r="475">
      <c r="A475" s="47"/>
      <c r="B475" s="48"/>
      <c r="C475" s="48"/>
      <c r="D475" s="172"/>
      <c r="E475" s="48"/>
      <c r="F475" s="170"/>
      <c r="G475" s="175"/>
    </row>
    <row r="476">
      <c r="A476" s="47"/>
      <c r="B476" s="48"/>
      <c r="C476" s="48"/>
      <c r="D476" s="172"/>
      <c r="E476" s="48"/>
      <c r="F476" s="170"/>
      <c r="G476" s="175"/>
    </row>
    <row r="477">
      <c r="A477" s="47"/>
      <c r="B477" s="48"/>
      <c r="C477" s="48"/>
      <c r="D477" s="172"/>
      <c r="E477" s="48"/>
      <c r="F477" s="170"/>
      <c r="G477" s="175"/>
    </row>
    <row r="478">
      <c r="A478" s="47"/>
      <c r="B478" s="48"/>
      <c r="C478" s="48"/>
      <c r="D478" s="172"/>
      <c r="E478" s="48"/>
      <c r="F478" s="170"/>
      <c r="G478" s="175"/>
    </row>
    <row r="479">
      <c r="A479" s="47"/>
      <c r="B479" s="48"/>
      <c r="C479" s="48"/>
      <c r="D479" s="172"/>
      <c r="E479" s="48"/>
      <c r="F479" s="170"/>
      <c r="G479" s="175"/>
    </row>
    <row r="480">
      <c r="A480" s="47"/>
      <c r="B480" s="48"/>
      <c r="C480" s="48"/>
      <c r="D480" s="172"/>
      <c r="E480" s="48"/>
      <c r="F480" s="170"/>
      <c r="G480" s="175"/>
    </row>
    <row r="481">
      <c r="A481" s="47"/>
      <c r="B481" s="48"/>
      <c r="C481" s="48"/>
      <c r="D481" s="172"/>
      <c r="E481" s="48"/>
      <c r="F481" s="170"/>
      <c r="G481" s="175"/>
    </row>
    <row r="482">
      <c r="A482" s="47"/>
      <c r="B482" s="48"/>
      <c r="C482" s="48"/>
      <c r="D482" s="172"/>
      <c r="E482" s="48"/>
      <c r="F482" s="170"/>
      <c r="G482" s="175"/>
    </row>
    <row r="483">
      <c r="A483" s="47"/>
      <c r="B483" s="48"/>
      <c r="C483" s="48"/>
      <c r="D483" s="172"/>
      <c r="E483" s="48"/>
      <c r="F483" s="170"/>
      <c r="G483" s="175"/>
    </row>
    <row r="484">
      <c r="A484" s="47"/>
      <c r="B484" s="48"/>
      <c r="C484" s="48"/>
      <c r="D484" s="172"/>
      <c r="E484" s="48"/>
      <c r="F484" s="170"/>
      <c r="G484" s="175"/>
    </row>
    <row r="485">
      <c r="A485" s="47"/>
      <c r="B485" s="48"/>
      <c r="C485" s="48"/>
      <c r="D485" s="172"/>
      <c r="E485" s="48"/>
      <c r="F485" s="170"/>
      <c r="G485" s="175"/>
    </row>
    <row r="486">
      <c r="A486" s="47"/>
      <c r="B486" s="48"/>
      <c r="C486" s="48"/>
      <c r="D486" s="172"/>
      <c r="E486" s="48"/>
      <c r="F486" s="170"/>
      <c r="G486" s="175"/>
    </row>
    <row r="487">
      <c r="A487" s="47"/>
      <c r="B487" s="48"/>
      <c r="C487" s="48"/>
      <c r="D487" s="172"/>
      <c r="E487" s="48"/>
      <c r="F487" s="170"/>
      <c r="G487" s="175"/>
    </row>
    <row r="488">
      <c r="A488" s="47"/>
      <c r="B488" s="48"/>
      <c r="C488" s="48"/>
      <c r="D488" s="172"/>
      <c r="E488" s="48"/>
      <c r="F488" s="170"/>
      <c r="G488" s="175"/>
    </row>
    <row r="489">
      <c r="A489" s="47"/>
      <c r="B489" s="48"/>
      <c r="C489" s="48"/>
      <c r="D489" s="172"/>
      <c r="E489" s="48"/>
      <c r="F489" s="170"/>
      <c r="G489" s="175"/>
    </row>
    <row r="490">
      <c r="A490" s="47"/>
      <c r="B490" s="48"/>
      <c r="C490" s="48"/>
      <c r="D490" s="172"/>
      <c r="E490" s="48"/>
      <c r="F490" s="170"/>
      <c r="G490" s="175"/>
    </row>
    <row r="491">
      <c r="A491" s="47"/>
      <c r="B491" s="48"/>
      <c r="C491" s="48"/>
      <c r="D491" s="172"/>
      <c r="E491" s="48"/>
      <c r="F491" s="170"/>
      <c r="G491" s="175"/>
    </row>
    <row r="492">
      <c r="A492" s="47"/>
      <c r="B492" s="48"/>
      <c r="C492" s="48"/>
      <c r="D492" s="172"/>
      <c r="E492" s="48"/>
      <c r="F492" s="170"/>
      <c r="G492" s="175"/>
    </row>
    <row r="493">
      <c r="A493" s="47"/>
      <c r="B493" s="48"/>
      <c r="C493" s="48"/>
      <c r="D493" s="172"/>
      <c r="E493" s="48"/>
      <c r="F493" s="170"/>
      <c r="G493" s="175"/>
    </row>
    <row r="494">
      <c r="A494" s="47"/>
      <c r="B494" s="48"/>
      <c r="C494" s="48"/>
      <c r="D494" s="172"/>
      <c r="E494" s="48"/>
      <c r="F494" s="170"/>
      <c r="G494" s="175"/>
    </row>
    <row r="495">
      <c r="A495" s="47"/>
      <c r="B495" s="48"/>
      <c r="C495" s="48"/>
      <c r="D495" s="172"/>
      <c r="E495" s="48"/>
      <c r="F495" s="170"/>
      <c r="G495" s="175"/>
    </row>
    <row r="496">
      <c r="A496" s="47"/>
      <c r="B496" s="48"/>
      <c r="C496" s="48"/>
      <c r="D496" s="172"/>
      <c r="E496" s="48"/>
      <c r="F496" s="170"/>
      <c r="G496" s="175"/>
    </row>
    <row r="497">
      <c r="A497" s="47"/>
      <c r="B497" s="48"/>
      <c r="C497" s="48"/>
      <c r="D497" s="172"/>
      <c r="E497" s="48"/>
      <c r="F497" s="170"/>
      <c r="G497" s="175"/>
    </row>
    <row r="498">
      <c r="A498" s="47"/>
      <c r="B498" s="48"/>
      <c r="C498" s="48"/>
      <c r="D498" s="172"/>
      <c r="E498" s="48"/>
      <c r="F498" s="170"/>
      <c r="G498" s="175"/>
    </row>
    <row r="499">
      <c r="A499" s="47"/>
      <c r="B499" s="48"/>
      <c r="C499" s="48"/>
      <c r="D499" s="172"/>
      <c r="E499" s="48"/>
      <c r="F499" s="170"/>
      <c r="G499" s="175"/>
    </row>
    <row r="500">
      <c r="A500" s="47"/>
      <c r="B500" s="48"/>
      <c r="C500" s="48"/>
      <c r="D500" s="172"/>
      <c r="E500" s="48"/>
      <c r="F500" s="170"/>
      <c r="G500" s="175"/>
    </row>
    <row r="501">
      <c r="A501" s="47"/>
      <c r="B501" s="48"/>
      <c r="C501" s="48"/>
      <c r="D501" s="172"/>
      <c r="E501" s="48"/>
      <c r="F501" s="170"/>
      <c r="G501" s="175"/>
    </row>
    <row r="502">
      <c r="A502" s="47"/>
      <c r="B502" s="48"/>
      <c r="C502" s="48"/>
      <c r="D502" s="172"/>
      <c r="E502" s="48"/>
      <c r="F502" s="170"/>
      <c r="G502" s="175"/>
    </row>
    <row r="503">
      <c r="A503" s="47"/>
      <c r="B503" s="48"/>
      <c r="C503" s="48"/>
      <c r="D503" s="172"/>
      <c r="E503" s="48"/>
      <c r="F503" s="170"/>
      <c r="G503" s="175"/>
    </row>
    <row r="504">
      <c r="A504" s="47"/>
      <c r="B504" s="48"/>
      <c r="C504" s="48"/>
      <c r="D504" s="172"/>
      <c r="E504" s="48"/>
      <c r="F504" s="170"/>
      <c r="G504" s="175"/>
    </row>
    <row r="505">
      <c r="A505" s="47"/>
      <c r="B505" s="48"/>
      <c r="C505" s="48"/>
      <c r="D505" s="172"/>
      <c r="E505" s="48"/>
      <c r="F505" s="170"/>
      <c r="G505" s="175"/>
    </row>
    <row r="506">
      <c r="A506" s="47"/>
      <c r="B506" s="48"/>
      <c r="C506" s="48"/>
      <c r="D506" s="172"/>
      <c r="E506" s="48"/>
      <c r="F506" s="170"/>
      <c r="G506" s="175"/>
    </row>
    <row r="507">
      <c r="A507" s="47"/>
      <c r="B507" s="48"/>
      <c r="C507" s="48"/>
      <c r="D507" s="172"/>
      <c r="E507" s="48"/>
      <c r="F507" s="170"/>
      <c r="G507" s="175"/>
    </row>
    <row r="508">
      <c r="A508" s="47"/>
      <c r="B508" s="48"/>
      <c r="C508" s="48"/>
      <c r="D508" s="172"/>
      <c r="E508" s="48"/>
      <c r="F508" s="170"/>
      <c r="G508" s="175"/>
    </row>
    <row r="509">
      <c r="A509" s="47"/>
      <c r="B509" s="48"/>
      <c r="C509" s="48"/>
      <c r="D509" s="172"/>
      <c r="E509" s="48"/>
      <c r="F509" s="170"/>
      <c r="G509" s="175"/>
    </row>
    <row r="510">
      <c r="A510" s="47"/>
      <c r="B510" s="48"/>
      <c r="C510" s="48"/>
      <c r="D510" s="172"/>
      <c r="E510" s="48"/>
      <c r="F510" s="170"/>
      <c r="G510" s="175"/>
    </row>
    <row r="511">
      <c r="A511" s="47"/>
      <c r="B511" s="48"/>
      <c r="C511" s="48"/>
      <c r="D511" s="172"/>
      <c r="E511" s="48"/>
      <c r="F511" s="170"/>
      <c r="G511" s="175"/>
    </row>
    <row r="512">
      <c r="A512" s="47"/>
      <c r="B512" s="48"/>
      <c r="C512" s="48"/>
      <c r="D512" s="172"/>
      <c r="E512" s="48"/>
      <c r="F512" s="170"/>
      <c r="G512" s="175"/>
    </row>
    <row r="513">
      <c r="A513" s="47"/>
      <c r="B513" s="48"/>
      <c r="C513" s="48"/>
      <c r="D513" s="172"/>
      <c r="E513" s="48"/>
      <c r="F513" s="170"/>
      <c r="G513" s="175"/>
    </row>
    <row r="514">
      <c r="A514" s="47"/>
      <c r="B514" s="48"/>
      <c r="C514" s="48"/>
      <c r="D514" s="172"/>
      <c r="E514" s="48"/>
      <c r="F514" s="170"/>
      <c r="G514" s="175"/>
    </row>
    <row r="515">
      <c r="A515" s="47"/>
      <c r="B515" s="48"/>
      <c r="C515" s="48"/>
      <c r="D515" s="172"/>
      <c r="E515" s="48"/>
      <c r="F515" s="170"/>
      <c r="G515" s="175"/>
    </row>
    <row r="516">
      <c r="A516" s="47"/>
      <c r="B516" s="48"/>
      <c r="C516" s="48"/>
      <c r="D516" s="172"/>
      <c r="E516" s="48"/>
      <c r="F516" s="170"/>
      <c r="G516" s="175"/>
    </row>
    <row r="517">
      <c r="A517" s="47"/>
      <c r="B517" s="48"/>
      <c r="C517" s="48"/>
      <c r="D517" s="172"/>
      <c r="E517" s="48"/>
      <c r="F517" s="170"/>
      <c r="G517" s="175"/>
    </row>
    <row r="518">
      <c r="A518" s="47"/>
      <c r="B518" s="48"/>
      <c r="C518" s="48"/>
      <c r="D518" s="172"/>
      <c r="E518" s="48"/>
      <c r="F518" s="170"/>
      <c r="G518" s="175"/>
    </row>
    <row r="519">
      <c r="A519" s="47"/>
      <c r="B519" s="48"/>
      <c r="C519" s="48"/>
      <c r="D519" s="172"/>
      <c r="E519" s="48"/>
      <c r="F519" s="170"/>
      <c r="G519" s="175"/>
    </row>
    <row r="520">
      <c r="A520" s="47"/>
      <c r="B520" s="48"/>
      <c r="C520" s="48"/>
      <c r="D520" s="172"/>
      <c r="E520" s="48"/>
      <c r="F520" s="170"/>
      <c r="G520" s="175"/>
    </row>
    <row r="521">
      <c r="A521" s="47"/>
      <c r="B521" s="48"/>
      <c r="C521" s="48"/>
      <c r="D521" s="172"/>
      <c r="E521" s="48"/>
      <c r="F521" s="170"/>
      <c r="G521" s="175"/>
    </row>
    <row r="522">
      <c r="A522" s="47"/>
      <c r="B522" s="48"/>
      <c r="C522" s="48"/>
      <c r="D522" s="172"/>
      <c r="E522" s="48"/>
      <c r="F522" s="170"/>
      <c r="G522" s="175"/>
    </row>
    <row r="523">
      <c r="A523" s="47"/>
      <c r="B523" s="48"/>
      <c r="C523" s="48"/>
      <c r="D523" s="172"/>
      <c r="E523" s="48"/>
      <c r="F523" s="170"/>
      <c r="G523" s="175"/>
    </row>
    <row r="524">
      <c r="A524" s="47"/>
      <c r="B524" s="48"/>
      <c r="C524" s="48"/>
      <c r="D524" s="172"/>
      <c r="E524" s="48"/>
      <c r="F524" s="170"/>
      <c r="G524" s="175"/>
    </row>
    <row r="525">
      <c r="A525" s="47"/>
      <c r="B525" s="48"/>
      <c r="C525" s="48"/>
      <c r="D525" s="172"/>
      <c r="E525" s="48"/>
      <c r="F525" s="170"/>
      <c r="G525" s="175"/>
    </row>
    <row r="526">
      <c r="A526" s="47"/>
      <c r="B526" s="48"/>
      <c r="C526" s="48"/>
      <c r="D526" s="172"/>
      <c r="E526" s="48"/>
      <c r="F526" s="170"/>
      <c r="G526" s="175"/>
    </row>
    <row r="527">
      <c r="A527" s="47"/>
      <c r="B527" s="48"/>
      <c r="C527" s="48"/>
      <c r="D527" s="172"/>
      <c r="E527" s="48"/>
      <c r="F527" s="170"/>
      <c r="G527" s="175"/>
    </row>
    <row r="528">
      <c r="A528" s="47"/>
      <c r="B528" s="48"/>
      <c r="C528" s="48"/>
      <c r="D528" s="172"/>
      <c r="E528" s="48"/>
      <c r="F528" s="170"/>
      <c r="G528" s="175"/>
    </row>
    <row r="529">
      <c r="A529" s="47"/>
      <c r="B529" s="48"/>
      <c r="C529" s="48"/>
      <c r="D529" s="172"/>
      <c r="E529" s="48"/>
      <c r="F529" s="170"/>
      <c r="G529" s="175"/>
    </row>
    <row r="530">
      <c r="A530" s="47"/>
      <c r="B530" s="48"/>
      <c r="C530" s="48"/>
      <c r="D530" s="172"/>
      <c r="E530" s="48"/>
      <c r="F530" s="170"/>
      <c r="G530" s="175"/>
    </row>
    <row r="531">
      <c r="A531" s="47"/>
      <c r="B531" s="48"/>
      <c r="C531" s="48"/>
      <c r="D531" s="172"/>
      <c r="E531" s="48"/>
      <c r="F531" s="170"/>
      <c r="G531" s="175"/>
    </row>
    <row r="532">
      <c r="A532" s="47"/>
      <c r="B532" s="48"/>
      <c r="C532" s="48"/>
      <c r="D532" s="172"/>
      <c r="E532" s="48"/>
      <c r="F532" s="170"/>
      <c r="G532" s="175"/>
    </row>
    <row r="533">
      <c r="A533" s="47"/>
      <c r="B533" s="48"/>
      <c r="C533" s="48"/>
      <c r="D533" s="172"/>
      <c r="E533" s="48"/>
      <c r="F533" s="170"/>
      <c r="G533" s="175"/>
    </row>
    <row r="534">
      <c r="A534" s="47"/>
      <c r="B534" s="48"/>
      <c r="C534" s="48"/>
      <c r="D534" s="172"/>
      <c r="E534" s="48"/>
      <c r="F534" s="170"/>
      <c r="G534" s="175"/>
    </row>
    <row r="535">
      <c r="A535" s="47"/>
      <c r="B535" s="48"/>
      <c r="C535" s="48"/>
      <c r="D535" s="172"/>
      <c r="E535" s="48"/>
      <c r="F535" s="170"/>
      <c r="G535" s="175"/>
    </row>
    <row r="536">
      <c r="A536" s="47"/>
      <c r="B536" s="48"/>
      <c r="C536" s="48"/>
      <c r="D536" s="172"/>
      <c r="E536" s="48"/>
      <c r="F536" s="170"/>
      <c r="G536" s="175"/>
    </row>
    <row r="537">
      <c r="A537" s="47"/>
      <c r="B537" s="48"/>
      <c r="C537" s="48"/>
      <c r="D537" s="172"/>
      <c r="E537" s="48"/>
      <c r="F537" s="170"/>
      <c r="G537" s="175"/>
    </row>
    <row r="538">
      <c r="A538" s="47"/>
      <c r="B538" s="48"/>
      <c r="C538" s="48"/>
      <c r="D538" s="172"/>
      <c r="E538" s="48"/>
      <c r="F538" s="170"/>
      <c r="G538" s="175"/>
    </row>
    <row r="539">
      <c r="A539" s="47"/>
      <c r="B539" s="48"/>
      <c r="C539" s="48"/>
      <c r="D539" s="172"/>
      <c r="E539" s="48"/>
      <c r="F539" s="170"/>
      <c r="G539" s="175"/>
    </row>
    <row r="540">
      <c r="A540" s="47"/>
      <c r="B540" s="48"/>
      <c r="C540" s="48"/>
      <c r="D540" s="172"/>
      <c r="E540" s="48"/>
      <c r="F540" s="170"/>
      <c r="G540" s="175"/>
    </row>
    <row r="541">
      <c r="A541" s="47"/>
      <c r="B541" s="48"/>
      <c r="C541" s="48"/>
      <c r="D541" s="172"/>
      <c r="E541" s="48"/>
      <c r="F541" s="170"/>
      <c r="G541" s="175"/>
    </row>
    <row r="542">
      <c r="A542" s="47"/>
      <c r="B542" s="48"/>
      <c r="C542" s="48"/>
      <c r="D542" s="172"/>
      <c r="E542" s="48"/>
      <c r="F542" s="170"/>
      <c r="G542" s="175"/>
    </row>
    <row r="543">
      <c r="A543" s="47"/>
      <c r="B543" s="48"/>
      <c r="C543" s="48"/>
      <c r="D543" s="172"/>
      <c r="E543" s="48"/>
      <c r="F543" s="170"/>
      <c r="G543" s="175"/>
    </row>
    <row r="544">
      <c r="A544" s="47"/>
      <c r="B544" s="48"/>
      <c r="C544" s="48"/>
      <c r="D544" s="172"/>
      <c r="E544" s="48"/>
      <c r="F544" s="170"/>
      <c r="G544" s="175"/>
    </row>
    <row r="545">
      <c r="A545" s="47"/>
      <c r="B545" s="48"/>
      <c r="C545" s="48"/>
      <c r="D545" s="172"/>
      <c r="E545" s="48"/>
      <c r="F545" s="170"/>
      <c r="G545" s="175"/>
    </row>
    <row r="546">
      <c r="A546" s="47"/>
      <c r="B546" s="48"/>
      <c r="C546" s="48"/>
      <c r="D546" s="172"/>
      <c r="E546" s="48"/>
      <c r="F546" s="170"/>
      <c r="G546" s="175"/>
    </row>
    <row r="547">
      <c r="A547" s="47"/>
      <c r="B547" s="48"/>
      <c r="C547" s="48"/>
      <c r="D547" s="172"/>
      <c r="E547" s="48"/>
      <c r="F547" s="170"/>
      <c r="G547" s="175"/>
    </row>
    <row r="548">
      <c r="A548" s="47"/>
      <c r="B548" s="48"/>
      <c r="C548" s="48"/>
      <c r="D548" s="172"/>
      <c r="E548" s="48"/>
      <c r="F548" s="170"/>
      <c r="G548" s="175"/>
    </row>
    <row r="549">
      <c r="A549" s="47"/>
      <c r="B549" s="48"/>
      <c r="C549" s="48"/>
      <c r="D549" s="172"/>
      <c r="E549" s="48"/>
      <c r="F549" s="170"/>
      <c r="G549" s="175"/>
    </row>
    <row r="550">
      <c r="A550" s="47"/>
      <c r="B550" s="48"/>
      <c r="C550" s="48"/>
      <c r="D550" s="172"/>
      <c r="E550" s="48"/>
      <c r="F550" s="170"/>
      <c r="G550" s="175"/>
    </row>
    <row r="551">
      <c r="A551" s="47"/>
      <c r="B551" s="48"/>
      <c r="C551" s="48"/>
      <c r="D551" s="172"/>
      <c r="E551" s="48"/>
      <c r="F551" s="170"/>
      <c r="G551" s="175"/>
    </row>
    <row r="552">
      <c r="A552" s="47"/>
      <c r="B552" s="48"/>
      <c r="C552" s="48"/>
      <c r="D552" s="172"/>
      <c r="E552" s="48"/>
      <c r="F552" s="170"/>
      <c r="G552" s="175"/>
    </row>
    <row r="553">
      <c r="A553" s="47"/>
      <c r="B553" s="48"/>
      <c r="C553" s="48"/>
      <c r="D553" s="172"/>
      <c r="E553" s="48"/>
      <c r="F553" s="170"/>
      <c r="G553" s="175"/>
    </row>
    <row r="554">
      <c r="A554" s="47"/>
      <c r="B554" s="48"/>
      <c r="C554" s="48"/>
      <c r="D554" s="172"/>
      <c r="E554" s="48"/>
      <c r="F554" s="170"/>
      <c r="G554" s="175"/>
    </row>
    <row r="555">
      <c r="A555" s="47"/>
      <c r="B555" s="48"/>
      <c r="C555" s="48"/>
      <c r="D555" s="172"/>
      <c r="E555" s="48"/>
      <c r="F555" s="170"/>
      <c r="G555" s="175"/>
    </row>
    <row r="556">
      <c r="A556" s="47"/>
      <c r="B556" s="48"/>
      <c r="C556" s="48"/>
      <c r="D556" s="172"/>
      <c r="E556" s="48"/>
      <c r="F556" s="170"/>
      <c r="G556" s="175"/>
    </row>
    <row r="557">
      <c r="A557" s="47"/>
      <c r="B557" s="48"/>
      <c r="C557" s="48"/>
      <c r="D557" s="172"/>
      <c r="E557" s="48"/>
      <c r="F557" s="170"/>
      <c r="G557" s="175"/>
    </row>
    <row r="558">
      <c r="A558" s="47"/>
      <c r="B558" s="48"/>
      <c r="C558" s="48"/>
      <c r="D558" s="172"/>
      <c r="E558" s="48"/>
      <c r="F558" s="170"/>
      <c r="G558" s="175"/>
    </row>
    <row r="559">
      <c r="A559" s="47"/>
      <c r="B559" s="48"/>
      <c r="C559" s="48"/>
      <c r="D559" s="172"/>
      <c r="E559" s="48"/>
      <c r="F559" s="170"/>
      <c r="G559" s="175"/>
    </row>
    <row r="560">
      <c r="A560" s="47"/>
      <c r="B560" s="48"/>
      <c r="C560" s="48"/>
      <c r="D560" s="172"/>
      <c r="E560" s="48"/>
      <c r="F560" s="170"/>
      <c r="G560" s="175"/>
    </row>
    <row r="561">
      <c r="A561" s="47"/>
      <c r="B561" s="48"/>
      <c r="C561" s="48"/>
      <c r="D561" s="172"/>
      <c r="E561" s="48"/>
      <c r="F561" s="170"/>
      <c r="G561" s="175"/>
    </row>
    <row r="562">
      <c r="A562" s="47"/>
      <c r="B562" s="48"/>
      <c r="C562" s="48"/>
      <c r="D562" s="172"/>
      <c r="E562" s="48"/>
      <c r="F562" s="170"/>
      <c r="G562" s="175"/>
    </row>
    <row r="563">
      <c r="A563" s="47"/>
      <c r="B563" s="48"/>
      <c r="C563" s="48"/>
      <c r="D563" s="172"/>
      <c r="E563" s="48"/>
      <c r="F563" s="170"/>
      <c r="G563" s="175"/>
    </row>
    <row r="564">
      <c r="A564" s="47"/>
      <c r="B564" s="48"/>
      <c r="C564" s="48"/>
      <c r="D564" s="172"/>
      <c r="E564" s="48"/>
      <c r="F564" s="170"/>
      <c r="G564" s="175"/>
    </row>
    <row r="565">
      <c r="A565" s="47"/>
      <c r="B565" s="48"/>
      <c r="C565" s="48"/>
      <c r="D565" s="172"/>
      <c r="E565" s="48"/>
      <c r="F565" s="170"/>
      <c r="G565" s="175"/>
    </row>
    <row r="566">
      <c r="A566" s="47"/>
      <c r="B566" s="48"/>
      <c r="C566" s="48"/>
      <c r="D566" s="172"/>
      <c r="E566" s="48"/>
      <c r="F566" s="170"/>
      <c r="G566" s="175"/>
    </row>
    <row r="567">
      <c r="A567" s="47"/>
      <c r="B567" s="48"/>
      <c r="C567" s="48"/>
      <c r="D567" s="172"/>
      <c r="E567" s="48"/>
      <c r="F567" s="170"/>
      <c r="G567" s="175"/>
    </row>
    <row r="568">
      <c r="A568" s="47"/>
      <c r="B568" s="48"/>
      <c r="C568" s="48"/>
      <c r="D568" s="172"/>
      <c r="E568" s="48"/>
      <c r="F568" s="170"/>
      <c r="G568" s="175"/>
    </row>
    <row r="569">
      <c r="A569" s="47"/>
      <c r="B569" s="48"/>
      <c r="C569" s="48"/>
      <c r="D569" s="172"/>
      <c r="E569" s="48"/>
      <c r="F569" s="170"/>
      <c r="G569" s="175"/>
    </row>
    <row r="570">
      <c r="A570" s="47"/>
      <c r="B570" s="48"/>
      <c r="C570" s="48"/>
      <c r="D570" s="172"/>
      <c r="E570" s="48"/>
      <c r="F570" s="170"/>
      <c r="G570" s="175"/>
    </row>
    <row r="571">
      <c r="A571" s="47"/>
      <c r="B571" s="48"/>
      <c r="C571" s="48"/>
      <c r="D571" s="172"/>
      <c r="E571" s="48"/>
      <c r="F571" s="170"/>
      <c r="G571" s="175"/>
    </row>
    <row r="572">
      <c r="A572" s="47"/>
      <c r="B572" s="48"/>
      <c r="C572" s="48"/>
      <c r="D572" s="172"/>
      <c r="E572" s="48"/>
      <c r="F572" s="170"/>
      <c r="G572" s="175"/>
    </row>
    <row r="573">
      <c r="A573" s="47"/>
      <c r="B573" s="48"/>
      <c r="C573" s="48"/>
      <c r="D573" s="172"/>
      <c r="E573" s="48"/>
      <c r="F573" s="170"/>
      <c r="G573" s="175"/>
    </row>
    <row r="574">
      <c r="A574" s="47"/>
      <c r="B574" s="48"/>
      <c r="C574" s="48"/>
      <c r="D574" s="172"/>
      <c r="E574" s="48"/>
      <c r="F574" s="170"/>
      <c r="G574" s="175"/>
    </row>
    <row r="575">
      <c r="A575" s="47"/>
      <c r="B575" s="48"/>
      <c r="C575" s="48"/>
      <c r="D575" s="172"/>
      <c r="E575" s="48"/>
      <c r="F575" s="170"/>
      <c r="G575" s="175"/>
    </row>
    <row r="576">
      <c r="A576" s="47"/>
      <c r="B576" s="48"/>
      <c r="C576" s="48"/>
      <c r="D576" s="172"/>
      <c r="E576" s="48"/>
      <c r="F576" s="170"/>
      <c r="G576" s="175"/>
    </row>
    <row r="577">
      <c r="A577" s="47"/>
      <c r="B577" s="48"/>
      <c r="C577" s="48"/>
      <c r="D577" s="172"/>
      <c r="E577" s="48"/>
      <c r="F577" s="170"/>
      <c r="G577" s="175"/>
    </row>
    <row r="578">
      <c r="A578" s="47"/>
      <c r="B578" s="48"/>
      <c r="C578" s="48"/>
      <c r="D578" s="172"/>
      <c r="E578" s="48"/>
      <c r="F578" s="170"/>
      <c r="G578" s="175"/>
    </row>
    <row r="579">
      <c r="A579" s="47"/>
      <c r="B579" s="48"/>
      <c r="C579" s="48"/>
      <c r="D579" s="172"/>
      <c r="E579" s="48"/>
      <c r="F579" s="170"/>
      <c r="G579" s="175"/>
    </row>
    <row r="580">
      <c r="A580" s="47"/>
      <c r="B580" s="48"/>
      <c r="C580" s="48"/>
      <c r="D580" s="172"/>
      <c r="E580" s="48"/>
      <c r="F580" s="170"/>
      <c r="G580" s="175"/>
    </row>
    <row r="581">
      <c r="A581" s="47"/>
      <c r="B581" s="48"/>
      <c r="C581" s="48"/>
      <c r="D581" s="172"/>
      <c r="E581" s="48"/>
      <c r="F581" s="170"/>
      <c r="G581" s="175"/>
    </row>
    <row r="582">
      <c r="A582" s="47"/>
      <c r="B582" s="48"/>
      <c r="C582" s="48"/>
      <c r="D582" s="172"/>
      <c r="E582" s="48"/>
      <c r="F582" s="170"/>
      <c r="G582" s="175"/>
    </row>
    <row r="583">
      <c r="A583" s="47"/>
      <c r="B583" s="48"/>
      <c r="C583" s="48"/>
      <c r="D583" s="172"/>
      <c r="E583" s="48"/>
      <c r="F583" s="170"/>
      <c r="G583" s="175"/>
    </row>
    <row r="584">
      <c r="A584" s="47"/>
      <c r="B584" s="48"/>
      <c r="C584" s="48"/>
      <c r="D584" s="172"/>
      <c r="E584" s="48"/>
      <c r="F584" s="170"/>
      <c r="G584" s="175"/>
    </row>
    <row r="585">
      <c r="A585" s="47"/>
      <c r="B585" s="48"/>
      <c r="C585" s="48"/>
      <c r="D585" s="172"/>
      <c r="E585" s="48"/>
      <c r="F585" s="170"/>
      <c r="G585" s="175"/>
    </row>
    <row r="586">
      <c r="A586" s="47"/>
      <c r="B586" s="48"/>
      <c r="C586" s="48"/>
      <c r="D586" s="172"/>
      <c r="E586" s="48"/>
      <c r="F586" s="170"/>
      <c r="G586" s="175"/>
    </row>
    <row r="587">
      <c r="A587" s="47"/>
      <c r="B587" s="48"/>
      <c r="C587" s="48"/>
      <c r="D587" s="172"/>
      <c r="E587" s="48"/>
      <c r="F587" s="170"/>
      <c r="G587" s="175"/>
    </row>
    <row r="588">
      <c r="A588" s="47"/>
      <c r="B588" s="48"/>
      <c r="C588" s="48"/>
      <c r="D588" s="172"/>
      <c r="E588" s="48"/>
      <c r="F588" s="170"/>
      <c r="G588" s="175"/>
    </row>
    <row r="589">
      <c r="A589" s="47"/>
      <c r="B589" s="48"/>
      <c r="C589" s="48"/>
      <c r="D589" s="172"/>
      <c r="E589" s="48"/>
      <c r="F589" s="170"/>
      <c r="G589" s="175"/>
    </row>
    <row r="590">
      <c r="A590" s="47"/>
      <c r="B590" s="48"/>
      <c r="C590" s="48"/>
      <c r="D590" s="172"/>
      <c r="E590" s="48"/>
      <c r="F590" s="170"/>
      <c r="G590" s="175"/>
    </row>
    <row r="591">
      <c r="A591" s="47"/>
      <c r="B591" s="48"/>
      <c r="C591" s="48"/>
      <c r="D591" s="172"/>
      <c r="E591" s="48"/>
      <c r="F591" s="170"/>
      <c r="G591" s="175"/>
    </row>
    <row r="592">
      <c r="A592" s="47"/>
      <c r="B592" s="48"/>
      <c r="C592" s="48"/>
      <c r="D592" s="172"/>
      <c r="E592" s="48"/>
      <c r="F592" s="170"/>
      <c r="G592" s="175"/>
    </row>
    <row r="593">
      <c r="A593" s="47"/>
      <c r="B593" s="48"/>
      <c r="C593" s="48"/>
      <c r="D593" s="172"/>
      <c r="E593" s="48"/>
      <c r="F593" s="170"/>
      <c r="G593" s="175"/>
    </row>
    <row r="594">
      <c r="A594" s="47"/>
      <c r="B594" s="48"/>
      <c r="C594" s="48"/>
      <c r="D594" s="172"/>
      <c r="E594" s="48"/>
      <c r="F594" s="170"/>
      <c r="G594" s="175"/>
    </row>
    <row r="595">
      <c r="A595" s="47"/>
      <c r="B595" s="48"/>
      <c r="C595" s="48"/>
      <c r="D595" s="172"/>
      <c r="E595" s="48"/>
      <c r="F595" s="170"/>
      <c r="G595" s="175"/>
    </row>
    <row r="596">
      <c r="A596" s="47"/>
      <c r="B596" s="48"/>
      <c r="C596" s="48"/>
      <c r="D596" s="172"/>
      <c r="E596" s="48"/>
      <c r="F596" s="170"/>
      <c r="G596" s="175"/>
    </row>
    <row r="597">
      <c r="A597" s="47"/>
      <c r="B597" s="48"/>
      <c r="C597" s="48"/>
      <c r="D597" s="172"/>
      <c r="E597" s="48"/>
      <c r="F597" s="170"/>
      <c r="G597" s="175"/>
    </row>
    <row r="598">
      <c r="A598" s="47"/>
      <c r="B598" s="48"/>
      <c r="C598" s="48"/>
      <c r="D598" s="172"/>
      <c r="E598" s="48"/>
      <c r="F598" s="170"/>
      <c r="G598" s="175"/>
    </row>
    <row r="599">
      <c r="A599" s="47"/>
      <c r="B599" s="48"/>
      <c r="C599" s="48"/>
      <c r="D599" s="172"/>
      <c r="E599" s="48"/>
      <c r="F599" s="170"/>
      <c r="G599" s="175"/>
    </row>
    <row r="600">
      <c r="A600" s="47"/>
      <c r="B600" s="48"/>
      <c r="C600" s="48"/>
      <c r="D600" s="172"/>
      <c r="E600" s="48"/>
      <c r="F600" s="170"/>
      <c r="G600" s="175"/>
    </row>
    <row r="601">
      <c r="A601" s="47"/>
      <c r="B601" s="48"/>
      <c r="C601" s="48"/>
      <c r="D601" s="172"/>
      <c r="E601" s="48"/>
      <c r="F601" s="170"/>
      <c r="G601" s="175"/>
    </row>
    <row r="602">
      <c r="A602" s="47"/>
      <c r="B602" s="48"/>
      <c r="C602" s="48"/>
      <c r="D602" s="172"/>
      <c r="E602" s="48"/>
      <c r="F602" s="170"/>
      <c r="G602" s="175"/>
    </row>
    <row r="603">
      <c r="A603" s="47"/>
      <c r="B603" s="48"/>
      <c r="C603" s="48"/>
      <c r="D603" s="172"/>
      <c r="E603" s="48"/>
      <c r="F603" s="170"/>
      <c r="G603" s="175"/>
    </row>
    <row r="604">
      <c r="A604" s="47"/>
      <c r="B604" s="48"/>
      <c r="C604" s="48"/>
      <c r="D604" s="172"/>
      <c r="E604" s="48"/>
      <c r="F604" s="170"/>
      <c r="G604" s="175"/>
    </row>
    <row r="605">
      <c r="A605" s="47"/>
      <c r="B605" s="48"/>
      <c r="C605" s="48"/>
      <c r="D605" s="172"/>
      <c r="E605" s="48"/>
      <c r="F605" s="170"/>
      <c r="G605" s="175"/>
    </row>
    <row r="606">
      <c r="A606" s="47"/>
      <c r="B606" s="48"/>
      <c r="C606" s="48"/>
      <c r="D606" s="172"/>
      <c r="E606" s="48"/>
      <c r="F606" s="170"/>
      <c r="G606" s="175"/>
    </row>
    <row r="607">
      <c r="A607" s="47"/>
      <c r="B607" s="48"/>
      <c r="C607" s="48"/>
      <c r="D607" s="172"/>
      <c r="E607" s="48"/>
      <c r="F607" s="170"/>
      <c r="G607" s="175"/>
    </row>
    <row r="608">
      <c r="A608" s="47"/>
      <c r="B608" s="48"/>
      <c r="C608" s="48"/>
      <c r="D608" s="172"/>
      <c r="E608" s="48"/>
      <c r="F608" s="170"/>
      <c r="G608" s="175"/>
    </row>
    <row r="609">
      <c r="A609" s="47"/>
      <c r="B609" s="48"/>
      <c r="C609" s="48"/>
      <c r="D609" s="172"/>
      <c r="E609" s="48"/>
      <c r="F609" s="170"/>
      <c r="G609" s="175"/>
    </row>
    <row r="610">
      <c r="A610" s="47"/>
      <c r="B610" s="48"/>
      <c r="C610" s="48"/>
      <c r="D610" s="172"/>
      <c r="E610" s="48"/>
      <c r="F610" s="170"/>
      <c r="G610" s="175"/>
    </row>
    <row r="611">
      <c r="A611" s="47"/>
      <c r="B611" s="48"/>
      <c r="C611" s="48"/>
      <c r="D611" s="172"/>
      <c r="E611" s="48"/>
      <c r="F611" s="170"/>
      <c r="G611" s="175"/>
    </row>
    <row r="612">
      <c r="A612" s="47"/>
      <c r="B612" s="48"/>
      <c r="C612" s="48"/>
      <c r="D612" s="172"/>
      <c r="E612" s="48"/>
      <c r="F612" s="170"/>
      <c r="G612" s="175"/>
    </row>
    <row r="613">
      <c r="A613" s="47"/>
      <c r="B613" s="48"/>
      <c r="C613" s="48"/>
      <c r="D613" s="172"/>
      <c r="E613" s="48"/>
      <c r="F613" s="170"/>
      <c r="G613" s="175"/>
    </row>
    <row r="614">
      <c r="A614" s="47"/>
      <c r="B614" s="48"/>
      <c r="C614" s="48"/>
      <c r="D614" s="172"/>
      <c r="E614" s="48"/>
      <c r="F614" s="170"/>
      <c r="G614" s="175"/>
    </row>
    <row r="615">
      <c r="A615" s="47"/>
      <c r="B615" s="48"/>
      <c r="C615" s="48"/>
      <c r="D615" s="172"/>
      <c r="E615" s="48"/>
      <c r="F615" s="170"/>
      <c r="G615" s="175"/>
    </row>
    <row r="616">
      <c r="A616" s="47"/>
      <c r="B616" s="48"/>
      <c r="C616" s="48"/>
      <c r="D616" s="172"/>
      <c r="E616" s="48"/>
      <c r="F616" s="170"/>
      <c r="G616" s="175"/>
    </row>
    <row r="617">
      <c r="A617" s="47"/>
      <c r="B617" s="48"/>
      <c r="C617" s="48"/>
      <c r="D617" s="172"/>
      <c r="E617" s="48"/>
      <c r="F617" s="170"/>
      <c r="G617" s="175"/>
    </row>
    <row r="618">
      <c r="A618" s="47"/>
      <c r="B618" s="48"/>
      <c r="C618" s="48"/>
      <c r="D618" s="172"/>
      <c r="E618" s="48"/>
      <c r="F618" s="170"/>
      <c r="G618" s="175"/>
    </row>
    <row r="619">
      <c r="A619" s="47"/>
      <c r="B619" s="48"/>
      <c r="C619" s="48"/>
      <c r="D619" s="172"/>
      <c r="E619" s="48"/>
      <c r="F619" s="170"/>
      <c r="G619" s="175"/>
    </row>
    <row r="620">
      <c r="A620" s="47"/>
      <c r="B620" s="48"/>
      <c r="C620" s="48"/>
      <c r="D620" s="172"/>
      <c r="E620" s="48"/>
      <c r="F620" s="170"/>
      <c r="G620" s="175"/>
    </row>
    <row r="621">
      <c r="A621" s="47"/>
      <c r="B621" s="48"/>
      <c r="C621" s="48"/>
      <c r="D621" s="172"/>
      <c r="E621" s="48"/>
      <c r="F621" s="170"/>
      <c r="G621" s="175"/>
    </row>
    <row r="622">
      <c r="A622" s="47"/>
      <c r="B622" s="48"/>
      <c r="C622" s="48"/>
      <c r="D622" s="172"/>
      <c r="E622" s="48"/>
      <c r="F622" s="170"/>
      <c r="G622" s="175"/>
    </row>
    <row r="623">
      <c r="A623" s="47"/>
      <c r="B623" s="48"/>
      <c r="C623" s="48"/>
      <c r="D623" s="172"/>
      <c r="E623" s="48"/>
      <c r="F623" s="170"/>
      <c r="G623" s="175"/>
    </row>
    <row r="624">
      <c r="A624" s="47"/>
      <c r="B624" s="48"/>
      <c r="C624" s="48"/>
      <c r="D624" s="172"/>
      <c r="E624" s="48"/>
      <c r="F624" s="170"/>
      <c r="G624" s="175"/>
    </row>
    <row r="625">
      <c r="A625" s="47"/>
      <c r="B625" s="48"/>
      <c r="C625" s="48"/>
      <c r="D625" s="172"/>
      <c r="E625" s="48"/>
      <c r="F625" s="170"/>
      <c r="G625" s="175"/>
    </row>
    <row r="626">
      <c r="A626" s="47"/>
      <c r="B626" s="48"/>
      <c r="C626" s="48"/>
      <c r="D626" s="172"/>
      <c r="E626" s="48"/>
      <c r="F626" s="170"/>
      <c r="G626" s="175"/>
    </row>
    <row r="627">
      <c r="A627" s="47"/>
      <c r="B627" s="48"/>
      <c r="C627" s="48"/>
      <c r="D627" s="172"/>
      <c r="E627" s="48"/>
      <c r="F627" s="170"/>
      <c r="G627" s="175"/>
    </row>
    <row r="628">
      <c r="A628" s="47"/>
      <c r="B628" s="48"/>
      <c r="C628" s="48"/>
      <c r="D628" s="172"/>
      <c r="E628" s="48"/>
      <c r="F628" s="170"/>
      <c r="G628" s="175"/>
    </row>
    <row r="629">
      <c r="A629" s="47"/>
      <c r="B629" s="48"/>
      <c r="C629" s="48"/>
      <c r="D629" s="172"/>
      <c r="E629" s="48"/>
      <c r="F629" s="170"/>
      <c r="G629" s="175"/>
    </row>
    <row r="630">
      <c r="A630" s="47"/>
      <c r="B630" s="48"/>
      <c r="C630" s="48"/>
      <c r="D630" s="172"/>
      <c r="E630" s="48"/>
      <c r="F630" s="170"/>
      <c r="G630" s="175"/>
    </row>
    <row r="631">
      <c r="A631" s="47"/>
      <c r="B631" s="48"/>
      <c r="C631" s="48"/>
      <c r="D631" s="172"/>
      <c r="E631" s="48"/>
      <c r="F631" s="170"/>
      <c r="G631" s="175"/>
    </row>
    <row r="632">
      <c r="A632" s="47"/>
      <c r="B632" s="48"/>
      <c r="C632" s="48"/>
      <c r="D632" s="172"/>
      <c r="E632" s="48"/>
      <c r="F632" s="170"/>
      <c r="G632" s="175"/>
    </row>
    <row r="633">
      <c r="A633" s="47"/>
      <c r="B633" s="48"/>
      <c r="C633" s="48"/>
      <c r="D633" s="172"/>
      <c r="E633" s="48"/>
      <c r="F633" s="170"/>
      <c r="G633" s="175"/>
    </row>
    <row r="634">
      <c r="A634" s="47"/>
      <c r="B634" s="48"/>
      <c r="C634" s="48"/>
      <c r="D634" s="172"/>
      <c r="E634" s="48"/>
      <c r="F634" s="170"/>
      <c r="G634" s="175"/>
    </row>
    <row r="635">
      <c r="A635" s="47"/>
      <c r="B635" s="48"/>
      <c r="C635" s="48"/>
      <c r="D635" s="172"/>
      <c r="E635" s="48"/>
      <c r="F635" s="170"/>
      <c r="G635" s="175"/>
    </row>
    <row r="636">
      <c r="A636" s="47"/>
      <c r="B636" s="48"/>
      <c r="C636" s="48"/>
      <c r="D636" s="172"/>
      <c r="E636" s="48"/>
      <c r="F636" s="170"/>
      <c r="G636" s="175"/>
    </row>
    <row r="637">
      <c r="A637" s="47"/>
      <c r="B637" s="48"/>
      <c r="C637" s="48"/>
      <c r="D637" s="172"/>
      <c r="E637" s="48"/>
      <c r="F637" s="170"/>
      <c r="G637" s="175"/>
    </row>
    <row r="638">
      <c r="A638" s="47"/>
      <c r="B638" s="48"/>
      <c r="C638" s="48"/>
      <c r="D638" s="172"/>
      <c r="E638" s="48"/>
      <c r="F638" s="170"/>
      <c r="G638" s="175"/>
    </row>
    <row r="639">
      <c r="A639" s="47"/>
      <c r="B639" s="48"/>
      <c r="C639" s="48"/>
      <c r="D639" s="172"/>
      <c r="E639" s="48"/>
      <c r="F639" s="170"/>
      <c r="G639" s="175"/>
    </row>
    <row r="640">
      <c r="A640" s="47"/>
      <c r="B640" s="48"/>
      <c r="C640" s="48"/>
      <c r="D640" s="172"/>
      <c r="E640" s="48"/>
      <c r="F640" s="170"/>
      <c r="G640" s="175"/>
    </row>
    <row r="641">
      <c r="A641" s="47"/>
      <c r="B641" s="48"/>
      <c r="C641" s="48"/>
      <c r="D641" s="172"/>
      <c r="E641" s="48"/>
      <c r="F641" s="170"/>
      <c r="G641" s="175"/>
    </row>
    <row r="642">
      <c r="A642" s="47"/>
      <c r="B642" s="48"/>
      <c r="C642" s="48"/>
      <c r="D642" s="172"/>
      <c r="E642" s="48"/>
      <c r="F642" s="170"/>
      <c r="G642" s="175"/>
    </row>
    <row r="643">
      <c r="A643" s="47"/>
      <c r="B643" s="48"/>
      <c r="C643" s="48"/>
      <c r="D643" s="172"/>
      <c r="E643" s="48"/>
      <c r="F643" s="170"/>
      <c r="G643" s="175"/>
    </row>
    <row r="644">
      <c r="A644" s="47"/>
      <c r="B644" s="48"/>
      <c r="C644" s="48"/>
      <c r="D644" s="172"/>
      <c r="E644" s="48"/>
      <c r="F644" s="170"/>
      <c r="G644" s="175"/>
    </row>
    <row r="645">
      <c r="A645" s="47"/>
      <c r="B645" s="48"/>
      <c r="C645" s="48"/>
      <c r="D645" s="172"/>
      <c r="E645" s="48"/>
      <c r="F645" s="170"/>
      <c r="G645" s="175"/>
    </row>
    <row r="646">
      <c r="A646" s="47"/>
      <c r="B646" s="48"/>
      <c r="C646" s="48"/>
      <c r="D646" s="172"/>
      <c r="E646" s="48"/>
      <c r="F646" s="170"/>
      <c r="G646" s="175"/>
    </row>
    <row r="647">
      <c r="A647" s="47"/>
      <c r="B647" s="48"/>
      <c r="C647" s="48"/>
      <c r="D647" s="172"/>
      <c r="E647" s="48"/>
      <c r="F647" s="170"/>
      <c r="G647" s="175"/>
    </row>
    <row r="648">
      <c r="A648" s="47"/>
      <c r="B648" s="48"/>
      <c r="C648" s="48"/>
      <c r="D648" s="172"/>
      <c r="E648" s="48"/>
      <c r="F648" s="170"/>
      <c r="G648" s="175"/>
    </row>
    <row r="649">
      <c r="A649" s="47"/>
      <c r="B649" s="48"/>
      <c r="C649" s="48"/>
      <c r="D649" s="172"/>
      <c r="E649" s="48"/>
      <c r="F649" s="170"/>
      <c r="G649" s="175"/>
    </row>
    <row r="650">
      <c r="A650" s="47"/>
      <c r="B650" s="48"/>
      <c r="C650" s="48"/>
      <c r="D650" s="172"/>
      <c r="E650" s="48"/>
      <c r="F650" s="170"/>
      <c r="G650" s="175"/>
    </row>
    <row r="651">
      <c r="A651" s="47"/>
      <c r="B651" s="48"/>
      <c r="C651" s="48"/>
      <c r="D651" s="172"/>
      <c r="E651" s="48"/>
      <c r="F651" s="170"/>
      <c r="G651" s="175"/>
    </row>
    <row r="652">
      <c r="A652" s="47"/>
      <c r="B652" s="48"/>
      <c r="C652" s="48"/>
      <c r="D652" s="172"/>
      <c r="E652" s="48"/>
      <c r="F652" s="170"/>
      <c r="G652" s="175"/>
    </row>
    <row r="653">
      <c r="A653" s="47"/>
      <c r="B653" s="48"/>
      <c r="C653" s="48"/>
      <c r="D653" s="172"/>
      <c r="E653" s="48"/>
      <c r="F653" s="170"/>
      <c r="G653" s="175"/>
    </row>
    <row r="654">
      <c r="A654" s="47"/>
      <c r="B654" s="48"/>
      <c r="C654" s="48"/>
      <c r="D654" s="172"/>
      <c r="E654" s="48"/>
      <c r="F654" s="170"/>
      <c r="G654" s="175"/>
    </row>
    <row r="655">
      <c r="A655" s="47"/>
      <c r="B655" s="48"/>
      <c r="C655" s="48"/>
      <c r="D655" s="172"/>
      <c r="E655" s="48"/>
      <c r="F655" s="170"/>
      <c r="G655" s="175"/>
    </row>
    <row r="656">
      <c r="A656" s="47"/>
      <c r="B656" s="48"/>
      <c r="C656" s="48"/>
      <c r="D656" s="172"/>
      <c r="E656" s="48"/>
      <c r="F656" s="170"/>
      <c r="G656" s="175"/>
    </row>
    <row r="657">
      <c r="A657" s="47"/>
      <c r="B657" s="48"/>
      <c r="C657" s="48"/>
      <c r="D657" s="172"/>
      <c r="E657" s="48"/>
      <c r="F657" s="170"/>
      <c r="G657" s="175"/>
    </row>
    <row r="658">
      <c r="A658" s="47"/>
      <c r="B658" s="48"/>
      <c r="C658" s="48"/>
      <c r="D658" s="172"/>
      <c r="E658" s="48"/>
      <c r="F658" s="170"/>
      <c r="G658" s="175"/>
    </row>
    <row r="659">
      <c r="A659" s="47"/>
      <c r="B659" s="48"/>
      <c r="C659" s="48"/>
      <c r="D659" s="172"/>
      <c r="E659" s="48"/>
      <c r="F659" s="170"/>
      <c r="G659" s="175"/>
    </row>
    <row r="660">
      <c r="A660" s="47"/>
      <c r="B660" s="48"/>
      <c r="C660" s="48"/>
      <c r="D660" s="172"/>
      <c r="E660" s="48"/>
      <c r="F660" s="170"/>
      <c r="G660" s="175"/>
    </row>
    <row r="661">
      <c r="A661" s="47"/>
      <c r="B661" s="48"/>
      <c r="C661" s="48"/>
      <c r="D661" s="172"/>
      <c r="E661" s="48"/>
      <c r="F661" s="170"/>
      <c r="G661" s="175"/>
    </row>
    <row r="662">
      <c r="A662" s="47"/>
      <c r="B662" s="48"/>
      <c r="C662" s="48"/>
      <c r="D662" s="172"/>
      <c r="E662" s="48"/>
      <c r="F662" s="170"/>
      <c r="G662" s="175"/>
    </row>
    <row r="663">
      <c r="A663" s="47"/>
      <c r="B663" s="48"/>
      <c r="C663" s="48"/>
      <c r="D663" s="172"/>
      <c r="E663" s="48"/>
      <c r="F663" s="170"/>
      <c r="G663" s="175"/>
    </row>
    <row r="664">
      <c r="A664" s="47"/>
      <c r="B664" s="48"/>
      <c r="C664" s="48"/>
      <c r="D664" s="172"/>
      <c r="E664" s="48"/>
      <c r="F664" s="170"/>
      <c r="G664" s="175"/>
    </row>
    <row r="665">
      <c r="A665" s="47"/>
      <c r="B665" s="48"/>
      <c r="C665" s="48"/>
      <c r="D665" s="172"/>
      <c r="E665" s="48"/>
      <c r="F665" s="170"/>
      <c r="G665" s="175"/>
    </row>
    <row r="666">
      <c r="A666" s="47"/>
      <c r="B666" s="48"/>
      <c r="C666" s="48"/>
      <c r="D666" s="172"/>
      <c r="E666" s="48"/>
      <c r="F666" s="170"/>
      <c r="G666" s="175"/>
    </row>
    <row r="667">
      <c r="A667" s="47"/>
      <c r="B667" s="48"/>
      <c r="C667" s="48"/>
      <c r="D667" s="172"/>
      <c r="E667" s="48"/>
      <c r="F667" s="170"/>
      <c r="G667" s="175"/>
    </row>
    <row r="668">
      <c r="A668" s="47"/>
      <c r="B668" s="48"/>
      <c r="C668" s="48"/>
      <c r="D668" s="172"/>
      <c r="E668" s="48"/>
      <c r="F668" s="170"/>
      <c r="G668" s="175"/>
    </row>
    <row r="669">
      <c r="A669" s="47"/>
      <c r="B669" s="48"/>
      <c r="C669" s="48"/>
      <c r="D669" s="172"/>
      <c r="E669" s="48"/>
      <c r="F669" s="170"/>
      <c r="G669" s="175"/>
    </row>
    <row r="670">
      <c r="A670" s="47"/>
      <c r="B670" s="48"/>
      <c r="C670" s="48"/>
      <c r="D670" s="172"/>
      <c r="E670" s="48"/>
      <c r="F670" s="170"/>
      <c r="G670" s="175"/>
    </row>
    <row r="671">
      <c r="A671" s="47"/>
      <c r="B671" s="48"/>
      <c r="C671" s="48"/>
      <c r="D671" s="172"/>
      <c r="E671" s="48"/>
      <c r="F671" s="170"/>
      <c r="G671" s="175"/>
    </row>
    <row r="672">
      <c r="A672" s="47"/>
      <c r="B672" s="48"/>
      <c r="C672" s="48"/>
      <c r="D672" s="172"/>
      <c r="E672" s="48"/>
      <c r="F672" s="170"/>
      <c r="G672" s="175"/>
    </row>
    <row r="673">
      <c r="A673" s="47"/>
      <c r="B673" s="48"/>
      <c r="C673" s="48"/>
      <c r="D673" s="172"/>
      <c r="E673" s="48"/>
      <c r="F673" s="170"/>
      <c r="G673" s="175"/>
    </row>
    <row r="674">
      <c r="A674" s="47"/>
      <c r="B674" s="48"/>
      <c r="C674" s="48"/>
      <c r="D674" s="172"/>
      <c r="E674" s="48"/>
      <c r="F674" s="170"/>
      <c r="G674" s="175"/>
    </row>
    <row r="675">
      <c r="A675" s="47"/>
      <c r="B675" s="48"/>
      <c r="C675" s="48"/>
      <c r="D675" s="172"/>
      <c r="E675" s="48"/>
      <c r="F675" s="170"/>
      <c r="G675" s="175"/>
    </row>
    <row r="676">
      <c r="A676" s="47"/>
      <c r="B676" s="48"/>
      <c r="C676" s="48"/>
      <c r="D676" s="172"/>
      <c r="E676" s="48"/>
      <c r="F676" s="170"/>
      <c r="G676" s="175"/>
    </row>
    <row r="677">
      <c r="A677" s="47"/>
      <c r="B677" s="48"/>
      <c r="C677" s="48"/>
      <c r="D677" s="172"/>
      <c r="E677" s="48"/>
      <c r="F677" s="170"/>
      <c r="G677" s="175"/>
    </row>
    <row r="678">
      <c r="A678" s="47"/>
      <c r="B678" s="48"/>
      <c r="C678" s="48"/>
      <c r="D678" s="172"/>
      <c r="E678" s="48"/>
      <c r="F678" s="170"/>
      <c r="G678" s="175"/>
    </row>
    <row r="679">
      <c r="A679" s="47"/>
      <c r="B679" s="48"/>
      <c r="C679" s="48"/>
      <c r="D679" s="172"/>
      <c r="E679" s="48"/>
      <c r="F679" s="170"/>
      <c r="G679" s="175"/>
    </row>
    <row r="680">
      <c r="A680" s="47"/>
      <c r="B680" s="48"/>
      <c r="C680" s="48"/>
      <c r="D680" s="172"/>
      <c r="E680" s="48"/>
      <c r="F680" s="170"/>
      <c r="G680" s="175"/>
    </row>
    <row r="681">
      <c r="A681" s="47"/>
      <c r="B681" s="48"/>
      <c r="C681" s="48"/>
      <c r="D681" s="172"/>
      <c r="E681" s="48"/>
      <c r="F681" s="170"/>
      <c r="G681" s="175"/>
    </row>
    <row r="682">
      <c r="A682" s="47"/>
      <c r="B682" s="48"/>
      <c r="C682" s="48"/>
      <c r="D682" s="172"/>
      <c r="E682" s="48"/>
      <c r="F682" s="170"/>
      <c r="G682" s="175"/>
    </row>
    <row r="683">
      <c r="A683" s="47"/>
      <c r="B683" s="48"/>
      <c r="C683" s="48"/>
      <c r="D683" s="172"/>
      <c r="E683" s="48"/>
      <c r="F683" s="170"/>
      <c r="G683" s="175"/>
    </row>
    <row r="684">
      <c r="A684" s="47"/>
      <c r="B684" s="48"/>
      <c r="C684" s="48"/>
      <c r="D684" s="172"/>
      <c r="E684" s="48"/>
      <c r="F684" s="170"/>
      <c r="G684" s="175"/>
    </row>
    <row r="685">
      <c r="A685" s="47"/>
      <c r="B685" s="48"/>
      <c r="C685" s="48"/>
      <c r="D685" s="172"/>
      <c r="E685" s="48"/>
      <c r="F685" s="170"/>
      <c r="G685" s="175"/>
    </row>
    <row r="686">
      <c r="A686" s="47"/>
      <c r="B686" s="48"/>
      <c r="C686" s="48"/>
      <c r="D686" s="172"/>
      <c r="E686" s="48"/>
      <c r="F686" s="170"/>
      <c r="G686" s="175"/>
    </row>
    <row r="687">
      <c r="A687" s="47"/>
      <c r="B687" s="48"/>
      <c r="C687" s="48"/>
      <c r="D687" s="172"/>
      <c r="E687" s="48"/>
      <c r="F687" s="170"/>
      <c r="G687" s="175"/>
    </row>
    <row r="688">
      <c r="A688" s="47"/>
      <c r="B688" s="48"/>
      <c r="C688" s="48"/>
      <c r="D688" s="172"/>
      <c r="E688" s="48"/>
      <c r="F688" s="170"/>
      <c r="G688" s="175"/>
    </row>
    <row r="689">
      <c r="A689" s="47"/>
      <c r="B689" s="48"/>
      <c r="C689" s="48"/>
      <c r="D689" s="172"/>
      <c r="E689" s="48"/>
      <c r="F689" s="170"/>
      <c r="G689" s="175"/>
    </row>
    <row r="690">
      <c r="A690" s="47"/>
      <c r="B690" s="48"/>
      <c r="C690" s="48"/>
      <c r="D690" s="172"/>
      <c r="E690" s="48"/>
      <c r="F690" s="170"/>
      <c r="G690" s="175"/>
    </row>
    <row r="691">
      <c r="A691" s="47"/>
      <c r="B691" s="48"/>
      <c r="C691" s="48"/>
      <c r="D691" s="172"/>
      <c r="E691" s="48"/>
      <c r="F691" s="170"/>
      <c r="G691" s="175"/>
    </row>
    <row r="692">
      <c r="A692" s="47"/>
      <c r="B692" s="48"/>
      <c r="C692" s="48"/>
      <c r="D692" s="172"/>
      <c r="E692" s="48"/>
      <c r="F692" s="170"/>
      <c r="G692" s="175"/>
    </row>
    <row r="693">
      <c r="A693" s="47"/>
      <c r="B693" s="48"/>
      <c r="C693" s="48"/>
      <c r="D693" s="172"/>
      <c r="E693" s="48"/>
      <c r="F693" s="170"/>
      <c r="G693" s="175"/>
    </row>
    <row r="694">
      <c r="A694" s="47"/>
      <c r="B694" s="48"/>
      <c r="C694" s="48"/>
      <c r="D694" s="172"/>
      <c r="E694" s="48"/>
      <c r="F694" s="170"/>
      <c r="G694" s="175"/>
    </row>
    <row r="695">
      <c r="A695" s="47"/>
      <c r="B695" s="48"/>
      <c r="C695" s="48"/>
      <c r="D695" s="172"/>
      <c r="E695" s="48"/>
      <c r="F695" s="170"/>
      <c r="G695" s="175"/>
    </row>
    <row r="696">
      <c r="A696" s="47"/>
      <c r="B696" s="48"/>
      <c r="C696" s="48"/>
      <c r="D696" s="172"/>
      <c r="E696" s="48"/>
      <c r="F696" s="170"/>
      <c r="G696" s="175"/>
    </row>
    <row r="697">
      <c r="A697" s="47"/>
      <c r="B697" s="48"/>
      <c r="C697" s="48"/>
      <c r="D697" s="172"/>
      <c r="E697" s="48"/>
      <c r="F697" s="170"/>
      <c r="G697" s="175"/>
    </row>
    <row r="698">
      <c r="A698" s="47"/>
      <c r="B698" s="48"/>
      <c r="C698" s="48"/>
      <c r="D698" s="172"/>
      <c r="E698" s="48"/>
      <c r="F698" s="170"/>
      <c r="G698" s="175"/>
    </row>
    <row r="699">
      <c r="A699" s="47"/>
      <c r="B699" s="48"/>
      <c r="C699" s="48"/>
      <c r="D699" s="172"/>
      <c r="E699" s="48"/>
      <c r="F699" s="170"/>
      <c r="G699" s="175"/>
    </row>
    <row r="700">
      <c r="A700" s="47"/>
      <c r="B700" s="48"/>
      <c r="C700" s="48"/>
      <c r="D700" s="172"/>
      <c r="E700" s="48"/>
      <c r="F700" s="170"/>
      <c r="G700" s="175"/>
    </row>
    <row r="701">
      <c r="A701" s="47"/>
      <c r="B701" s="48"/>
      <c r="C701" s="48"/>
      <c r="D701" s="172"/>
      <c r="E701" s="48"/>
      <c r="F701" s="170"/>
      <c r="G701" s="175"/>
    </row>
    <row r="702">
      <c r="A702" s="47"/>
      <c r="B702" s="48"/>
      <c r="C702" s="48"/>
      <c r="D702" s="172"/>
      <c r="E702" s="48"/>
      <c r="F702" s="170"/>
      <c r="G702" s="175"/>
    </row>
    <row r="703">
      <c r="A703" s="47"/>
      <c r="B703" s="48"/>
      <c r="C703" s="48"/>
      <c r="D703" s="172"/>
      <c r="E703" s="48"/>
      <c r="F703" s="170"/>
      <c r="G703" s="175"/>
    </row>
    <row r="704">
      <c r="A704" s="47"/>
      <c r="B704" s="48"/>
      <c r="C704" s="48"/>
      <c r="D704" s="172"/>
      <c r="E704" s="48"/>
      <c r="F704" s="170"/>
      <c r="G704" s="175"/>
    </row>
    <row r="705">
      <c r="A705" s="47"/>
      <c r="B705" s="48"/>
      <c r="C705" s="48"/>
      <c r="D705" s="172"/>
      <c r="E705" s="48"/>
      <c r="F705" s="170"/>
      <c r="G705" s="175"/>
    </row>
    <row r="706">
      <c r="A706" s="47"/>
      <c r="B706" s="48"/>
      <c r="C706" s="48"/>
      <c r="D706" s="172"/>
      <c r="E706" s="48"/>
      <c r="F706" s="170"/>
      <c r="G706" s="175"/>
    </row>
    <row r="707">
      <c r="A707" s="47"/>
      <c r="B707" s="48"/>
      <c r="C707" s="48"/>
      <c r="D707" s="172"/>
      <c r="E707" s="48"/>
      <c r="F707" s="170"/>
      <c r="G707" s="175"/>
    </row>
    <row r="708">
      <c r="A708" s="47"/>
      <c r="B708" s="48"/>
      <c r="C708" s="48"/>
      <c r="D708" s="172"/>
      <c r="E708" s="48"/>
      <c r="F708" s="170"/>
      <c r="G708" s="175"/>
    </row>
    <row r="709">
      <c r="A709" s="47"/>
      <c r="B709" s="48"/>
      <c r="C709" s="48"/>
      <c r="D709" s="172"/>
      <c r="E709" s="48"/>
      <c r="F709" s="170"/>
      <c r="G709" s="175"/>
    </row>
    <row r="710">
      <c r="A710" s="47"/>
      <c r="B710" s="48"/>
      <c r="C710" s="48"/>
      <c r="D710" s="172"/>
      <c r="E710" s="48"/>
      <c r="F710" s="170"/>
      <c r="G710" s="175"/>
    </row>
    <row r="711">
      <c r="A711" s="47"/>
      <c r="B711" s="48"/>
      <c r="C711" s="48"/>
      <c r="D711" s="172"/>
      <c r="E711" s="48"/>
      <c r="F711" s="170"/>
      <c r="G711" s="175"/>
    </row>
    <row r="712">
      <c r="A712" s="47"/>
      <c r="B712" s="48"/>
      <c r="C712" s="48"/>
      <c r="D712" s="172"/>
      <c r="E712" s="48"/>
      <c r="F712" s="170"/>
      <c r="G712" s="175"/>
    </row>
    <row r="713">
      <c r="A713" s="47"/>
      <c r="B713" s="48"/>
      <c r="C713" s="48"/>
      <c r="D713" s="172"/>
      <c r="E713" s="48"/>
      <c r="F713" s="170"/>
      <c r="G713" s="175"/>
    </row>
    <row r="714">
      <c r="A714" s="47"/>
      <c r="B714" s="48"/>
      <c r="C714" s="48"/>
      <c r="D714" s="172"/>
      <c r="E714" s="48"/>
      <c r="F714" s="170"/>
      <c r="G714" s="175"/>
    </row>
    <row r="715">
      <c r="A715" s="47"/>
      <c r="B715" s="48"/>
      <c r="C715" s="48"/>
      <c r="D715" s="172"/>
      <c r="E715" s="48"/>
      <c r="F715" s="170"/>
      <c r="G715" s="175"/>
    </row>
    <row r="716">
      <c r="A716" s="47"/>
      <c r="B716" s="48"/>
      <c r="C716" s="48"/>
      <c r="D716" s="172"/>
      <c r="E716" s="48"/>
      <c r="F716" s="170"/>
      <c r="G716" s="175"/>
    </row>
    <row r="717">
      <c r="A717" s="47"/>
      <c r="B717" s="48"/>
      <c r="C717" s="48"/>
      <c r="D717" s="172"/>
      <c r="E717" s="48"/>
      <c r="F717" s="170"/>
      <c r="G717" s="175"/>
    </row>
    <row r="718">
      <c r="A718" s="47"/>
      <c r="B718" s="48"/>
      <c r="C718" s="48"/>
      <c r="D718" s="172"/>
      <c r="E718" s="48"/>
      <c r="F718" s="170"/>
      <c r="G718" s="175"/>
    </row>
    <row r="719">
      <c r="A719" s="47"/>
      <c r="B719" s="48"/>
      <c r="C719" s="48"/>
      <c r="D719" s="172"/>
      <c r="E719" s="48"/>
      <c r="F719" s="170"/>
      <c r="G719" s="175"/>
    </row>
    <row r="720">
      <c r="A720" s="47"/>
      <c r="B720" s="48"/>
      <c r="C720" s="48"/>
      <c r="D720" s="172"/>
      <c r="E720" s="48"/>
      <c r="F720" s="170"/>
      <c r="G720" s="175"/>
    </row>
    <row r="721">
      <c r="A721" s="47"/>
      <c r="B721" s="48"/>
      <c r="C721" s="48"/>
      <c r="D721" s="172"/>
      <c r="E721" s="48"/>
      <c r="F721" s="170"/>
      <c r="G721" s="175"/>
    </row>
    <row r="722">
      <c r="A722" s="47"/>
      <c r="B722" s="48"/>
      <c r="C722" s="48"/>
      <c r="D722" s="172"/>
      <c r="E722" s="48"/>
      <c r="F722" s="170"/>
      <c r="G722" s="175"/>
    </row>
    <row r="723">
      <c r="A723" s="47"/>
      <c r="B723" s="48"/>
      <c r="C723" s="48"/>
      <c r="D723" s="172"/>
      <c r="E723" s="48"/>
      <c r="F723" s="170"/>
      <c r="G723" s="175"/>
    </row>
    <row r="724">
      <c r="A724" s="47"/>
      <c r="B724" s="48"/>
      <c r="C724" s="48"/>
      <c r="D724" s="172"/>
      <c r="E724" s="48"/>
      <c r="F724" s="170"/>
      <c r="G724" s="175"/>
    </row>
    <row r="725">
      <c r="A725" s="47"/>
      <c r="B725" s="48"/>
      <c r="C725" s="48"/>
      <c r="D725" s="172"/>
      <c r="E725" s="48"/>
      <c r="F725" s="170"/>
      <c r="G725" s="175"/>
    </row>
    <row r="726">
      <c r="A726" s="47"/>
      <c r="B726" s="48"/>
      <c r="C726" s="48"/>
      <c r="D726" s="172"/>
      <c r="E726" s="48"/>
      <c r="F726" s="170"/>
      <c r="G726" s="175"/>
    </row>
    <row r="727">
      <c r="A727" s="47"/>
      <c r="B727" s="48"/>
      <c r="C727" s="48"/>
      <c r="D727" s="172"/>
      <c r="E727" s="48"/>
      <c r="F727" s="170"/>
      <c r="G727" s="175"/>
    </row>
    <row r="728">
      <c r="A728" s="47"/>
      <c r="B728" s="48"/>
      <c r="C728" s="48"/>
      <c r="D728" s="172"/>
      <c r="E728" s="48"/>
      <c r="F728" s="170"/>
      <c r="G728" s="175"/>
    </row>
    <row r="729">
      <c r="A729" s="47"/>
      <c r="B729" s="48"/>
      <c r="C729" s="48"/>
      <c r="D729" s="172"/>
      <c r="E729" s="48"/>
      <c r="F729" s="170"/>
      <c r="G729" s="175"/>
    </row>
    <row r="730">
      <c r="A730" s="47"/>
      <c r="B730" s="48"/>
      <c r="C730" s="48"/>
      <c r="D730" s="172"/>
      <c r="E730" s="48"/>
      <c r="F730" s="170"/>
      <c r="G730" s="175"/>
    </row>
    <row r="731">
      <c r="A731" s="47"/>
      <c r="B731" s="48"/>
      <c r="C731" s="48"/>
      <c r="D731" s="172"/>
      <c r="E731" s="48"/>
      <c r="F731" s="170"/>
      <c r="G731" s="175"/>
    </row>
    <row r="732">
      <c r="A732" s="47"/>
      <c r="B732" s="48"/>
      <c r="C732" s="48"/>
      <c r="D732" s="172"/>
      <c r="E732" s="48"/>
      <c r="F732" s="170"/>
      <c r="G732" s="175"/>
    </row>
    <row r="733">
      <c r="A733" s="47"/>
      <c r="B733" s="48"/>
      <c r="C733" s="48"/>
      <c r="D733" s="172"/>
      <c r="E733" s="48"/>
      <c r="F733" s="170"/>
      <c r="G733" s="175"/>
    </row>
    <row r="734">
      <c r="A734" s="47"/>
      <c r="B734" s="48"/>
      <c r="C734" s="48"/>
      <c r="D734" s="172"/>
      <c r="E734" s="48"/>
      <c r="F734" s="170"/>
      <c r="G734" s="175"/>
    </row>
    <row r="735">
      <c r="A735" s="47"/>
      <c r="B735" s="48"/>
      <c r="C735" s="48"/>
      <c r="D735" s="172"/>
      <c r="E735" s="48"/>
      <c r="F735" s="170"/>
      <c r="G735" s="175"/>
    </row>
    <row r="736">
      <c r="A736" s="47"/>
      <c r="B736" s="48"/>
      <c r="C736" s="48"/>
      <c r="D736" s="172"/>
      <c r="E736" s="48"/>
      <c r="F736" s="170"/>
      <c r="G736" s="175"/>
    </row>
    <row r="737">
      <c r="A737" s="47"/>
      <c r="B737" s="48"/>
      <c r="C737" s="48"/>
      <c r="D737" s="172"/>
      <c r="E737" s="48"/>
      <c r="F737" s="170"/>
      <c r="G737" s="175"/>
    </row>
    <row r="738">
      <c r="A738" s="47"/>
      <c r="B738" s="48"/>
      <c r="C738" s="48"/>
      <c r="D738" s="172"/>
      <c r="E738" s="48"/>
      <c r="F738" s="170"/>
      <c r="G738" s="175"/>
    </row>
    <row r="739">
      <c r="A739" s="47"/>
      <c r="B739" s="48"/>
      <c r="C739" s="48"/>
      <c r="D739" s="172"/>
      <c r="E739" s="48"/>
      <c r="F739" s="170"/>
      <c r="G739" s="175"/>
    </row>
    <row r="740">
      <c r="A740" s="47"/>
      <c r="B740" s="48"/>
      <c r="C740" s="48"/>
      <c r="D740" s="172"/>
      <c r="E740" s="48"/>
      <c r="F740" s="170"/>
      <c r="G740" s="175"/>
    </row>
    <row r="741">
      <c r="A741" s="47"/>
      <c r="B741" s="48"/>
      <c r="C741" s="48"/>
      <c r="D741" s="172"/>
      <c r="E741" s="48"/>
      <c r="F741" s="170"/>
      <c r="G741" s="175"/>
    </row>
    <row r="742">
      <c r="A742" s="47"/>
      <c r="B742" s="48"/>
      <c r="C742" s="48"/>
      <c r="D742" s="172"/>
      <c r="E742" s="48"/>
      <c r="F742" s="170"/>
      <c r="G742" s="175"/>
    </row>
    <row r="743">
      <c r="A743" s="47"/>
      <c r="B743" s="48"/>
      <c r="C743" s="48"/>
      <c r="D743" s="172"/>
      <c r="E743" s="48"/>
      <c r="F743" s="170"/>
      <c r="G743" s="175"/>
    </row>
    <row r="744">
      <c r="A744" s="47"/>
      <c r="B744" s="48"/>
      <c r="C744" s="48"/>
      <c r="D744" s="172"/>
      <c r="E744" s="48"/>
      <c r="F744" s="170"/>
      <c r="G744" s="175"/>
    </row>
    <row r="745">
      <c r="A745" s="47"/>
      <c r="B745" s="48"/>
      <c r="C745" s="48"/>
      <c r="D745" s="172"/>
      <c r="E745" s="48"/>
      <c r="F745" s="170"/>
      <c r="G745" s="175"/>
    </row>
    <row r="746">
      <c r="A746" s="47"/>
      <c r="B746" s="48"/>
      <c r="C746" s="48"/>
      <c r="D746" s="172"/>
      <c r="E746" s="48"/>
      <c r="F746" s="170"/>
      <c r="G746" s="175"/>
    </row>
    <row r="747">
      <c r="A747" s="47"/>
      <c r="B747" s="48"/>
      <c r="C747" s="48"/>
      <c r="D747" s="172"/>
      <c r="E747" s="48"/>
      <c r="F747" s="170"/>
      <c r="G747" s="175"/>
    </row>
    <row r="748">
      <c r="A748" s="47"/>
      <c r="B748" s="48"/>
      <c r="C748" s="48"/>
      <c r="D748" s="172"/>
      <c r="E748" s="48"/>
      <c r="F748" s="170"/>
      <c r="G748" s="175"/>
    </row>
    <row r="749">
      <c r="A749" s="47"/>
      <c r="B749" s="48"/>
      <c r="C749" s="48"/>
      <c r="D749" s="172"/>
      <c r="E749" s="48"/>
      <c r="F749" s="170"/>
      <c r="G749" s="175"/>
    </row>
    <row r="750">
      <c r="A750" s="47"/>
      <c r="B750" s="48"/>
      <c r="C750" s="48"/>
      <c r="D750" s="172"/>
      <c r="E750" s="48"/>
      <c r="F750" s="170"/>
      <c r="G750" s="175"/>
    </row>
    <row r="751">
      <c r="A751" s="47"/>
      <c r="B751" s="48"/>
      <c r="C751" s="48"/>
      <c r="D751" s="172"/>
      <c r="E751" s="48"/>
      <c r="F751" s="170"/>
      <c r="G751" s="175"/>
    </row>
    <row r="752">
      <c r="A752" s="47"/>
      <c r="B752" s="48"/>
      <c r="C752" s="48"/>
      <c r="D752" s="172"/>
      <c r="E752" s="48"/>
      <c r="F752" s="170"/>
      <c r="G752" s="175"/>
    </row>
    <row r="753">
      <c r="A753" s="47"/>
      <c r="B753" s="48"/>
      <c r="C753" s="48"/>
      <c r="D753" s="172"/>
      <c r="E753" s="48"/>
      <c r="F753" s="170"/>
      <c r="G753" s="175"/>
    </row>
    <row r="754">
      <c r="A754" s="47"/>
      <c r="B754" s="48"/>
      <c r="C754" s="48"/>
      <c r="D754" s="172"/>
      <c r="E754" s="48"/>
      <c r="F754" s="170"/>
      <c r="G754" s="175"/>
    </row>
    <row r="755">
      <c r="A755" s="47"/>
      <c r="B755" s="48"/>
      <c r="C755" s="48"/>
      <c r="D755" s="172"/>
      <c r="E755" s="48"/>
      <c r="F755" s="170"/>
      <c r="G755" s="175"/>
    </row>
    <row r="756">
      <c r="A756" s="47"/>
      <c r="B756" s="48"/>
      <c r="C756" s="48"/>
      <c r="D756" s="172"/>
      <c r="E756" s="48"/>
      <c r="F756" s="170"/>
      <c r="G756" s="175"/>
    </row>
    <row r="757">
      <c r="A757" s="47"/>
      <c r="B757" s="48"/>
      <c r="C757" s="48"/>
      <c r="D757" s="172"/>
      <c r="E757" s="48"/>
      <c r="F757" s="170"/>
      <c r="G757" s="175"/>
    </row>
    <row r="758">
      <c r="A758" s="47"/>
      <c r="B758" s="48"/>
      <c r="C758" s="48"/>
      <c r="D758" s="172"/>
      <c r="E758" s="48"/>
      <c r="F758" s="170"/>
      <c r="G758" s="175"/>
    </row>
    <row r="759">
      <c r="A759" s="47"/>
      <c r="B759" s="48"/>
      <c r="C759" s="48"/>
      <c r="D759" s="172"/>
      <c r="E759" s="48"/>
      <c r="F759" s="170"/>
      <c r="G759" s="175"/>
    </row>
    <row r="760">
      <c r="A760" s="47"/>
      <c r="B760" s="48"/>
      <c r="C760" s="48"/>
      <c r="D760" s="172"/>
      <c r="E760" s="48"/>
      <c r="F760" s="170"/>
      <c r="G760" s="175"/>
    </row>
    <row r="761">
      <c r="A761" s="47"/>
      <c r="B761" s="48"/>
      <c r="C761" s="48"/>
      <c r="D761" s="172"/>
      <c r="E761" s="48"/>
      <c r="F761" s="170"/>
      <c r="G761" s="175"/>
    </row>
    <row r="762">
      <c r="A762" s="47"/>
      <c r="B762" s="48"/>
      <c r="C762" s="48"/>
      <c r="D762" s="172"/>
      <c r="E762" s="48"/>
      <c r="F762" s="170"/>
      <c r="G762" s="175"/>
    </row>
    <row r="763">
      <c r="A763" s="47"/>
      <c r="B763" s="48"/>
      <c r="C763" s="48"/>
      <c r="D763" s="172"/>
      <c r="E763" s="48"/>
      <c r="F763" s="170"/>
      <c r="G763" s="175"/>
    </row>
    <row r="764">
      <c r="A764" s="47"/>
      <c r="B764" s="48"/>
      <c r="C764" s="48"/>
      <c r="D764" s="172"/>
      <c r="E764" s="48"/>
      <c r="F764" s="170"/>
      <c r="G764" s="175"/>
    </row>
    <row r="765">
      <c r="A765" s="47"/>
      <c r="B765" s="48"/>
      <c r="C765" s="48"/>
      <c r="D765" s="172"/>
      <c r="E765" s="48"/>
      <c r="F765" s="170"/>
      <c r="G765" s="175"/>
    </row>
    <row r="766">
      <c r="A766" s="47"/>
      <c r="B766" s="48"/>
      <c r="C766" s="48"/>
      <c r="D766" s="172"/>
      <c r="E766" s="48"/>
      <c r="F766" s="170"/>
      <c r="G766" s="175"/>
    </row>
    <row r="767">
      <c r="A767" s="47"/>
      <c r="B767" s="48"/>
      <c r="C767" s="48"/>
      <c r="D767" s="172"/>
      <c r="E767" s="48"/>
      <c r="F767" s="170"/>
      <c r="G767" s="175"/>
    </row>
    <row r="768">
      <c r="A768" s="47"/>
      <c r="B768" s="48"/>
      <c r="C768" s="48"/>
      <c r="D768" s="172"/>
      <c r="E768" s="48"/>
      <c r="F768" s="170"/>
      <c r="G768" s="175"/>
    </row>
    <row r="769">
      <c r="A769" s="47"/>
      <c r="B769" s="48"/>
      <c r="C769" s="48"/>
      <c r="D769" s="172"/>
      <c r="E769" s="48"/>
      <c r="F769" s="170"/>
      <c r="G769" s="175"/>
    </row>
    <row r="770">
      <c r="A770" s="47"/>
      <c r="B770" s="48"/>
      <c r="C770" s="48"/>
      <c r="D770" s="172"/>
      <c r="E770" s="48"/>
      <c r="F770" s="170"/>
      <c r="G770" s="175"/>
    </row>
    <row r="771">
      <c r="A771" s="47"/>
      <c r="B771" s="48"/>
      <c r="C771" s="48"/>
      <c r="D771" s="172"/>
      <c r="E771" s="48"/>
      <c r="F771" s="170"/>
      <c r="G771" s="175"/>
    </row>
    <row r="772">
      <c r="A772" s="47"/>
      <c r="B772" s="48"/>
      <c r="C772" s="48"/>
      <c r="D772" s="172"/>
      <c r="E772" s="48"/>
      <c r="F772" s="170"/>
      <c r="G772" s="175"/>
    </row>
    <row r="773">
      <c r="A773" s="47"/>
      <c r="B773" s="48"/>
      <c r="C773" s="48"/>
      <c r="D773" s="172"/>
      <c r="E773" s="48"/>
      <c r="F773" s="170"/>
      <c r="G773" s="175"/>
    </row>
    <row r="774">
      <c r="A774" s="47"/>
      <c r="B774" s="48"/>
      <c r="C774" s="48"/>
      <c r="D774" s="172"/>
      <c r="E774" s="48"/>
      <c r="F774" s="170"/>
      <c r="G774" s="175"/>
    </row>
    <row r="775">
      <c r="A775" s="47"/>
      <c r="B775" s="48"/>
      <c r="C775" s="48"/>
      <c r="D775" s="172"/>
      <c r="E775" s="48"/>
      <c r="F775" s="170"/>
      <c r="G775" s="175"/>
    </row>
    <row r="776">
      <c r="A776" s="47"/>
      <c r="B776" s="48"/>
      <c r="C776" s="48"/>
      <c r="D776" s="172"/>
      <c r="E776" s="48"/>
      <c r="F776" s="170"/>
      <c r="G776" s="175"/>
    </row>
    <row r="777">
      <c r="A777" s="47"/>
      <c r="B777" s="48"/>
      <c r="C777" s="48"/>
      <c r="D777" s="172"/>
      <c r="E777" s="48"/>
      <c r="F777" s="170"/>
      <c r="G777" s="175"/>
    </row>
    <row r="778">
      <c r="A778" s="47"/>
      <c r="B778" s="48"/>
      <c r="C778" s="48"/>
      <c r="D778" s="172"/>
      <c r="E778" s="48"/>
      <c r="F778" s="170"/>
      <c r="G778" s="175"/>
    </row>
    <row r="779">
      <c r="A779" s="47"/>
      <c r="B779" s="48"/>
      <c r="C779" s="48"/>
      <c r="D779" s="172"/>
      <c r="E779" s="48"/>
      <c r="F779" s="170"/>
      <c r="G779" s="175"/>
    </row>
    <row r="780">
      <c r="A780" s="47"/>
      <c r="B780" s="48"/>
      <c r="C780" s="48"/>
      <c r="D780" s="172"/>
      <c r="E780" s="48"/>
      <c r="F780" s="170"/>
      <c r="G780" s="175"/>
    </row>
    <row r="781">
      <c r="A781" s="47"/>
      <c r="B781" s="48"/>
      <c r="C781" s="48"/>
      <c r="D781" s="172"/>
      <c r="E781" s="48"/>
      <c r="F781" s="170"/>
      <c r="G781" s="175"/>
    </row>
    <row r="782">
      <c r="A782" s="47"/>
      <c r="B782" s="48"/>
      <c r="C782" s="48"/>
      <c r="D782" s="172"/>
      <c r="E782" s="48"/>
      <c r="F782" s="170"/>
      <c r="G782" s="175"/>
    </row>
    <row r="783">
      <c r="A783" s="47"/>
      <c r="B783" s="48"/>
      <c r="C783" s="48"/>
      <c r="D783" s="172"/>
      <c r="E783" s="48"/>
      <c r="F783" s="170"/>
      <c r="G783" s="175"/>
    </row>
    <row r="784">
      <c r="A784" s="47"/>
      <c r="B784" s="48"/>
      <c r="C784" s="48"/>
      <c r="D784" s="172"/>
      <c r="E784" s="48"/>
      <c r="F784" s="170"/>
      <c r="G784" s="175"/>
    </row>
    <row r="785">
      <c r="A785" s="47"/>
      <c r="B785" s="48"/>
      <c r="C785" s="48"/>
      <c r="D785" s="172"/>
      <c r="E785" s="48"/>
      <c r="F785" s="170"/>
      <c r="G785" s="175"/>
    </row>
    <row r="786">
      <c r="A786" s="47"/>
      <c r="B786" s="48"/>
      <c r="C786" s="48"/>
      <c r="D786" s="172"/>
      <c r="E786" s="48"/>
      <c r="F786" s="170"/>
      <c r="G786" s="175"/>
    </row>
    <row r="787">
      <c r="A787" s="47"/>
      <c r="B787" s="48"/>
      <c r="C787" s="48"/>
      <c r="D787" s="172"/>
      <c r="E787" s="48"/>
      <c r="F787" s="170"/>
      <c r="G787" s="175"/>
    </row>
    <row r="788">
      <c r="A788" s="47"/>
      <c r="B788" s="48"/>
      <c r="C788" s="48"/>
      <c r="D788" s="172"/>
      <c r="E788" s="48"/>
      <c r="F788" s="170"/>
      <c r="G788" s="175"/>
    </row>
    <row r="789">
      <c r="A789" s="47"/>
      <c r="B789" s="48"/>
      <c r="C789" s="48"/>
      <c r="D789" s="172"/>
      <c r="E789" s="48"/>
      <c r="F789" s="170"/>
      <c r="G789" s="175"/>
    </row>
    <row r="790">
      <c r="A790" s="47"/>
      <c r="B790" s="48"/>
      <c r="C790" s="48"/>
      <c r="D790" s="172"/>
      <c r="E790" s="48"/>
      <c r="F790" s="170"/>
      <c r="G790" s="175"/>
    </row>
    <row r="791">
      <c r="A791" s="47"/>
      <c r="B791" s="48"/>
      <c r="C791" s="48"/>
      <c r="D791" s="172"/>
      <c r="E791" s="48"/>
      <c r="F791" s="170"/>
      <c r="G791" s="175"/>
    </row>
    <row r="792">
      <c r="A792" s="47"/>
      <c r="B792" s="48"/>
      <c r="C792" s="48"/>
      <c r="D792" s="172"/>
      <c r="E792" s="48"/>
      <c r="F792" s="170"/>
      <c r="G792" s="175"/>
    </row>
    <row r="793">
      <c r="A793" s="47"/>
      <c r="B793" s="48"/>
      <c r="C793" s="48"/>
      <c r="D793" s="172"/>
      <c r="E793" s="48"/>
      <c r="F793" s="170"/>
      <c r="G793" s="175"/>
    </row>
    <row r="794">
      <c r="A794" s="47"/>
      <c r="B794" s="48"/>
      <c r="C794" s="48"/>
      <c r="D794" s="172"/>
      <c r="E794" s="48"/>
      <c r="F794" s="170"/>
      <c r="G794" s="175"/>
    </row>
    <row r="795">
      <c r="A795" s="47"/>
      <c r="B795" s="48"/>
      <c r="C795" s="48"/>
      <c r="D795" s="172"/>
      <c r="E795" s="48"/>
      <c r="F795" s="170"/>
      <c r="G795" s="175"/>
    </row>
    <row r="796">
      <c r="A796" s="47"/>
      <c r="B796" s="48"/>
      <c r="C796" s="48"/>
      <c r="D796" s="172"/>
      <c r="E796" s="48"/>
      <c r="F796" s="170"/>
      <c r="G796" s="175"/>
    </row>
    <row r="797">
      <c r="A797" s="47"/>
      <c r="B797" s="48"/>
      <c r="C797" s="48"/>
      <c r="D797" s="172"/>
      <c r="E797" s="48"/>
      <c r="F797" s="170"/>
      <c r="G797" s="175"/>
    </row>
    <row r="798">
      <c r="A798" s="47"/>
      <c r="B798" s="48"/>
      <c r="C798" s="48"/>
      <c r="D798" s="172"/>
      <c r="E798" s="48"/>
      <c r="F798" s="170"/>
      <c r="G798" s="175"/>
    </row>
    <row r="799">
      <c r="A799" s="47"/>
      <c r="B799" s="48"/>
      <c r="C799" s="48"/>
      <c r="D799" s="172"/>
      <c r="E799" s="48"/>
      <c r="F799" s="170"/>
      <c r="G799" s="175"/>
    </row>
    <row r="800">
      <c r="A800" s="47"/>
      <c r="B800" s="48"/>
      <c r="C800" s="48"/>
      <c r="D800" s="172"/>
      <c r="E800" s="48"/>
      <c r="F800" s="170"/>
      <c r="G800" s="175"/>
    </row>
    <row r="801">
      <c r="A801" s="47"/>
      <c r="B801" s="48"/>
      <c r="C801" s="48"/>
      <c r="D801" s="172"/>
      <c r="E801" s="48"/>
      <c r="F801" s="170"/>
      <c r="G801" s="175"/>
    </row>
    <row r="802">
      <c r="A802" s="47"/>
      <c r="B802" s="48"/>
      <c r="C802" s="48"/>
      <c r="D802" s="172"/>
      <c r="E802" s="48"/>
      <c r="F802" s="170"/>
      <c r="G802" s="175"/>
    </row>
    <row r="803">
      <c r="A803" s="47"/>
      <c r="B803" s="48"/>
      <c r="C803" s="48"/>
      <c r="D803" s="172"/>
      <c r="E803" s="48"/>
      <c r="F803" s="170"/>
      <c r="G803" s="175"/>
    </row>
    <row r="804">
      <c r="A804" s="47"/>
      <c r="B804" s="48"/>
      <c r="C804" s="48"/>
      <c r="D804" s="172"/>
      <c r="E804" s="48"/>
      <c r="F804" s="170"/>
      <c r="G804" s="175"/>
    </row>
    <row r="805">
      <c r="A805" s="47"/>
      <c r="B805" s="48"/>
      <c r="C805" s="48"/>
      <c r="D805" s="172"/>
      <c r="E805" s="48"/>
      <c r="F805" s="170"/>
      <c r="G805" s="175"/>
    </row>
    <row r="806">
      <c r="A806" s="47"/>
      <c r="B806" s="48"/>
      <c r="C806" s="48"/>
      <c r="D806" s="172"/>
      <c r="E806" s="48"/>
      <c r="F806" s="170"/>
      <c r="G806" s="175"/>
    </row>
    <row r="807">
      <c r="A807" s="47"/>
      <c r="B807" s="48"/>
      <c r="C807" s="48"/>
      <c r="D807" s="172"/>
      <c r="E807" s="48"/>
      <c r="F807" s="170"/>
      <c r="G807" s="175"/>
    </row>
    <row r="808">
      <c r="A808" s="47"/>
      <c r="B808" s="48"/>
      <c r="C808" s="48"/>
      <c r="D808" s="172"/>
      <c r="E808" s="48"/>
      <c r="F808" s="170"/>
      <c r="G808" s="175"/>
    </row>
    <row r="809">
      <c r="A809" s="47"/>
      <c r="B809" s="48"/>
      <c r="C809" s="48"/>
      <c r="D809" s="172"/>
      <c r="E809" s="48"/>
      <c r="F809" s="170"/>
      <c r="G809" s="175"/>
    </row>
    <row r="810">
      <c r="A810" s="47"/>
      <c r="B810" s="48"/>
      <c r="C810" s="48"/>
      <c r="D810" s="172"/>
      <c r="E810" s="48"/>
      <c r="F810" s="170"/>
      <c r="G810" s="175"/>
    </row>
    <row r="811">
      <c r="A811" s="47"/>
      <c r="B811" s="48"/>
      <c r="C811" s="48"/>
      <c r="D811" s="172"/>
      <c r="E811" s="48"/>
      <c r="F811" s="170"/>
      <c r="G811" s="175"/>
    </row>
    <row r="812">
      <c r="A812" s="47"/>
      <c r="B812" s="48"/>
      <c r="C812" s="48"/>
      <c r="D812" s="172"/>
      <c r="E812" s="48"/>
      <c r="F812" s="170"/>
      <c r="G812" s="175"/>
    </row>
    <row r="813">
      <c r="A813" s="47"/>
      <c r="B813" s="48"/>
      <c r="C813" s="48"/>
      <c r="D813" s="172"/>
      <c r="E813" s="48"/>
      <c r="F813" s="170"/>
      <c r="G813" s="175"/>
    </row>
    <row r="814">
      <c r="A814" s="47"/>
      <c r="B814" s="48"/>
      <c r="C814" s="48"/>
      <c r="D814" s="172"/>
      <c r="E814" s="48"/>
      <c r="F814" s="170"/>
      <c r="G814" s="175"/>
    </row>
    <row r="815">
      <c r="A815" s="47"/>
      <c r="B815" s="48"/>
      <c r="C815" s="48"/>
      <c r="D815" s="172"/>
      <c r="E815" s="48"/>
      <c r="F815" s="170"/>
      <c r="G815" s="175"/>
    </row>
    <row r="816">
      <c r="A816" s="47"/>
      <c r="B816" s="48"/>
      <c r="C816" s="48"/>
      <c r="D816" s="172"/>
      <c r="E816" s="48"/>
      <c r="F816" s="170"/>
      <c r="G816" s="175"/>
    </row>
    <row r="817">
      <c r="A817" s="47"/>
      <c r="B817" s="48"/>
      <c r="C817" s="48"/>
      <c r="D817" s="172"/>
      <c r="E817" s="48"/>
      <c r="F817" s="170"/>
      <c r="G817" s="175"/>
    </row>
    <row r="818">
      <c r="A818" s="47"/>
      <c r="B818" s="48"/>
      <c r="C818" s="48"/>
      <c r="D818" s="172"/>
      <c r="E818" s="48"/>
      <c r="F818" s="170"/>
      <c r="G818" s="175"/>
    </row>
    <row r="819">
      <c r="A819" s="47"/>
      <c r="B819" s="48"/>
      <c r="C819" s="48"/>
      <c r="D819" s="172"/>
      <c r="E819" s="48"/>
      <c r="F819" s="170"/>
      <c r="G819" s="175"/>
    </row>
    <row r="820">
      <c r="A820" s="47"/>
      <c r="B820" s="48"/>
      <c r="C820" s="48"/>
      <c r="D820" s="172"/>
      <c r="E820" s="48"/>
      <c r="F820" s="170"/>
      <c r="G820" s="175"/>
    </row>
    <row r="821">
      <c r="A821" s="47"/>
      <c r="B821" s="48"/>
      <c r="C821" s="48"/>
      <c r="D821" s="172"/>
      <c r="E821" s="48"/>
      <c r="F821" s="170"/>
      <c r="G821" s="175"/>
    </row>
    <row r="822">
      <c r="A822" s="47"/>
      <c r="B822" s="48"/>
      <c r="C822" s="48"/>
      <c r="D822" s="172"/>
      <c r="E822" s="48"/>
      <c r="F822" s="170"/>
      <c r="G822" s="175"/>
    </row>
    <row r="823">
      <c r="A823" s="47"/>
      <c r="B823" s="48"/>
      <c r="C823" s="48"/>
      <c r="D823" s="172"/>
      <c r="E823" s="48"/>
      <c r="F823" s="170"/>
      <c r="G823" s="175"/>
    </row>
    <row r="824">
      <c r="A824" s="47"/>
      <c r="B824" s="48"/>
      <c r="C824" s="48"/>
      <c r="D824" s="172"/>
      <c r="E824" s="48"/>
      <c r="F824" s="170"/>
      <c r="G824" s="175"/>
    </row>
    <row r="825">
      <c r="A825" s="47"/>
      <c r="B825" s="48"/>
      <c r="C825" s="48"/>
      <c r="D825" s="172"/>
      <c r="E825" s="48"/>
      <c r="F825" s="170"/>
      <c r="G825" s="175"/>
    </row>
    <row r="826">
      <c r="A826" s="47"/>
      <c r="B826" s="48"/>
      <c r="C826" s="48"/>
      <c r="D826" s="172"/>
      <c r="E826" s="48"/>
      <c r="F826" s="170"/>
      <c r="G826" s="175"/>
    </row>
    <row r="827">
      <c r="A827" s="47"/>
      <c r="B827" s="48"/>
      <c r="C827" s="48"/>
      <c r="D827" s="172"/>
      <c r="E827" s="48"/>
      <c r="F827" s="170"/>
      <c r="G827" s="175"/>
    </row>
    <row r="828">
      <c r="A828" s="47"/>
      <c r="B828" s="48"/>
      <c r="C828" s="48"/>
      <c r="D828" s="172"/>
      <c r="E828" s="48"/>
      <c r="F828" s="170"/>
      <c r="G828" s="175"/>
    </row>
    <row r="829">
      <c r="A829" s="47"/>
      <c r="B829" s="48"/>
      <c r="C829" s="48"/>
      <c r="D829" s="172"/>
      <c r="E829" s="48"/>
      <c r="F829" s="170"/>
      <c r="G829" s="175"/>
    </row>
    <row r="830">
      <c r="A830" s="47"/>
      <c r="B830" s="48"/>
      <c r="C830" s="48"/>
      <c r="D830" s="172"/>
      <c r="E830" s="48"/>
      <c r="F830" s="170"/>
      <c r="G830" s="175"/>
    </row>
    <row r="831">
      <c r="A831" s="47"/>
      <c r="B831" s="48"/>
      <c r="C831" s="48"/>
      <c r="D831" s="172"/>
      <c r="E831" s="48"/>
      <c r="F831" s="170"/>
      <c r="G831" s="175"/>
    </row>
    <row r="832">
      <c r="A832" s="47"/>
      <c r="B832" s="48"/>
      <c r="C832" s="48"/>
      <c r="D832" s="172"/>
      <c r="E832" s="48"/>
      <c r="F832" s="170"/>
      <c r="G832" s="175"/>
    </row>
    <row r="833">
      <c r="A833" s="47"/>
      <c r="B833" s="48"/>
      <c r="C833" s="48"/>
      <c r="D833" s="172"/>
      <c r="E833" s="48"/>
      <c r="F833" s="170"/>
      <c r="G833" s="175"/>
    </row>
    <row r="834">
      <c r="A834" s="47"/>
      <c r="B834" s="48"/>
      <c r="C834" s="48"/>
      <c r="D834" s="172"/>
      <c r="E834" s="48"/>
      <c r="F834" s="170"/>
      <c r="G834" s="175"/>
    </row>
    <row r="835">
      <c r="A835" s="47"/>
      <c r="B835" s="48"/>
      <c r="C835" s="48"/>
      <c r="D835" s="172"/>
      <c r="E835" s="48"/>
      <c r="F835" s="170"/>
      <c r="G835" s="175"/>
    </row>
    <row r="836">
      <c r="A836" s="47"/>
      <c r="B836" s="48"/>
      <c r="C836" s="48"/>
      <c r="D836" s="172"/>
      <c r="E836" s="48"/>
      <c r="F836" s="170"/>
      <c r="G836" s="175"/>
    </row>
    <row r="837">
      <c r="A837" s="47"/>
      <c r="B837" s="48"/>
      <c r="C837" s="48"/>
      <c r="D837" s="172"/>
      <c r="E837" s="48"/>
      <c r="F837" s="170"/>
      <c r="G837" s="175"/>
    </row>
    <row r="838">
      <c r="A838" s="47"/>
      <c r="B838" s="48"/>
      <c r="C838" s="48"/>
      <c r="D838" s="172"/>
      <c r="E838" s="48"/>
      <c r="F838" s="170"/>
      <c r="G838" s="175"/>
    </row>
    <row r="839">
      <c r="A839" s="47"/>
      <c r="B839" s="48"/>
      <c r="C839" s="48"/>
      <c r="D839" s="172"/>
      <c r="E839" s="48"/>
      <c r="F839" s="170"/>
      <c r="G839" s="175"/>
    </row>
    <row r="840">
      <c r="A840" s="47"/>
      <c r="B840" s="48"/>
      <c r="C840" s="48"/>
      <c r="D840" s="172"/>
      <c r="E840" s="48"/>
      <c r="F840" s="170"/>
      <c r="G840" s="175"/>
    </row>
    <row r="841">
      <c r="A841" s="47"/>
      <c r="B841" s="48"/>
      <c r="C841" s="48"/>
      <c r="D841" s="172"/>
      <c r="E841" s="48"/>
      <c r="F841" s="170"/>
      <c r="G841" s="175"/>
    </row>
    <row r="842">
      <c r="A842" s="47"/>
      <c r="B842" s="48"/>
      <c r="C842" s="48"/>
      <c r="D842" s="172"/>
      <c r="E842" s="48"/>
      <c r="F842" s="170"/>
      <c r="G842" s="175"/>
    </row>
    <row r="843">
      <c r="A843" s="47"/>
      <c r="B843" s="48"/>
      <c r="C843" s="48"/>
      <c r="D843" s="172"/>
      <c r="E843" s="48"/>
      <c r="F843" s="170"/>
      <c r="G843" s="175"/>
    </row>
    <row r="844">
      <c r="A844" s="47"/>
      <c r="B844" s="48"/>
      <c r="C844" s="48"/>
      <c r="D844" s="172"/>
      <c r="E844" s="48"/>
      <c r="F844" s="170"/>
      <c r="G844" s="175"/>
    </row>
    <row r="845">
      <c r="A845" s="47"/>
      <c r="B845" s="48"/>
      <c r="C845" s="48"/>
      <c r="D845" s="172"/>
      <c r="E845" s="48"/>
      <c r="F845" s="170"/>
      <c r="G845" s="175"/>
    </row>
    <row r="846">
      <c r="A846" s="47"/>
      <c r="B846" s="48"/>
      <c r="C846" s="48"/>
      <c r="D846" s="172"/>
      <c r="E846" s="48"/>
      <c r="F846" s="170"/>
      <c r="G846" s="175"/>
    </row>
    <row r="847">
      <c r="A847" s="47"/>
      <c r="B847" s="48"/>
      <c r="C847" s="48"/>
      <c r="D847" s="172"/>
      <c r="E847" s="48"/>
      <c r="F847" s="170"/>
      <c r="G847" s="175"/>
    </row>
    <row r="848">
      <c r="A848" s="47"/>
      <c r="B848" s="48"/>
      <c r="C848" s="48"/>
      <c r="D848" s="172"/>
      <c r="E848" s="48"/>
      <c r="F848" s="170"/>
      <c r="G848" s="175"/>
    </row>
    <row r="849">
      <c r="A849" s="47"/>
      <c r="B849" s="48"/>
      <c r="C849" s="48"/>
      <c r="D849" s="172"/>
      <c r="E849" s="48"/>
      <c r="F849" s="170"/>
      <c r="G849" s="175"/>
    </row>
    <row r="850">
      <c r="A850" s="47"/>
      <c r="B850" s="48"/>
      <c r="C850" s="48"/>
      <c r="D850" s="172"/>
      <c r="E850" s="48"/>
      <c r="F850" s="170"/>
      <c r="G850" s="175"/>
    </row>
    <row r="851">
      <c r="A851" s="47"/>
      <c r="B851" s="48"/>
      <c r="C851" s="48"/>
      <c r="D851" s="172"/>
      <c r="E851" s="48"/>
      <c r="F851" s="170"/>
      <c r="G851" s="175"/>
    </row>
    <row r="852">
      <c r="A852" s="47"/>
      <c r="B852" s="48"/>
      <c r="C852" s="48"/>
      <c r="D852" s="172"/>
      <c r="E852" s="48"/>
      <c r="F852" s="170"/>
      <c r="G852" s="175"/>
    </row>
    <row r="853">
      <c r="A853" s="47"/>
      <c r="B853" s="48"/>
      <c r="C853" s="48"/>
      <c r="D853" s="172"/>
      <c r="E853" s="48"/>
      <c r="F853" s="170"/>
      <c r="G853" s="175"/>
    </row>
    <row r="854">
      <c r="A854" s="47"/>
      <c r="B854" s="48"/>
      <c r="C854" s="48"/>
      <c r="D854" s="172"/>
      <c r="E854" s="48"/>
      <c r="F854" s="170"/>
      <c r="G854" s="175"/>
    </row>
    <row r="855">
      <c r="A855" s="47"/>
      <c r="B855" s="48"/>
      <c r="C855" s="48"/>
      <c r="D855" s="172"/>
      <c r="E855" s="48"/>
      <c r="F855" s="170"/>
      <c r="G855" s="175"/>
    </row>
    <row r="856">
      <c r="A856" s="47"/>
      <c r="B856" s="48"/>
      <c r="C856" s="48"/>
      <c r="D856" s="172"/>
      <c r="E856" s="48"/>
      <c r="F856" s="170"/>
      <c r="G856" s="175"/>
    </row>
    <row r="857">
      <c r="A857" s="47"/>
      <c r="B857" s="48"/>
      <c r="C857" s="48"/>
      <c r="D857" s="172"/>
      <c r="E857" s="48"/>
      <c r="F857" s="170"/>
      <c r="G857" s="175"/>
    </row>
    <row r="858">
      <c r="A858" s="47"/>
      <c r="B858" s="48"/>
      <c r="C858" s="48"/>
      <c r="D858" s="172"/>
      <c r="E858" s="48"/>
      <c r="F858" s="170"/>
      <c r="G858" s="175"/>
    </row>
    <row r="859">
      <c r="A859" s="47"/>
      <c r="B859" s="48"/>
      <c r="C859" s="48"/>
      <c r="D859" s="172"/>
      <c r="E859" s="48"/>
      <c r="F859" s="170"/>
      <c r="G859" s="175"/>
    </row>
    <row r="860">
      <c r="A860" s="47"/>
      <c r="B860" s="48"/>
      <c r="C860" s="48"/>
      <c r="D860" s="172"/>
      <c r="E860" s="48"/>
      <c r="F860" s="170"/>
      <c r="G860" s="175"/>
    </row>
    <row r="861">
      <c r="A861" s="47"/>
      <c r="B861" s="48"/>
      <c r="C861" s="48"/>
      <c r="D861" s="172"/>
      <c r="E861" s="48"/>
      <c r="F861" s="170"/>
      <c r="G861" s="175"/>
    </row>
    <row r="862">
      <c r="A862" s="47"/>
      <c r="B862" s="48"/>
      <c r="C862" s="48"/>
      <c r="D862" s="172"/>
      <c r="E862" s="48"/>
      <c r="F862" s="170"/>
      <c r="G862" s="175"/>
    </row>
    <row r="863">
      <c r="A863" s="47"/>
      <c r="B863" s="48"/>
      <c r="C863" s="48"/>
      <c r="D863" s="172"/>
      <c r="E863" s="48"/>
      <c r="F863" s="170"/>
      <c r="G863" s="175"/>
    </row>
    <row r="864">
      <c r="A864" s="47"/>
      <c r="B864" s="48"/>
      <c r="C864" s="48"/>
      <c r="D864" s="172"/>
      <c r="E864" s="48"/>
      <c r="F864" s="170"/>
      <c r="G864" s="175"/>
    </row>
    <row r="865">
      <c r="A865" s="47"/>
      <c r="B865" s="48"/>
      <c r="C865" s="48"/>
      <c r="D865" s="172"/>
      <c r="E865" s="48"/>
      <c r="F865" s="170"/>
      <c r="G865" s="175"/>
    </row>
    <row r="866">
      <c r="A866" s="47"/>
      <c r="B866" s="48"/>
      <c r="C866" s="48"/>
      <c r="D866" s="172"/>
      <c r="E866" s="48"/>
      <c r="F866" s="170"/>
      <c r="G866" s="175"/>
    </row>
    <row r="867">
      <c r="A867" s="47"/>
      <c r="B867" s="48"/>
      <c r="C867" s="48"/>
      <c r="D867" s="172"/>
      <c r="E867" s="48"/>
      <c r="F867" s="170"/>
      <c r="G867" s="175"/>
    </row>
    <row r="868">
      <c r="A868" s="47"/>
      <c r="B868" s="48"/>
      <c r="C868" s="48"/>
      <c r="D868" s="172"/>
      <c r="E868" s="48"/>
      <c r="F868" s="170"/>
      <c r="G868" s="175"/>
    </row>
    <row r="869">
      <c r="A869" s="47"/>
      <c r="B869" s="48"/>
      <c r="C869" s="48"/>
      <c r="D869" s="172"/>
      <c r="E869" s="48"/>
      <c r="F869" s="170"/>
      <c r="G869" s="175"/>
    </row>
    <row r="870">
      <c r="A870" s="47"/>
      <c r="B870" s="48"/>
      <c r="C870" s="48"/>
      <c r="D870" s="172"/>
      <c r="E870" s="48"/>
      <c r="F870" s="170"/>
      <c r="G870" s="175"/>
    </row>
    <row r="871">
      <c r="A871" s="47"/>
      <c r="B871" s="48"/>
      <c r="C871" s="48"/>
      <c r="D871" s="172"/>
      <c r="E871" s="48"/>
      <c r="F871" s="170"/>
      <c r="G871" s="175"/>
    </row>
    <row r="872">
      <c r="A872" s="47"/>
      <c r="B872" s="48"/>
      <c r="C872" s="48"/>
      <c r="D872" s="172"/>
      <c r="E872" s="48"/>
      <c r="F872" s="170"/>
      <c r="G872" s="175"/>
    </row>
    <row r="873">
      <c r="A873" s="47"/>
      <c r="B873" s="48"/>
      <c r="C873" s="48"/>
      <c r="D873" s="172"/>
      <c r="E873" s="48"/>
      <c r="F873" s="170"/>
      <c r="G873" s="175"/>
    </row>
    <row r="874">
      <c r="A874" s="47"/>
      <c r="B874" s="48"/>
      <c r="C874" s="48"/>
      <c r="D874" s="172"/>
      <c r="E874" s="48"/>
      <c r="F874" s="170"/>
      <c r="G874" s="175"/>
    </row>
    <row r="875">
      <c r="A875" s="47"/>
      <c r="B875" s="48"/>
      <c r="C875" s="48"/>
      <c r="D875" s="172"/>
      <c r="E875" s="48"/>
      <c r="F875" s="170"/>
      <c r="G875" s="175"/>
    </row>
    <row r="876">
      <c r="A876" s="47"/>
      <c r="B876" s="48"/>
      <c r="C876" s="48"/>
      <c r="D876" s="172"/>
      <c r="E876" s="48"/>
      <c r="F876" s="170"/>
      <c r="G876" s="175"/>
    </row>
    <row r="877">
      <c r="A877" s="47"/>
      <c r="B877" s="48"/>
      <c r="C877" s="48"/>
      <c r="D877" s="172"/>
      <c r="E877" s="48"/>
      <c r="F877" s="170"/>
      <c r="G877" s="175"/>
    </row>
    <row r="878">
      <c r="A878" s="47"/>
      <c r="B878" s="48"/>
      <c r="C878" s="48"/>
      <c r="D878" s="172"/>
      <c r="E878" s="48"/>
      <c r="F878" s="170"/>
      <c r="G878" s="175"/>
    </row>
    <row r="879">
      <c r="A879" s="47"/>
      <c r="B879" s="48"/>
      <c r="C879" s="48"/>
      <c r="D879" s="172"/>
      <c r="E879" s="48"/>
      <c r="F879" s="170"/>
      <c r="G879" s="175"/>
    </row>
    <row r="880">
      <c r="A880" s="47"/>
      <c r="B880" s="48"/>
      <c r="C880" s="48"/>
      <c r="D880" s="172"/>
      <c r="E880" s="48"/>
      <c r="F880" s="170"/>
      <c r="G880" s="175"/>
    </row>
    <row r="881">
      <c r="A881" s="47"/>
      <c r="B881" s="48"/>
      <c r="C881" s="48"/>
      <c r="D881" s="172"/>
      <c r="E881" s="48"/>
      <c r="F881" s="170"/>
      <c r="G881" s="175"/>
    </row>
    <row r="882">
      <c r="A882" s="47"/>
      <c r="B882" s="48"/>
      <c r="C882" s="48"/>
      <c r="D882" s="172"/>
      <c r="E882" s="48"/>
      <c r="F882" s="170"/>
      <c r="G882" s="175"/>
    </row>
    <row r="883">
      <c r="A883" s="47"/>
      <c r="B883" s="48"/>
      <c r="C883" s="48"/>
      <c r="D883" s="172"/>
      <c r="E883" s="48"/>
      <c r="F883" s="170"/>
      <c r="G883" s="175"/>
    </row>
    <row r="884">
      <c r="A884" s="47"/>
      <c r="B884" s="48"/>
      <c r="C884" s="48"/>
      <c r="D884" s="172"/>
      <c r="E884" s="48"/>
      <c r="F884" s="170"/>
      <c r="G884" s="175"/>
    </row>
    <row r="885">
      <c r="A885" s="47"/>
      <c r="B885" s="48"/>
      <c r="C885" s="48"/>
      <c r="D885" s="172"/>
      <c r="E885" s="48"/>
      <c r="F885" s="170"/>
      <c r="G885" s="175"/>
    </row>
    <row r="886">
      <c r="A886" s="47"/>
      <c r="B886" s="48"/>
      <c r="C886" s="48"/>
      <c r="D886" s="172"/>
      <c r="E886" s="48"/>
      <c r="F886" s="170"/>
      <c r="G886" s="175"/>
    </row>
    <row r="887">
      <c r="A887" s="47"/>
      <c r="B887" s="48"/>
      <c r="C887" s="48"/>
      <c r="D887" s="172"/>
      <c r="E887" s="48"/>
      <c r="F887" s="170"/>
      <c r="G887" s="175"/>
    </row>
    <row r="888">
      <c r="A888" s="47"/>
      <c r="B888" s="48"/>
      <c r="C888" s="48"/>
      <c r="D888" s="172"/>
      <c r="E888" s="48"/>
      <c r="F888" s="170"/>
      <c r="G888" s="175"/>
    </row>
    <row r="889">
      <c r="A889" s="47"/>
      <c r="B889" s="48"/>
      <c r="C889" s="48"/>
      <c r="D889" s="172"/>
      <c r="E889" s="48"/>
      <c r="F889" s="170"/>
      <c r="G889" s="175"/>
    </row>
    <row r="890">
      <c r="A890" s="47"/>
      <c r="B890" s="48"/>
      <c r="C890" s="48"/>
      <c r="D890" s="172"/>
      <c r="E890" s="48"/>
      <c r="F890" s="170"/>
      <c r="G890" s="175"/>
    </row>
    <row r="891">
      <c r="A891" s="47"/>
      <c r="B891" s="48"/>
      <c r="C891" s="48"/>
      <c r="D891" s="172"/>
      <c r="E891" s="48"/>
      <c r="F891" s="170"/>
      <c r="G891" s="175"/>
    </row>
    <row r="892">
      <c r="A892" s="47"/>
      <c r="B892" s="48"/>
      <c r="C892" s="48"/>
      <c r="D892" s="172"/>
      <c r="E892" s="48"/>
      <c r="F892" s="170"/>
      <c r="G892" s="175"/>
    </row>
    <row r="893">
      <c r="A893" s="47"/>
      <c r="B893" s="48"/>
      <c r="C893" s="48"/>
      <c r="D893" s="172"/>
      <c r="E893" s="48"/>
      <c r="F893" s="170"/>
      <c r="G893" s="175"/>
    </row>
    <row r="894">
      <c r="A894" s="47"/>
      <c r="B894" s="48"/>
      <c r="C894" s="48"/>
      <c r="D894" s="172"/>
      <c r="E894" s="48"/>
      <c r="F894" s="170"/>
      <c r="G894" s="175"/>
    </row>
    <row r="895">
      <c r="A895" s="47"/>
      <c r="B895" s="48"/>
      <c r="C895" s="48"/>
      <c r="D895" s="172"/>
      <c r="E895" s="48"/>
      <c r="F895" s="170"/>
      <c r="G895" s="175"/>
    </row>
    <row r="896">
      <c r="A896" s="47"/>
      <c r="B896" s="48"/>
      <c r="C896" s="48"/>
      <c r="D896" s="172"/>
      <c r="E896" s="48"/>
      <c r="F896" s="170"/>
      <c r="G896" s="175"/>
    </row>
    <row r="897">
      <c r="A897" s="47"/>
      <c r="B897" s="48"/>
      <c r="C897" s="48"/>
      <c r="D897" s="172"/>
      <c r="E897" s="48"/>
      <c r="F897" s="170"/>
      <c r="G897" s="175"/>
    </row>
    <row r="898">
      <c r="A898" s="47"/>
      <c r="B898" s="48"/>
      <c r="C898" s="48"/>
      <c r="D898" s="172"/>
      <c r="E898" s="48"/>
      <c r="F898" s="170"/>
      <c r="G898" s="175"/>
    </row>
    <row r="899">
      <c r="A899" s="47"/>
      <c r="B899" s="48"/>
      <c r="C899" s="48"/>
      <c r="D899" s="172"/>
      <c r="E899" s="48"/>
      <c r="F899" s="170"/>
      <c r="G899" s="175"/>
    </row>
    <row r="900">
      <c r="A900" s="47"/>
      <c r="B900" s="48"/>
      <c r="C900" s="48"/>
      <c r="D900" s="172"/>
      <c r="E900" s="48"/>
      <c r="F900" s="170"/>
      <c r="G900" s="175"/>
    </row>
    <row r="901">
      <c r="A901" s="47"/>
      <c r="B901" s="48"/>
      <c r="C901" s="48"/>
      <c r="D901" s="172"/>
      <c r="E901" s="48"/>
      <c r="F901" s="170"/>
      <c r="G901" s="175"/>
    </row>
    <row r="902">
      <c r="A902" s="47"/>
      <c r="B902" s="48"/>
      <c r="C902" s="48"/>
      <c r="D902" s="172"/>
      <c r="E902" s="48"/>
      <c r="F902" s="170"/>
      <c r="G902" s="175"/>
    </row>
    <row r="903">
      <c r="A903" s="47"/>
      <c r="B903" s="48"/>
      <c r="C903" s="48"/>
      <c r="D903" s="172"/>
      <c r="E903" s="48"/>
      <c r="F903" s="170"/>
      <c r="G903" s="175"/>
    </row>
    <row r="904">
      <c r="A904" s="47"/>
      <c r="B904" s="48"/>
      <c r="C904" s="48"/>
      <c r="D904" s="172"/>
      <c r="E904" s="48"/>
      <c r="F904" s="170"/>
      <c r="G904" s="175"/>
    </row>
    <row r="905">
      <c r="A905" s="47"/>
      <c r="B905" s="48"/>
      <c r="C905" s="48"/>
      <c r="D905" s="172"/>
      <c r="E905" s="48"/>
      <c r="F905" s="170"/>
      <c r="G905" s="175"/>
    </row>
    <row r="906">
      <c r="A906" s="47"/>
      <c r="B906" s="48"/>
      <c r="C906" s="48"/>
      <c r="D906" s="172"/>
      <c r="E906" s="48"/>
      <c r="F906" s="170"/>
      <c r="G906" s="175"/>
    </row>
    <row r="907">
      <c r="A907" s="47"/>
      <c r="B907" s="48"/>
      <c r="C907" s="48"/>
      <c r="D907" s="172"/>
      <c r="E907" s="48"/>
      <c r="F907" s="170"/>
      <c r="G907" s="175"/>
    </row>
    <row r="908">
      <c r="A908" s="47"/>
      <c r="B908" s="48"/>
      <c r="C908" s="48"/>
      <c r="D908" s="172"/>
      <c r="E908" s="48"/>
      <c r="F908" s="170"/>
      <c r="G908" s="175"/>
    </row>
    <row r="909">
      <c r="A909" s="47"/>
      <c r="B909" s="48"/>
      <c r="C909" s="48"/>
      <c r="D909" s="172"/>
      <c r="E909" s="48"/>
      <c r="F909" s="170"/>
      <c r="G909" s="175"/>
    </row>
    <row r="910">
      <c r="A910" s="47"/>
      <c r="B910" s="48"/>
      <c r="C910" s="48"/>
      <c r="D910" s="172"/>
      <c r="E910" s="48"/>
      <c r="F910" s="170"/>
      <c r="G910" s="175"/>
    </row>
    <row r="911">
      <c r="A911" s="47"/>
      <c r="B911" s="48"/>
      <c r="C911" s="48"/>
      <c r="D911" s="172"/>
      <c r="E911" s="48"/>
      <c r="F911" s="170"/>
      <c r="G911" s="175"/>
    </row>
    <row r="912">
      <c r="A912" s="47"/>
      <c r="B912" s="48"/>
      <c r="C912" s="48"/>
      <c r="D912" s="172"/>
      <c r="E912" s="48"/>
      <c r="F912" s="170"/>
      <c r="G912" s="175"/>
    </row>
    <row r="913">
      <c r="A913" s="47"/>
      <c r="B913" s="48"/>
      <c r="C913" s="48"/>
      <c r="D913" s="172"/>
      <c r="E913" s="48"/>
      <c r="F913" s="170"/>
      <c r="G913" s="175"/>
    </row>
    <row r="914">
      <c r="A914" s="47"/>
      <c r="B914" s="48"/>
      <c r="C914" s="48"/>
      <c r="D914" s="172"/>
      <c r="E914" s="48"/>
      <c r="F914" s="170"/>
      <c r="G914" s="175"/>
    </row>
    <row r="915">
      <c r="A915" s="47"/>
      <c r="B915" s="48"/>
      <c r="C915" s="48"/>
      <c r="D915" s="172"/>
      <c r="E915" s="48"/>
      <c r="F915" s="170"/>
      <c r="G915" s="175"/>
    </row>
    <row r="916">
      <c r="A916" s="47"/>
      <c r="B916" s="48"/>
      <c r="C916" s="48"/>
      <c r="D916" s="172"/>
      <c r="E916" s="48"/>
      <c r="F916" s="170"/>
      <c r="G916" s="175"/>
    </row>
    <row r="917">
      <c r="A917" s="47"/>
      <c r="B917" s="48"/>
      <c r="C917" s="48"/>
      <c r="D917" s="172"/>
      <c r="E917" s="48"/>
      <c r="F917" s="170"/>
      <c r="G917" s="175"/>
    </row>
    <row r="918">
      <c r="A918" s="47"/>
      <c r="B918" s="48"/>
      <c r="C918" s="48"/>
      <c r="D918" s="172"/>
      <c r="E918" s="48"/>
      <c r="F918" s="170"/>
      <c r="G918" s="175"/>
    </row>
    <row r="919">
      <c r="A919" s="47"/>
      <c r="B919" s="48"/>
      <c r="C919" s="48"/>
      <c r="D919" s="172"/>
      <c r="E919" s="48"/>
      <c r="F919" s="170"/>
      <c r="G919" s="175"/>
    </row>
    <row r="920">
      <c r="A920" s="47"/>
      <c r="B920" s="48"/>
      <c r="C920" s="48"/>
      <c r="D920" s="172"/>
      <c r="E920" s="48"/>
      <c r="F920" s="170"/>
      <c r="G920" s="175"/>
    </row>
    <row r="921">
      <c r="A921" s="47"/>
      <c r="B921" s="48"/>
      <c r="C921" s="48"/>
      <c r="D921" s="172"/>
      <c r="E921" s="48"/>
      <c r="F921" s="170"/>
      <c r="G921" s="175"/>
    </row>
    <row r="922">
      <c r="A922" s="47"/>
      <c r="B922" s="48"/>
      <c r="C922" s="48"/>
      <c r="D922" s="172"/>
      <c r="E922" s="48"/>
      <c r="F922" s="170"/>
      <c r="G922" s="175"/>
    </row>
    <row r="923">
      <c r="A923" s="47"/>
      <c r="B923" s="48"/>
      <c r="C923" s="48"/>
      <c r="D923" s="172"/>
      <c r="E923" s="48"/>
      <c r="F923" s="170"/>
      <c r="G923" s="175"/>
    </row>
    <row r="924">
      <c r="A924" s="47"/>
      <c r="B924" s="48"/>
      <c r="C924" s="48"/>
      <c r="D924" s="172"/>
      <c r="E924" s="48"/>
      <c r="F924" s="170"/>
      <c r="G924" s="175"/>
    </row>
    <row r="925">
      <c r="A925" s="47"/>
      <c r="B925" s="48"/>
      <c r="C925" s="48"/>
      <c r="D925" s="172"/>
      <c r="E925" s="48"/>
      <c r="F925" s="170"/>
      <c r="G925" s="175"/>
    </row>
    <row r="926">
      <c r="A926" s="47"/>
      <c r="B926" s="48"/>
      <c r="C926" s="48"/>
      <c r="D926" s="172"/>
      <c r="E926" s="48"/>
      <c r="F926" s="170"/>
      <c r="G926" s="175"/>
    </row>
    <row r="927">
      <c r="A927" s="47"/>
      <c r="B927" s="48"/>
      <c r="C927" s="48"/>
      <c r="D927" s="172"/>
      <c r="E927" s="48"/>
      <c r="F927" s="170"/>
      <c r="G927" s="175"/>
    </row>
    <row r="928">
      <c r="A928" s="47"/>
      <c r="B928" s="48"/>
      <c r="C928" s="48"/>
      <c r="D928" s="172"/>
      <c r="E928" s="48"/>
      <c r="F928" s="170"/>
      <c r="G928" s="175"/>
    </row>
    <row r="929">
      <c r="A929" s="47"/>
      <c r="B929" s="48"/>
      <c r="C929" s="48"/>
      <c r="D929" s="172"/>
      <c r="E929" s="48"/>
      <c r="F929" s="170"/>
      <c r="G929" s="175"/>
    </row>
    <row r="930">
      <c r="A930" s="47"/>
      <c r="B930" s="48"/>
      <c r="C930" s="48"/>
      <c r="D930" s="172"/>
      <c r="E930" s="48"/>
      <c r="F930" s="170"/>
      <c r="G930" s="175"/>
    </row>
    <row r="931">
      <c r="A931" s="47"/>
      <c r="B931" s="48"/>
      <c r="C931" s="48"/>
      <c r="D931" s="172"/>
      <c r="E931" s="48"/>
      <c r="F931" s="170"/>
      <c r="G931" s="175"/>
    </row>
    <row r="932">
      <c r="A932" s="47"/>
      <c r="B932" s="48"/>
      <c r="C932" s="48"/>
      <c r="D932" s="172"/>
      <c r="E932" s="48"/>
      <c r="F932" s="170"/>
      <c r="G932" s="175"/>
    </row>
    <row r="933">
      <c r="A933" s="47"/>
      <c r="B933" s="48"/>
      <c r="C933" s="48"/>
      <c r="D933" s="172"/>
      <c r="E933" s="48"/>
      <c r="F933" s="170"/>
      <c r="G933" s="175"/>
    </row>
    <row r="934">
      <c r="A934" s="47"/>
      <c r="B934" s="48"/>
      <c r="C934" s="48"/>
      <c r="D934" s="172"/>
      <c r="E934" s="48"/>
      <c r="F934" s="170"/>
      <c r="G934" s="175"/>
    </row>
    <row r="935">
      <c r="A935" s="47"/>
      <c r="B935" s="48"/>
      <c r="C935" s="48"/>
      <c r="D935" s="172"/>
      <c r="E935" s="48"/>
      <c r="F935" s="170"/>
      <c r="G935" s="175"/>
    </row>
    <row r="936">
      <c r="A936" s="47"/>
      <c r="B936" s="48"/>
      <c r="C936" s="48"/>
      <c r="D936" s="172"/>
      <c r="E936" s="48"/>
      <c r="F936" s="170"/>
      <c r="G936" s="175"/>
    </row>
    <row r="937">
      <c r="A937" s="47"/>
      <c r="B937" s="48"/>
      <c r="C937" s="48"/>
      <c r="D937" s="172"/>
      <c r="E937" s="48"/>
      <c r="F937" s="170"/>
      <c r="G937" s="175"/>
    </row>
    <row r="938">
      <c r="A938" s="47"/>
      <c r="B938" s="48"/>
      <c r="C938" s="48"/>
      <c r="D938" s="172"/>
      <c r="E938" s="48"/>
      <c r="F938" s="170"/>
      <c r="G938" s="175"/>
    </row>
    <row r="939">
      <c r="A939" s="47"/>
      <c r="B939" s="48"/>
      <c r="C939" s="48"/>
      <c r="D939" s="172"/>
      <c r="E939" s="48"/>
      <c r="F939" s="170"/>
      <c r="G939" s="175"/>
    </row>
    <row r="940">
      <c r="A940" s="47"/>
      <c r="B940" s="48"/>
      <c r="C940" s="48"/>
      <c r="D940" s="172"/>
      <c r="E940" s="48"/>
      <c r="F940" s="170"/>
      <c r="G940" s="175"/>
    </row>
    <row r="941">
      <c r="A941" s="47"/>
      <c r="B941" s="48"/>
      <c r="C941" s="48"/>
      <c r="D941" s="172"/>
      <c r="E941" s="48"/>
      <c r="F941" s="170"/>
      <c r="G941" s="175"/>
    </row>
    <row r="942">
      <c r="A942" s="47"/>
      <c r="B942" s="48"/>
      <c r="C942" s="48"/>
      <c r="D942" s="172"/>
      <c r="E942" s="48"/>
      <c r="F942" s="170"/>
      <c r="G942" s="175"/>
    </row>
    <row r="943">
      <c r="A943" s="47"/>
      <c r="B943" s="48"/>
      <c r="C943" s="48"/>
      <c r="D943" s="172"/>
      <c r="E943" s="48"/>
      <c r="F943" s="170"/>
      <c r="G943" s="175"/>
    </row>
    <row r="944">
      <c r="A944" s="47"/>
      <c r="B944" s="48"/>
      <c r="C944" s="48"/>
      <c r="D944" s="172"/>
      <c r="E944" s="48"/>
      <c r="F944" s="170"/>
      <c r="G944" s="175"/>
    </row>
    <row r="945">
      <c r="A945" s="47"/>
      <c r="B945" s="48"/>
      <c r="C945" s="48"/>
      <c r="D945" s="172"/>
      <c r="E945" s="48"/>
      <c r="F945" s="170"/>
      <c r="G945" s="175"/>
    </row>
    <row r="946">
      <c r="A946" s="47"/>
      <c r="B946" s="48"/>
      <c r="C946" s="48"/>
      <c r="D946" s="172"/>
      <c r="E946" s="48"/>
      <c r="F946" s="170"/>
      <c r="G946" s="175"/>
    </row>
    <row r="947">
      <c r="A947" s="47"/>
      <c r="B947" s="48"/>
      <c r="C947" s="48"/>
      <c r="D947" s="172"/>
      <c r="E947" s="48"/>
      <c r="F947" s="170"/>
      <c r="G947" s="175"/>
    </row>
    <row r="948">
      <c r="A948" s="47"/>
      <c r="B948" s="48"/>
      <c r="C948" s="48"/>
      <c r="D948" s="172"/>
      <c r="E948" s="48"/>
      <c r="F948" s="170"/>
      <c r="G948" s="175"/>
    </row>
    <row r="949">
      <c r="A949" s="47"/>
      <c r="B949" s="48"/>
      <c r="C949" s="48"/>
      <c r="D949" s="172"/>
      <c r="E949" s="48"/>
      <c r="F949" s="170"/>
      <c r="G949" s="175"/>
    </row>
    <row r="950">
      <c r="A950" s="47"/>
      <c r="B950" s="48"/>
      <c r="C950" s="48"/>
      <c r="D950" s="172"/>
      <c r="E950" s="48"/>
      <c r="F950" s="170"/>
      <c r="G950" s="175"/>
    </row>
    <row r="951">
      <c r="A951" s="47"/>
      <c r="B951" s="48"/>
      <c r="C951" s="48"/>
      <c r="D951" s="172"/>
      <c r="E951" s="48"/>
      <c r="F951" s="170"/>
      <c r="G951" s="175"/>
    </row>
    <row r="952">
      <c r="A952" s="47"/>
      <c r="B952" s="48"/>
      <c r="C952" s="48"/>
      <c r="D952" s="172"/>
      <c r="E952" s="48"/>
      <c r="F952" s="170"/>
      <c r="G952" s="175"/>
    </row>
    <row r="953">
      <c r="A953" s="47"/>
      <c r="B953" s="48"/>
      <c r="C953" s="48"/>
      <c r="D953" s="172"/>
      <c r="E953" s="48"/>
      <c r="F953" s="170"/>
      <c r="G953" s="175"/>
    </row>
    <row r="954">
      <c r="A954" s="47"/>
      <c r="B954" s="48"/>
      <c r="C954" s="48"/>
      <c r="D954" s="172"/>
      <c r="E954" s="48"/>
      <c r="F954" s="170"/>
      <c r="G954" s="175"/>
    </row>
    <row r="955">
      <c r="A955" s="47"/>
      <c r="B955" s="48"/>
      <c r="C955" s="48"/>
      <c r="D955" s="172"/>
      <c r="E955" s="48"/>
      <c r="F955" s="170"/>
      <c r="G955" s="175"/>
    </row>
    <row r="956">
      <c r="A956" s="47"/>
      <c r="B956" s="48"/>
      <c r="C956" s="48"/>
      <c r="D956" s="172"/>
      <c r="E956" s="48"/>
      <c r="F956" s="170"/>
      <c r="G956" s="175"/>
    </row>
    <row r="957">
      <c r="A957" s="47"/>
      <c r="B957" s="48"/>
      <c r="C957" s="48"/>
      <c r="D957" s="172"/>
      <c r="E957" s="48"/>
      <c r="F957" s="170"/>
      <c r="G957" s="175"/>
    </row>
    <row r="958">
      <c r="A958" s="47"/>
      <c r="B958" s="48"/>
      <c r="C958" s="48"/>
      <c r="D958" s="172"/>
      <c r="E958" s="48"/>
      <c r="F958" s="170"/>
      <c r="G958" s="175"/>
    </row>
    <row r="959">
      <c r="A959" s="47"/>
      <c r="B959" s="48"/>
      <c r="C959" s="48"/>
      <c r="D959" s="172"/>
      <c r="E959" s="48"/>
      <c r="F959" s="170"/>
      <c r="G959" s="175"/>
    </row>
    <row r="960">
      <c r="A960" s="47"/>
      <c r="B960" s="48"/>
      <c r="C960" s="48"/>
      <c r="D960" s="172"/>
      <c r="E960" s="48"/>
      <c r="F960" s="170"/>
      <c r="G960" s="175"/>
    </row>
    <row r="961">
      <c r="A961" s="47"/>
      <c r="B961" s="48"/>
      <c r="C961" s="48"/>
      <c r="D961" s="172"/>
      <c r="E961" s="48"/>
      <c r="F961" s="170"/>
      <c r="G961" s="175"/>
    </row>
    <row r="962">
      <c r="A962" s="47"/>
      <c r="B962" s="48"/>
      <c r="C962" s="48"/>
      <c r="D962" s="172"/>
      <c r="E962" s="48"/>
      <c r="F962" s="170"/>
      <c r="G962" s="175"/>
    </row>
    <row r="963">
      <c r="A963" s="47"/>
      <c r="B963" s="48"/>
      <c r="C963" s="48"/>
      <c r="D963" s="172"/>
      <c r="E963" s="48"/>
      <c r="F963" s="170"/>
      <c r="G963" s="175"/>
    </row>
    <row r="964">
      <c r="A964" s="47"/>
      <c r="B964" s="48"/>
      <c r="C964" s="48"/>
      <c r="D964" s="172"/>
      <c r="E964" s="48"/>
      <c r="F964" s="170"/>
      <c r="G964" s="175"/>
    </row>
    <row r="965">
      <c r="A965" s="47"/>
      <c r="B965" s="48"/>
      <c r="C965" s="48"/>
      <c r="D965" s="172"/>
      <c r="E965" s="48"/>
      <c r="F965" s="170"/>
      <c r="G965" s="175"/>
    </row>
    <row r="966">
      <c r="A966" s="47"/>
      <c r="B966" s="48"/>
      <c r="C966" s="48"/>
      <c r="D966" s="172"/>
      <c r="E966" s="48"/>
      <c r="F966" s="170"/>
      <c r="G966" s="175"/>
    </row>
    <row r="967">
      <c r="A967" s="47"/>
      <c r="B967" s="48"/>
      <c r="C967" s="48"/>
      <c r="D967" s="172"/>
      <c r="E967" s="48"/>
      <c r="F967" s="170"/>
      <c r="G967" s="175"/>
    </row>
    <row r="968">
      <c r="A968" s="47"/>
      <c r="B968" s="48"/>
      <c r="C968" s="48"/>
      <c r="D968" s="172"/>
      <c r="E968" s="48"/>
      <c r="F968" s="170"/>
      <c r="G968" s="175"/>
    </row>
    <row r="969">
      <c r="A969" s="47"/>
      <c r="B969" s="48"/>
      <c r="C969" s="48"/>
      <c r="D969" s="172"/>
      <c r="E969" s="48"/>
      <c r="F969" s="170"/>
      <c r="G969" s="175"/>
    </row>
    <row r="970">
      <c r="A970" s="47"/>
      <c r="B970" s="48"/>
      <c r="C970" s="48"/>
      <c r="D970" s="172"/>
      <c r="E970" s="48"/>
      <c r="F970" s="170"/>
      <c r="G970" s="175"/>
    </row>
    <row r="971">
      <c r="A971" s="47"/>
      <c r="B971" s="48"/>
      <c r="C971" s="48"/>
      <c r="D971" s="172"/>
      <c r="E971" s="48"/>
      <c r="F971" s="170"/>
      <c r="G971" s="175"/>
    </row>
    <row r="972">
      <c r="A972" s="47"/>
      <c r="B972" s="48"/>
      <c r="C972" s="48"/>
      <c r="D972" s="172"/>
      <c r="E972" s="48"/>
      <c r="F972" s="170"/>
      <c r="G972" s="175"/>
    </row>
    <row r="973">
      <c r="A973" s="47"/>
      <c r="B973" s="48"/>
      <c r="C973" s="48"/>
      <c r="D973" s="172"/>
      <c r="E973" s="48"/>
      <c r="F973" s="170"/>
      <c r="G973" s="175"/>
    </row>
    <row r="974">
      <c r="A974" s="47"/>
      <c r="B974" s="48"/>
      <c r="C974" s="48"/>
      <c r="D974" s="172"/>
      <c r="E974" s="48"/>
      <c r="F974" s="170"/>
      <c r="G974" s="175"/>
    </row>
    <row r="975">
      <c r="A975" s="47"/>
      <c r="B975" s="48"/>
      <c r="C975" s="48"/>
      <c r="D975" s="172"/>
      <c r="E975" s="48"/>
      <c r="F975" s="170"/>
      <c r="G975" s="175"/>
    </row>
    <row r="976">
      <c r="A976" s="47"/>
      <c r="B976" s="48"/>
      <c r="C976" s="48"/>
      <c r="D976" s="172"/>
      <c r="E976" s="48"/>
      <c r="F976" s="170"/>
      <c r="G976" s="175"/>
    </row>
    <row r="977">
      <c r="A977" s="47"/>
      <c r="B977" s="48"/>
      <c r="C977" s="48"/>
      <c r="D977" s="172"/>
      <c r="E977" s="48"/>
      <c r="F977" s="170"/>
      <c r="G977" s="175"/>
    </row>
    <row r="978">
      <c r="A978" s="47"/>
      <c r="B978" s="48"/>
      <c r="C978" s="48"/>
      <c r="D978" s="172"/>
      <c r="E978" s="48"/>
      <c r="F978" s="170"/>
      <c r="G978" s="175"/>
    </row>
    <row r="979">
      <c r="A979" s="47"/>
      <c r="B979" s="48"/>
      <c r="C979" s="48"/>
      <c r="D979" s="172"/>
      <c r="E979" s="48"/>
      <c r="F979" s="170"/>
      <c r="G979" s="175"/>
    </row>
    <row r="980">
      <c r="A980" s="47"/>
      <c r="B980" s="48"/>
      <c r="C980" s="48"/>
      <c r="D980" s="172"/>
      <c r="E980" s="48"/>
      <c r="F980" s="170"/>
      <c r="G980" s="175"/>
    </row>
    <row r="981">
      <c r="A981" s="47"/>
      <c r="B981" s="48"/>
      <c r="C981" s="48"/>
      <c r="D981" s="172"/>
      <c r="E981" s="48"/>
      <c r="F981" s="170"/>
      <c r="G981" s="175"/>
    </row>
    <row r="982">
      <c r="A982" s="47"/>
      <c r="B982" s="48"/>
      <c r="C982" s="48"/>
      <c r="D982" s="172"/>
      <c r="E982" s="48"/>
      <c r="F982" s="170"/>
      <c r="G982" s="175"/>
    </row>
    <row r="983">
      <c r="A983" s="47"/>
      <c r="B983" s="48"/>
      <c r="C983" s="48"/>
      <c r="D983" s="172"/>
      <c r="E983" s="48"/>
      <c r="F983" s="170"/>
      <c r="G983" s="175"/>
    </row>
    <row r="984">
      <c r="A984" s="47"/>
      <c r="B984" s="48"/>
      <c r="C984" s="48"/>
      <c r="D984" s="172"/>
      <c r="E984" s="48"/>
      <c r="F984" s="170"/>
      <c r="G984" s="175"/>
    </row>
    <row r="985">
      <c r="A985" s="47"/>
      <c r="B985" s="48"/>
      <c r="C985" s="48"/>
      <c r="D985" s="172"/>
      <c r="E985" s="48"/>
      <c r="F985" s="170"/>
      <c r="G985" s="175"/>
    </row>
    <row r="986">
      <c r="A986" s="47"/>
      <c r="B986" s="48"/>
      <c r="C986" s="48"/>
      <c r="D986" s="172"/>
      <c r="E986" s="48"/>
      <c r="F986" s="170"/>
      <c r="G986" s="175"/>
    </row>
    <row r="987">
      <c r="A987" s="47"/>
      <c r="B987" s="48"/>
      <c r="C987" s="48"/>
      <c r="D987" s="172"/>
      <c r="E987" s="48"/>
      <c r="F987" s="170"/>
      <c r="G987" s="175"/>
    </row>
    <row r="988">
      <c r="A988" s="47"/>
      <c r="B988" s="48"/>
      <c r="C988" s="48"/>
      <c r="D988" s="172"/>
      <c r="E988" s="48"/>
      <c r="F988" s="170"/>
      <c r="G988" s="175"/>
    </row>
    <row r="989">
      <c r="A989" s="47"/>
      <c r="B989" s="48"/>
      <c r="C989" s="48"/>
      <c r="D989" s="172"/>
      <c r="E989" s="48"/>
      <c r="F989" s="170"/>
      <c r="G989" s="175"/>
    </row>
    <row r="990">
      <c r="A990" s="47"/>
      <c r="B990" s="48"/>
      <c r="C990" s="48"/>
      <c r="D990" s="172"/>
      <c r="E990" s="48"/>
      <c r="F990" s="170"/>
      <c r="G990" s="175"/>
    </row>
    <row r="991">
      <c r="A991" s="47"/>
      <c r="B991" s="48"/>
      <c r="C991" s="48"/>
      <c r="D991" s="172"/>
      <c r="E991" s="48"/>
      <c r="F991" s="170"/>
      <c r="G991" s="175"/>
    </row>
    <row r="992">
      <c r="A992" s="47"/>
      <c r="B992" s="48"/>
      <c r="C992" s="48"/>
      <c r="D992" s="172"/>
      <c r="E992" s="48"/>
      <c r="F992" s="170"/>
      <c r="G992" s="175"/>
    </row>
    <row r="993">
      <c r="A993" s="47"/>
      <c r="B993" s="48"/>
      <c r="C993" s="48"/>
      <c r="D993" s="172"/>
      <c r="E993" s="48"/>
      <c r="F993" s="170"/>
      <c r="G993" s="175"/>
    </row>
    <row r="994">
      <c r="A994" s="47"/>
      <c r="B994" s="48"/>
      <c r="C994" s="48"/>
      <c r="D994" s="172"/>
      <c r="E994" s="48"/>
      <c r="F994" s="170"/>
      <c r="G994" s="175"/>
    </row>
    <row r="995">
      <c r="A995" s="47"/>
      <c r="B995" s="48"/>
      <c r="C995" s="48"/>
      <c r="D995" s="172"/>
      <c r="E995" s="48"/>
      <c r="F995" s="170"/>
      <c r="G995" s="175"/>
    </row>
    <row r="996">
      <c r="A996" s="47"/>
      <c r="B996" s="48"/>
      <c r="C996" s="48"/>
      <c r="D996" s="172"/>
      <c r="E996" s="48"/>
      <c r="F996" s="170"/>
      <c r="G996" s="175"/>
    </row>
    <row r="997">
      <c r="A997" s="47"/>
      <c r="B997" s="48"/>
      <c r="C997" s="48"/>
      <c r="D997" s="172"/>
      <c r="E997" s="48"/>
      <c r="F997" s="170"/>
      <c r="G997" s="175"/>
    </row>
    <row r="998">
      <c r="A998" s="47"/>
      <c r="B998" s="48"/>
      <c r="C998" s="48"/>
      <c r="D998" s="172"/>
      <c r="E998" s="48"/>
      <c r="F998" s="170"/>
      <c r="G998" s="175"/>
    </row>
    <row r="999">
      <c r="A999" s="47"/>
      <c r="B999" s="48"/>
      <c r="C999" s="48"/>
      <c r="D999" s="172"/>
      <c r="E999" s="48"/>
      <c r="F999" s="170"/>
      <c r="G999" s="175"/>
    </row>
    <row r="1000">
      <c r="A1000" s="49"/>
      <c r="B1000" s="50"/>
      <c r="C1000" s="50"/>
      <c r="D1000" s="176"/>
      <c r="E1000" s="50"/>
      <c r="F1000" s="177"/>
      <c r="G1000" s="178"/>
    </row>
  </sheetData>
  <mergeCells count="2">
    <mergeCell ref="A1:E1"/>
    <mergeCell ref="D2:E2"/>
  </mergeCells>
  <dataValidations>
    <dataValidation type="custom" allowBlank="1" showDropDown="1" showErrorMessage="1" sqref="A4:A1000">
      <formula1>OR(NOT(ISERROR(DATEVALUE(A4))), AND(ISNUMBER(A4), LEFT(CELL("format", A4))="D"))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tr">
        <f>IFERROR(__xludf.DUMMYFUNCTION("QUERY(Evacuate!A3:G999,""SELECT *"" &amp; IF(COUNTBLANK(HelperFormulas!D14)=2,"""","" WHERE "" &amp; TEXTJOIN("" AND "", TRUE, HelperFormulas!D14)),1)"),"Date")</f>
        <v>Date</v>
      </c>
      <c r="B1" s="96" t="str">
        <f>IFERROR(__xludf.DUMMYFUNCTION("""COMPUTED_VALUE"""),"Driver")</f>
        <v>Driver</v>
      </c>
      <c r="C1" s="96" t="str">
        <f>IFERROR(__xludf.DUMMYFUNCTION("""COMPUTED_VALUE"""),"Deliver to")</f>
        <v>Deliver to</v>
      </c>
      <c r="D1" s="96" t="str">
        <f>IFERROR(__xludf.DUMMYFUNCTION("""COMPUTED_VALUE"""),"Escort")</f>
        <v>Escort</v>
      </c>
      <c r="E1" s="96" t="str">
        <f>IFERROR(__xludf.DUMMYFUNCTION("""COMPUTED_VALUE"""),"QTY of Bags")</f>
        <v>QTY of Bags</v>
      </c>
      <c r="F1" s="96" t="str">
        <f>IFERROR(__xludf.DUMMYFUNCTION("""COMPUTED_VALUE"""),"Payable Weight")</f>
        <v>Payable Weight</v>
      </c>
      <c r="G1" s="96" t="str">
        <f>IFERROR(__xludf.DUMMYFUNCTION("""COMPUTED_VALUE"""),"Teller No.")</f>
        <v>Teller No.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tr">
        <f>IFERROR(__xludf.DUMMYFUNCTION("QUERY(Finance!A5:J61,""SELECT *"" &amp; IF(COUNTBLANK(HelperFormulas!F14)=2,"""","" WHERE "" &amp; TEXTJOIN("" AND "", TRUE, HelperFormulas!F14)),1)"),"Date")</f>
        <v>Date</v>
      </c>
      <c r="B1" s="96" t="str">
        <f>IFERROR(__xludf.DUMMYFUNCTION("""COMPUTED_VALUE"""),"Name")</f>
        <v>Name</v>
      </c>
      <c r="C1" s="96" t="str">
        <f>IFERROR(__xludf.DUMMYFUNCTION("""COMPUTED_VALUE"""),"Description")</f>
        <v>Description</v>
      </c>
      <c r="D1" s="96" t="str">
        <f>IFERROR(__xludf.DUMMYFUNCTION("""COMPUTED_VALUE"""),"Amount")</f>
        <v>Amount</v>
      </c>
      <c r="E1" s="96" t="str">
        <f>IFERROR(__xludf.DUMMYFUNCTION("""COMPUTED_VALUE"""),"Category")</f>
        <v>Category</v>
      </c>
      <c r="F1" s="96" t="str">
        <f>IFERROR(__xludf.DUMMYFUNCTION("""COMPUTED_VALUE"""),"Advance")</f>
        <v>Advance</v>
      </c>
      <c r="G1" s="96" t="str">
        <f>IFERROR(__xludf.DUMMYFUNCTION("""COMPUTED_VALUE"""),"Non-Cocoa")</f>
        <v>Non-Cocoa</v>
      </c>
      <c r="H1" s="96" t="str">
        <f>IFERROR(__xludf.DUMMYFUNCTION("""COMPUTED_VALUE"""),"Cash In")</f>
        <v>Cash In</v>
      </c>
      <c r="I1" s="96" t="str">
        <f>IFERROR(__xludf.DUMMYFUNCTION("""COMPUTED_VALUE"""),"Cash Collected")</f>
        <v>Cash Collected</v>
      </c>
      <c r="J1" s="96" t="str">
        <f>IFERROR(__xludf.DUMMYFUNCTION("""COMPUTED_VALUE"""),"Refunds")</f>
        <v>Refunds</v>
      </c>
      <c r="N1" s="97"/>
    </row>
    <row r="2">
      <c r="A2" s="98">
        <f>IFERROR(__xludf.DUMMYFUNCTION("""COMPUTED_VALUE"""),43743.0)</f>
        <v>43743</v>
      </c>
      <c r="B2" s="96" t="str">
        <f>IFERROR(__xludf.DUMMYFUNCTION("""COMPUTED_VALUE"""),"BALANCE")</f>
        <v>BALANCE</v>
      </c>
      <c r="C2" s="96" t="str">
        <f>IFERROR(__xludf.DUMMYFUNCTION("""COMPUTED_VALUE"""),"BALANCE")</f>
        <v>BALANCE</v>
      </c>
      <c r="D2" s="99">
        <f>IFERROR(__xludf.DUMMYFUNCTION("""COMPUTED_VALUE"""),6.4600445E7)</f>
        <v>64600445</v>
      </c>
      <c r="E2" s="96" t="str">
        <f>IFERROR(__xludf.DUMMYFUNCTION("""COMPUTED_VALUE"""),"From Bank")</f>
        <v>From Bank</v>
      </c>
      <c r="F2" s="99"/>
      <c r="G2" s="99"/>
      <c r="H2" s="99">
        <f>IFERROR(__xludf.DUMMYFUNCTION("""COMPUTED_VALUE"""),6.4600445E7)</f>
        <v>64600445</v>
      </c>
      <c r="I2" s="99"/>
      <c r="J2" s="99"/>
    </row>
    <row r="3">
      <c r="A3" s="98">
        <f>IFERROR(__xludf.DUMMYFUNCTION("""COMPUTED_VALUE"""),43743.0)</f>
        <v>43743</v>
      </c>
      <c r="B3" s="96" t="str">
        <f>IFERROR(__xludf.DUMMYFUNCTION("""COMPUTED_VALUE"""),"EDWARD OKO")</f>
        <v>EDWARD OKO</v>
      </c>
      <c r="C3" s="96" t="str">
        <f>IFERROR(__xludf.DUMMYFUNCTION("""COMPUTED_VALUE"""),"BALANCE")</f>
        <v>BALANCE</v>
      </c>
      <c r="D3" s="99">
        <f>IFERROR(__xludf.DUMMYFUNCTION("""COMPUTED_VALUE"""),521000.0)</f>
        <v>521000</v>
      </c>
      <c r="E3" s="96" t="str">
        <f>IFERROR(__xludf.DUMMYFUNCTION("""COMPUTED_VALUE"""),"Prefinance")</f>
        <v>Prefinance</v>
      </c>
      <c r="F3" s="99">
        <f>IFERROR(__xludf.DUMMYFUNCTION("""COMPUTED_VALUE"""),0.0)</f>
        <v>0</v>
      </c>
      <c r="G3" s="99">
        <f>IFERROR(__xludf.DUMMYFUNCTION("""COMPUTED_VALUE"""),0.0)</f>
        <v>0</v>
      </c>
      <c r="H3" s="99">
        <f>IFERROR(__xludf.DUMMYFUNCTION("""COMPUTED_VALUE"""),0.0)</f>
        <v>0</v>
      </c>
      <c r="I3" s="99">
        <f>IFERROR(__xludf.DUMMYFUNCTION("""COMPUTED_VALUE"""),0.0)</f>
        <v>0</v>
      </c>
      <c r="J3" s="99">
        <f>IFERROR(__xludf.DUMMYFUNCTION("""COMPUTED_VALUE"""),0.0)</f>
        <v>0</v>
      </c>
    </row>
    <row r="4">
      <c r="A4" s="98">
        <f>IFERROR(__xludf.DUMMYFUNCTION("""COMPUTED_VALUE"""),43743.0)</f>
        <v>43743</v>
      </c>
      <c r="B4" s="96" t="str">
        <f>IFERROR(__xludf.DUMMYFUNCTION("""COMPUTED_VALUE"""),"INT OTU")</f>
        <v>INT OTU</v>
      </c>
      <c r="C4" s="96" t="str">
        <f>IFERROR(__xludf.DUMMYFUNCTION("""COMPUTED_VALUE"""),"BALANCE")</f>
        <v>BALANCE</v>
      </c>
      <c r="D4" s="99">
        <f>IFERROR(__xludf.DUMMYFUNCTION("""COMPUTED_VALUE"""),555000.0)</f>
        <v>555000</v>
      </c>
      <c r="E4" s="96" t="str">
        <f>IFERROR(__xludf.DUMMYFUNCTION("""COMPUTED_VALUE"""),"Prefinance")</f>
        <v>Prefinance</v>
      </c>
      <c r="F4" s="99">
        <f>IFERROR(__xludf.DUMMYFUNCTION("""COMPUTED_VALUE"""),0.0)</f>
        <v>0</v>
      </c>
      <c r="G4" s="99">
        <f>IFERROR(__xludf.DUMMYFUNCTION("""COMPUTED_VALUE"""),0.0)</f>
        <v>0</v>
      </c>
      <c r="H4" s="99">
        <f>IFERROR(__xludf.DUMMYFUNCTION("""COMPUTED_VALUE"""),0.0)</f>
        <v>0</v>
      </c>
      <c r="I4" s="99">
        <f>IFERROR(__xludf.DUMMYFUNCTION("""COMPUTED_VALUE"""),0.0)</f>
        <v>0</v>
      </c>
      <c r="J4" s="99">
        <f>IFERROR(__xludf.DUMMYFUNCTION("""COMPUTED_VALUE"""),0.0)</f>
        <v>0</v>
      </c>
    </row>
    <row r="5">
      <c r="A5" s="98">
        <f>IFERROR(__xludf.DUMMYFUNCTION("""COMPUTED_VALUE"""),43743.0)</f>
        <v>43743</v>
      </c>
      <c r="B5" s="96" t="str">
        <f>IFERROR(__xludf.DUMMYFUNCTION("""COMPUTED_VALUE"""),"ETUK EFFI")</f>
        <v>ETUK EFFI</v>
      </c>
      <c r="C5" s="96" t="str">
        <f>IFERROR(__xludf.DUMMYFUNCTION("""COMPUTED_VALUE"""),"BALANCE")</f>
        <v>BALANCE</v>
      </c>
      <c r="D5" s="99">
        <f>IFERROR(__xludf.DUMMYFUNCTION("""COMPUTED_VALUE"""),700000.0)</f>
        <v>700000</v>
      </c>
      <c r="E5" s="96" t="str">
        <f>IFERROR(__xludf.DUMMYFUNCTION("""COMPUTED_VALUE"""),"Prefinance")</f>
        <v>Prefinance</v>
      </c>
      <c r="F5" s="99">
        <f>IFERROR(__xludf.DUMMYFUNCTION("""COMPUTED_VALUE"""),0.0)</f>
        <v>0</v>
      </c>
      <c r="G5" s="99">
        <f>IFERROR(__xludf.DUMMYFUNCTION("""COMPUTED_VALUE"""),0.0)</f>
        <v>0</v>
      </c>
      <c r="H5" s="99">
        <f>IFERROR(__xludf.DUMMYFUNCTION("""COMPUTED_VALUE"""),0.0)</f>
        <v>0</v>
      </c>
      <c r="I5" s="99">
        <f>IFERROR(__xludf.DUMMYFUNCTION("""COMPUTED_VALUE"""),0.0)</f>
        <v>0</v>
      </c>
      <c r="J5" s="99">
        <f>IFERROR(__xludf.DUMMYFUNCTION("""COMPUTED_VALUE"""),0.0)</f>
        <v>0</v>
      </c>
    </row>
    <row r="6">
      <c r="A6" s="98">
        <f>IFERROR(__xludf.DUMMYFUNCTION("""COMPUTED_VALUE"""),43743.0)</f>
        <v>43743</v>
      </c>
      <c r="B6" s="96" t="str">
        <f>IFERROR(__xludf.DUMMYFUNCTION("""COMPUTED_VALUE"""),"ADE ADE")</f>
        <v>ADE ADE</v>
      </c>
      <c r="C6" s="96" t="str">
        <f>IFERROR(__xludf.DUMMYFUNCTION("""COMPUTED_VALUE"""),"BALANCE")</f>
        <v>BALANCE</v>
      </c>
      <c r="D6" s="99">
        <f>IFERROR(__xludf.DUMMYFUNCTION("""COMPUTED_VALUE"""),328000.0)</f>
        <v>328000</v>
      </c>
      <c r="E6" s="96" t="str">
        <f>IFERROR(__xludf.DUMMYFUNCTION("""COMPUTED_VALUE"""),"Prefinance")</f>
        <v>Prefinance</v>
      </c>
      <c r="F6" s="99">
        <f>IFERROR(__xludf.DUMMYFUNCTION("""COMPUTED_VALUE"""),0.0)</f>
        <v>0</v>
      </c>
      <c r="G6" s="99">
        <f>IFERROR(__xludf.DUMMYFUNCTION("""COMPUTED_VALUE"""),0.0)</f>
        <v>0</v>
      </c>
      <c r="H6" s="99">
        <f>IFERROR(__xludf.DUMMYFUNCTION("""COMPUTED_VALUE"""),0.0)</f>
        <v>0</v>
      </c>
      <c r="I6" s="99">
        <f>IFERROR(__xludf.DUMMYFUNCTION("""COMPUTED_VALUE"""),0.0)</f>
        <v>0</v>
      </c>
      <c r="J6" s="99">
        <f>IFERROR(__xludf.DUMMYFUNCTION("""COMPUTED_VALUE"""),0.0)</f>
        <v>0</v>
      </c>
    </row>
    <row r="7">
      <c r="A7" s="98">
        <f>IFERROR(__xludf.DUMMYFUNCTION("""COMPUTED_VALUE"""),43743.0)</f>
        <v>43743</v>
      </c>
      <c r="B7" s="96" t="str">
        <f>IFERROR(__xludf.DUMMYFUNCTION("""COMPUTED_VALUE"""),"BESSONG BESONG")</f>
        <v>BESSONG BESONG</v>
      </c>
      <c r="C7" s="96" t="str">
        <f>IFERROR(__xludf.DUMMYFUNCTION("""COMPUTED_VALUE"""),"BALANCE")</f>
        <v>BALANCE</v>
      </c>
      <c r="D7" s="99">
        <f>IFERROR(__xludf.DUMMYFUNCTION("""COMPUTED_VALUE"""),497440.0)</f>
        <v>497440</v>
      </c>
      <c r="E7" s="96" t="str">
        <f>IFERROR(__xludf.DUMMYFUNCTION("""COMPUTED_VALUE"""),"Prefinance")</f>
        <v>Prefinance</v>
      </c>
      <c r="F7" s="99">
        <f>IFERROR(__xludf.DUMMYFUNCTION("""COMPUTED_VALUE"""),0.0)</f>
        <v>0</v>
      </c>
      <c r="G7" s="99">
        <f>IFERROR(__xludf.DUMMYFUNCTION("""COMPUTED_VALUE"""),0.0)</f>
        <v>0</v>
      </c>
      <c r="H7" s="99">
        <f>IFERROR(__xludf.DUMMYFUNCTION("""COMPUTED_VALUE"""),0.0)</f>
        <v>0</v>
      </c>
      <c r="I7" s="99">
        <f>IFERROR(__xludf.DUMMYFUNCTION("""COMPUTED_VALUE"""),0.0)</f>
        <v>0</v>
      </c>
      <c r="J7" s="99">
        <f>IFERROR(__xludf.DUMMYFUNCTION("""COMPUTED_VALUE"""),0.0)</f>
        <v>0</v>
      </c>
    </row>
    <row r="8">
      <c r="A8" s="98">
        <f>IFERROR(__xludf.DUMMYFUNCTION("""COMPUTED_VALUE"""),43743.0)</f>
        <v>43743</v>
      </c>
      <c r="B8" s="96" t="str">
        <f>IFERROR(__xludf.DUMMYFUNCTION("""COMPUTED_VALUE"""),"MINOR")</f>
        <v>MINOR</v>
      </c>
      <c r="C8" s="96" t="str">
        <f>IFERROR(__xludf.DUMMYFUNCTION("""COMPUTED_VALUE"""),"BALANCE")</f>
        <v>BALANCE</v>
      </c>
      <c r="D8" s="99">
        <f>IFERROR(__xludf.DUMMYFUNCTION("""COMPUTED_VALUE"""),409300.0)</f>
        <v>409300</v>
      </c>
      <c r="E8" s="96" t="str">
        <f>IFERROR(__xludf.DUMMYFUNCTION("""COMPUTED_VALUE"""),"Prefinance")</f>
        <v>Prefinance</v>
      </c>
      <c r="F8" s="99">
        <f>IFERROR(__xludf.DUMMYFUNCTION("""COMPUTED_VALUE"""),0.0)</f>
        <v>0</v>
      </c>
      <c r="G8" s="99">
        <f>IFERROR(__xludf.DUMMYFUNCTION("""COMPUTED_VALUE"""),0.0)</f>
        <v>0</v>
      </c>
      <c r="H8" s="99">
        <f>IFERROR(__xludf.DUMMYFUNCTION("""COMPUTED_VALUE"""),0.0)</f>
        <v>0</v>
      </c>
      <c r="I8" s="99">
        <f>IFERROR(__xludf.DUMMYFUNCTION("""COMPUTED_VALUE"""),0.0)</f>
        <v>0</v>
      </c>
      <c r="J8" s="99">
        <f>IFERROR(__xludf.DUMMYFUNCTION("""COMPUTED_VALUE"""),0.0)</f>
        <v>0</v>
      </c>
    </row>
    <row r="9">
      <c r="A9" s="98">
        <f>IFERROR(__xludf.DUMMYFUNCTION("""COMPUTED_VALUE"""),43743.0)</f>
        <v>43743</v>
      </c>
      <c r="B9" s="96" t="str">
        <f>IFERROR(__xludf.DUMMYFUNCTION("""COMPUTED_VALUE"""),"COLLINS  OFFA")</f>
        <v>COLLINS  OFFA</v>
      </c>
      <c r="C9" s="96" t="str">
        <f>IFERROR(__xludf.DUMMYFUNCTION("""COMPUTED_VALUE"""),"BALANCE")</f>
        <v>BALANCE</v>
      </c>
      <c r="D9" s="99">
        <f>IFERROR(__xludf.DUMMYFUNCTION("""COMPUTED_VALUE"""),1090000.0)</f>
        <v>1090000</v>
      </c>
      <c r="E9" s="96" t="str">
        <f>IFERROR(__xludf.DUMMYFUNCTION("""COMPUTED_VALUE"""),"Prefinance")</f>
        <v>Prefinance</v>
      </c>
      <c r="F9" s="99">
        <f>IFERROR(__xludf.DUMMYFUNCTION("""COMPUTED_VALUE"""),0.0)</f>
        <v>0</v>
      </c>
      <c r="G9" s="99">
        <f>IFERROR(__xludf.DUMMYFUNCTION("""COMPUTED_VALUE"""),0.0)</f>
        <v>0</v>
      </c>
      <c r="H9" s="99">
        <f>IFERROR(__xludf.DUMMYFUNCTION("""COMPUTED_VALUE"""),0.0)</f>
        <v>0</v>
      </c>
      <c r="I9" s="99">
        <f>IFERROR(__xludf.DUMMYFUNCTION("""COMPUTED_VALUE"""),0.0)</f>
        <v>0</v>
      </c>
      <c r="J9" s="99">
        <f>IFERROR(__xludf.DUMMYFUNCTION("""COMPUTED_VALUE"""),0.0)</f>
        <v>0</v>
      </c>
    </row>
    <row r="10">
      <c r="A10" s="98">
        <f>IFERROR(__xludf.DUMMYFUNCTION("""COMPUTED_VALUE"""),43743.0)</f>
        <v>43743</v>
      </c>
      <c r="B10" s="96" t="str">
        <f>IFERROR(__xludf.DUMMYFUNCTION("""COMPUTED_VALUE"""),"SEPH ODEY")</f>
        <v>SEPH ODEY</v>
      </c>
      <c r="C10" s="96" t="str">
        <f>IFERROR(__xludf.DUMMYFUNCTION("""COMPUTED_VALUE"""),"BALANCE")</f>
        <v>BALANCE</v>
      </c>
      <c r="D10" s="99">
        <f>IFERROR(__xludf.DUMMYFUNCTION("""COMPUTED_VALUE"""),126000.0)</f>
        <v>126000</v>
      </c>
      <c r="E10" s="96" t="str">
        <f>IFERROR(__xludf.DUMMYFUNCTION("""COMPUTED_VALUE"""),"Prefinance")</f>
        <v>Prefinance</v>
      </c>
      <c r="F10" s="99">
        <f>IFERROR(__xludf.DUMMYFUNCTION("""COMPUTED_VALUE"""),0.0)</f>
        <v>0</v>
      </c>
      <c r="G10" s="99">
        <f>IFERROR(__xludf.DUMMYFUNCTION("""COMPUTED_VALUE"""),0.0)</f>
        <v>0</v>
      </c>
      <c r="H10" s="99">
        <f>IFERROR(__xludf.DUMMYFUNCTION("""COMPUTED_VALUE"""),0.0)</f>
        <v>0</v>
      </c>
      <c r="I10" s="99">
        <f>IFERROR(__xludf.DUMMYFUNCTION("""COMPUTED_VALUE"""),0.0)</f>
        <v>0</v>
      </c>
      <c r="J10" s="99">
        <f>IFERROR(__xludf.DUMMYFUNCTION("""COMPUTED_VALUE"""),0.0)</f>
        <v>0</v>
      </c>
    </row>
    <row r="11">
      <c r="A11" s="98">
        <f>IFERROR(__xludf.DUMMYFUNCTION("""COMPUTED_VALUE"""),43743.0)</f>
        <v>43743</v>
      </c>
      <c r="B11" s="96" t="str">
        <f>IFERROR(__xludf.DUMMYFUNCTION("""COMPUTED_VALUE"""),"OSIM MARIAM")</f>
        <v>OSIM MARIAM</v>
      </c>
      <c r="C11" s="96" t="str">
        <f>IFERROR(__xludf.DUMMYFUNCTION("""COMPUTED_VALUE"""),"BALANCE")</f>
        <v>BALANCE</v>
      </c>
      <c r="D11" s="99">
        <f>IFERROR(__xludf.DUMMYFUNCTION("""COMPUTED_VALUE"""),400000.0)</f>
        <v>400000</v>
      </c>
      <c r="E11" s="96" t="str">
        <f>IFERROR(__xludf.DUMMYFUNCTION("""COMPUTED_VALUE"""),"Prefinance")</f>
        <v>Prefinance</v>
      </c>
      <c r="F11" s="99">
        <f>IFERROR(__xludf.DUMMYFUNCTION("""COMPUTED_VALUE"""),0.0)</f>
        <v>0</v>
      </c>
      <c r="G11" s="99">
        <f>IFERROR(__xludf.DUMMYFUNCTION("""COMPUTED_VALUE"""),0.0)</f>
        <v>0</v>
      </c>
      <c r="H11" s="99">
        <f>IFERROR(__xludf.DUMMYFUNCTION("""COMPUTED_VALUE"""),0.0)</f>
        <v>0</v>
      </c>
      <c r="I11" s="99">
        <f>IFERROR(__xludf.DUMMYFUNCTION("""COMPUTED_VALUE"""),0.0)</f>
        <v>0</v>
      </c>
      <c r="J11" s="99">
        <f>IFERROR(__xludf.DUMMYFUNCTION("""COMPUTED_VALUE"""),0.0)</f>
        <v>0</v>
      </c>
    </row>
    <row r="12">
      <c r="A12" s="98">
        <f>IFERROR(__xludf.DUMMYFUNCTION("""COMPUTED_VALUE"""),43743.0)</f>
        <v>43743</v>
      </c>
      <c r="B12" s="96" t="str">
        <f>IFERROR(__xludf.DUMMYFUNCTION("""COMPUTED_VALUE"""),"ENYA HN")</f>
        <v>ENYA HN</v>
      </c>
      <c r="C12" s="96" t="str">
        <f>IFERROR(__xludf.DUMMYFUNCTION("""COMPUTED_VALUE"""),"BALANCE")</f>
        <v>BALANCE</v>
      </c>
      <c r="D12" s="99">
        <f>IFERROR(__xludf.DUMMYFUNCTION("""COMPUTED_VALUE"""),187000.0)</f>
        <v>187000</v>
      </c>
      <c r="E12" s="96" t="str">
        <f>IFERROR(__xludf.DUMMYFUNCTION("""COMPUTED_VALUE"""),"Prefinance")</f>
        <v>Prefinance</v>
      </c>
      <c r="F12" s="99">
        <f>IFERROR(__xludf.DUMMYFUNCTION("""COMPUTED_VALUE"""),0.0)</f>
        <v>0</v>
      </c>
      <c r="G12" s="99">
        <f>IFERROR(__xludf.DUMMYFUNCTION("""COMPUTED_VALUE"""),0.0)</f>
        <v>0</v>
      </c>
      <c r="H12" s="99">
        <f>IFERROR(__xludf.DUMMYFUNCTION("""COMPUTED_VALUE"""),0.0)</f>
        <v>0</v>
      </c>
      <c r="I12" s="99">
        <f>IFERROR(__xludf.DUMMYFUNCTION("""COMPUTED_VALUE"""),0.0)</f>
        <v>0</v>
      </c>
      <c r="J12" s="99">
        <f>IFERROR(__xludf.DUMMYFUNCTION("""COMPUTED_VALUE"""),0.0)</f>
        <v>0</v>
      </c>
    </row>
    <row r="13">
      <c r="A13" s="98">
        <f>IFERROR(__xludf.DUMMYFUNCTION("""COMPUTED_VALUE"""),43743.0)</f>
        <v>43743</v>
      </c>
      <c r="B13" s="96" t="str">
        <f>IFERROR(__xludf.DUMMYFUNCTION("""COMPUTED_VALUE"""),"BOSURU  BOSURU")</f>
        <v>BOSURU  BOSURU</v>
      </c>
      <c r="C13" s="96" t="str">
        <f>IFERROR(__xludf.DUMMYFUNCTION("""COMPUTED_VALUE"""),"BALANCE")</f>
        <v>BALANCE</v>
      </c>
      <c r="D13" s="99">
        <f>IFERROR(__xludf.DUMMYFUNCTION("""COMPUTED_VALUE"""),1000000.0)</f>
        <v>1000000</v>
      </c>
      <c r="E13" s="96" t="str">
        <f>IFERROR(__xludf.DUMMYFUNCTION("""COMPUTED_VALUE"""),"Prefinance")</f>
        <v>Prefinance</v>
      </c>
      <c r="F13" s="99">
        <f>IFERROR(__xludf.DUMMYFUNCTION("""COMPUTED_VALUE"""),0.0)</f>
        <v>0</v>
      </c>
      <c r="G13" s="99">
        <f>IFERROR(__xludf.DUMMYFUNCTION("""COMPUTED_VALUE"""),0.0)</f>
        <v>0</v>
      </c>
      <c r="H13" s="99">
        <f>IFERROR(__xludf.DUMMYFUNCTION("""COMPUTED_VALUE"""),0.0)</f>
        <v>0</v>
      </c>
      <c r="I13" s="99">
        <f>IFERROR(__xludf.DUMMYFUNCTION("""COMPUTED_VALUE"""),0.0)</f>
        <v>0</v>
      </c>
      <c r="J13" s="99">
        <f>IFERROR(__xludf.DUMMYFUNCTION("""COMPUTED_VALUE"""),0.0)</f>
        <v>0</v>
      </c>
    </row>
    <row r="14">
      <c r="A14" s="98">
        <f>IFERROR(__xludf.DUMMYFUNCTION("""COMPUTED_VALUE"""),43743.0)</f>
        <v>43743</v>
      </c>
      <c r="B14" s="96" t="str">
        <f>IFERROR(__xludf.DUMMYFUNCTION("""COMPUTED_VALUE"""),"ASOQUO SUNDAY")</f>
        <v>ASOQUO SUNDAY</v>
      </c>
      <c r="C14" s="96" t="str">
        <f>IFERROR(__xludf.DUMMYFUNCTION("""COMPUTED_VALUE"""),"BALANCE")</f>
        <v>BALANCE</v>
      </c>
      <c r="D14" s="99">
        <f>IFERROR(__xludf.DUMMYFUNCTION("""COMPUTED_VALUE"""),620000.0)</f>
        <v>620000</v>
      </c>
      <c r="E14" s="96" t="str">
        <f>IFERROR(__xludf.DUMMYFUNCTION("""COMPUTED_VALUE"""),"Prefinance")</f>
        <v>Prefinance</v>
      </c>
      <c r="F14" s="99">
        <f>IFERROR(__xludf.DUMMYFUNCTION("""COMPUTED_VALUE"""),0.0)</f>
        <v>0</v>
      </c>
      <c r="G14" s="99">
        <f>IFERROR(__xludf.DUMMYFUNCTION("""COMPUTED_VALUE"""),0.0)</f>
        <v>0</v>
      </c>
      <c r="H14" s="99">
        <f>IFERROR(__xludf.DUMMYFUNCTION("""COMPUTED_VALUE"""),0.0)</f>
        <v>0</v>
      </c>
      <c r="I14" s="99">
        <f>IFERROR(__xludf.DUMMYFUNCTION("""COMPUTED_VALUE"""),0.0)</f>
        <v>0</v>
      </c>
      <c r="J14" s="99">
        <f>IFERROR(__xludf.DUMMYFUNCTION("""COMPUTED_VALUE"""),0.0)</f>
        <v>0</v>
      </c>
    </row>
    <row r="15">
      <c r="A15" s="98">
        <f>IFERROR(__xludf.DUMMYFUNCTION("""COMPUTED_VALUE"""),43743.0)</f>
        <v>43743</v>
      </c>
      <c r="B15" s="96" t="str">
        <f>IFERROR(__xludf.DUMMYFUNCTION("""COMPUTED_VALUE"""),"OTU KOKO KEIBO")</f>
        <v>OTU KOKO KEIBO</v>
      </c>
      <c r="C15" s="96" t="str">
        <f>IFERROR(__xludf.DUMMYFUNCTION("""COMPUTED_VALUE"""),"BALANCE")</f>
        <v>BALANCE</v>
      </c>
      <c r="D15" s="99">
        <f>IFERROR(__xludf.DUMMYFUNCTION("""COMPUTED_VALUE"""),2399925.0)</f>
        <v>2399925</v>
      </c>
      <c r="E15" s="96" t="str">
        <f>IFERROR(__xludf.DUMMYFUNCTION("""COMPUTED_VALUE"""),"Prefinance")</f>
        <v>Prefinance</v>
      </c>
      <c r="F15" s="99">
        <f>IFERROR(__xludf.DUMMYFUNCTION("""COMPUTED_VALUE"""),0.0)</f>
        <v>0</v>
      </c>
      <c r="G15" s="99">
        <f>IFERROR(__xludf.DUMMYFUNCTION("""COMPUTED_VALUE"""),0.0)</f>
        <v>0</v>
      </c>
      <c r="H15" s="99">
        <f>IFERROR(__xludf.DUMMYFUNCTION("""COMPUTED_VALUE"""),0.0)</f>
        <v>0</v>
      </c>
      <c r="I15" s="99">
        <f>IFERROR(__xludf.DUMMYFUNCTION("""COMPUTED_VALUE"""),0.0)</f>
        <v>0</v>
      </c>
      <c r="J15" s="99">
        <f>IFERROR(__xludf.DUMMYFUNCTION("""COMPUTED_VALUE"""),0.0)</f>
        <v>0</v>
      </c>
    </row>
    <row r="16">
      <c r="A16" s="98">
        <f>IFERROR(__xludf.DUMMYFUNCTION("""COMPUTED_VALUE"""),43743.0)</f>
        <v>43743</v>
      </c>
      <c r="B16" s="96" t="str">
        <f>IFERROR(__xludf.DUMMYFUNCTION("""COMPUTED_VALUE"""),"AUGUSTINE IGBA")</f>
        <v>AUGUSTINE IGBA</v>
      </c>
      <c r="C16" s="96" t="str">
        <f>IFERROR(__xludf.DUMMYFUNCTION("""COMPUTED_VALUE"""),"BALANCE")</f>
        <v>BALANCE</v>
      </c>
      <c r="D16" s="99">
        <f>IFERROR(__xludf.DUMMYFUNCTION("""COMPUTED_VALUE"""),2.025962E7)</f>
        <v>20259620</v>
      </c>
      <c r="E16" s="96" t="str">
        <f>IFERROR(__xludf.DUMMYFUNCTION("""COMPUTED_VALUE"""),"Prefinance")</f>
        <v>Prefinance</v>
      </c>
      <c r="F16" s="99">
        <f>IFERROR(__xludf.DUMMYFUNCTION("""COMPUTED_VALUE"""),0.0)</f>
        <v>0</v>
      </c>
      <c r="G16" s="99">
        <f>IFERROR(__xludf.DUMMYFUNCTION("""COMPUTED_VALUE"""),0.0)</f>
        <v>0</v>
      </c>
      <c r="H16" s="99">
        <f>IFERROR(__xludf.DUMMYFUNCTION("""COMPUTED_VALUE"""),0.0)</f>
        <v>0</v>
      </c>
      <c r="I16" s="99">
        <f>IFERROR(__xludf.DUMMYFUNCTION("""COMPUTED_VALUE"""),0.0)</f>
        <v>0</v>
      </c>
      <c r="J16" s="99">
        <f>IFERROR(__xludf.DUMMYFUNCTION("""COMPUTED_VALUE"""),0.0)</f>
        <v>0</v>
      </c>
    </row>
    <row r="17">
      <c r="A17" s="98">
        <f>IFERROR(__xludf.DUMMYFUNCTION("""COMPUTED_VALUE"""),43743.0)</f>
        <v>43743</v>
      </c>
      <c r="B17" s="96" t="str">
        <f>IFERROR(__xludf.DUMMYFUNCTION("""COMPUTED_VALUE"""),"PETER JAMES")</f>
        <v>PETER JAMES</v>
      </c>
      <c r="C17" s="96" t="str">
        <f>IFERROR(__xludf.DUMMYFUNCTION("""COMPUTED_VALUE"""),"BALANCE")</f>
        <v>BALANCE</v>
      </c>
      <c r="D17" s="99">
        <f>IFERROR(__xludf.DUMMYFUNCTION("""COMPUTED_VALUE"""),340094.0)</f>
        <v>340094</v>
      </c>
      <c r="E17" s="96" t="str">
        <f>IFERROR(__xludf.DUMMYFUNCTION("""COMPUTED_VALUE"""),"Prefinance")</f>
        <v>Prefinance</v>
      </c>
      <c r="F17" s="99">
        <f>IFERROR(__xludf.DUMMYFUNCTION("""COMPUTED_VALUE"""),0.0)</f>
        <v>0</v>
      </c>
      <c r="G17" s="99">
        <f>IFERROR(__xludf.DUMMYFUNCTION("""COMPUTED_VALUE"""),0.0)</f>
        <v>0</v>
      </c>
      <c r="H17" s="99">
        <f>IFERROR(__xludf.DUMMYFUNCTION("""COMPUTED_VALUE"""),0.0)</f>
        <v>0</v>
      </c>
      <c r="I17" s="99">
        <f>IFERROR(__xludf.DUMMYFUNCTION("""COMPUTED_VALUE"""),0.0)</f>
        <v>0</v>
      </c>
      <c r="J17" s="99">
        <f>IFERROR(__xludf.DUMMYFUNCTION("""COMPUTED_VALUE"""),0.0)</f>
        <v>0</v>
      </c>
    </row>
    <row r="18">
      <c r="A18" s="98">
        <f>IFERROR(__xludf.DUMMYFUNCTION("""COMPUTED_VALUE"""),43743.0)</f>
        <v>43743</v>
      </c>
      <c r="B18" s="96" t="str">
        <f>IFERROR(__xludf.DUMMYFUNCTION("""COMPUTED_VALUE"""),"AYUK AYUK")</f>
        <v>AYUK AYUK</v>
      </c>
      <c r="C18" s="96" t="str">
        <f>IFERROR(__xludf.DUMMYFUNCTION("""COMPUTED_VALUE"""),"BALANCE")</f>
        <v>BALANCE</v>
      </c>
      <c r="D18" s="99">
        <f>IFERROR(__xludf.DUMMYFUNCTION("""COMPUTED_VALUE"""),120000.0)</f>
        <v>120000</v>
      </c>
      <c r="E18" s="96" t="str">
        <f>IFERROR(__xludf.DUMMYFUNCTION("""COMPUTED_VALUE"""),"Prefinance")</f>
        <v>Prefinance</v>
      </c>
      <c r="F18" s="99">
        <f>IFERROR(__xludf.DUMMYFUNCTION("""COMPUTED_VALUE"""),0.0)</f>
        <v>0</v>
      </c>
      <c r="G18" s="99">
        <f>IFERROR(__xludf.DUMMYFUNCTION("""COMPUTED_VALUE"""),0.0)</f>
        <v>0</v>
      </c>
      <c r="H18" s="99">
        <f>IFERROR(__xludf.DUMMYFUNCTION("""COMPUTED_VALUE"""),0.0)</f>
        <v>0</v>
      </c>
      <c r="I18" s="99">
        <f>IFERROR(__xludf.DUMMYFUNCTION("""COMPUTED_VALUE"""),0.0)</f>
        <v>0</v>
      </c>
      <c r="J18" s="99">
        <f>IFERROR(__xludf.DUMMYFUNCTION("""COMPUTED_VALUE"""),0.0)</f>
        <v>0</v>
      </c>
    </row>
    <row r="19">
      <c r="A19" s="98">
        <f>IFERROR(__xludf.DUMMYFUNCTION("""COMPUTED_VALUE"""),43743.0)</f>
        <v>43743</v>
      </c>
      <c r="B19" s="96" t="str">
        <f>IFERROR(__xludf.DUMMYFUNCTION("""COMPUTED_VALUE""")," MAXWELL AGRO")</f>
        <v> MAXWELL AGRO</v>
      </c>
      <c r="C19" s="96" t="str">
        <f>IFERROR(__xludf.DUMMYFUNCTION("""COMPUTED_VALUE"""),"BALANCE")</f>
        <v>BALANCE</v>
      </c>
      <c r="D19" s="99">
        <f>IFERROR(__xludf.DUMMYFUNCTION("""COMPUTED_VALUE"""),300000.0)</f>
        <v>300000</v>
      </c>
      <c r="E19" s="96" t="str">
        <f>IFERROR(__xludf.DUMMYFUNCTION("""COMPUTED_VALUE"""),"Prefinance")</f>
        <v>Prefinance</v>
      </c>
      <c r="F19" s="99">
        <f>IFERROR(__xludf.DUMMYFUNCTION("""COMPUTED_VALUE"""),0.0)</f>
        <v>0</v>
      </c>
      <c r="G19" s="99">
        <f>IFERROR(__xludf.DUMMYFUNCTION("""COMPUTED_VALUE"""),0.0)</f>
        <v>0</v>
      </c>
      <c r="H19" s="99">
        <f>IFERROR(__xludf.DUMMYFUNCTION("""COMPUTED_VALUE"""),0.0)</f>
        <v>0</v>
      </c>
      <c r="I19" s="99">
        <f>IFERROR(__xludf.DUMMYFUNCTION("""COMPUTED_VALUE"""),0.0)</f>
        <v>0</v>
      </c>
      <c r="J19" s="99">
        <f>IFERROR(__xludf.DUMMYFUNCTION("""COMPUTED_VALUE"""),0.0)</f>
        <v>0</v>
      </c>
    </row>
    <row r="20">
      <c r="A20" s="98">
        <f>IFERROR(__xludf.DUMMYFUNCTION("""COMPUTED_VALUE"""),43743.0)</f>
        <v>43743</v>
      </c>
      <c r="B20" s="96" t="str">
        <f>IFERROR(__xludf.DUMMYFUNCTION("""COMPUTED_VALUE"""),"RAPHEAL OKON")</f>
        <v>RAPHEAL OKON</v>
      </c>
      <c r="C20" s="96" t="str">
        <f>IFERROR(__xludf.DUMMYFUNCTION("""COMPUTED_VALUE"""),"BALANCE")</f>
        <v>BALANCE</v>
      </c>
      <c r="D20" s="99">
        <f>IFERROR(__xludf.DUMMYFUNCTION("""COMPUTED_VALUE"""),200000.0)</f>
        <v>200000</v>
      </c>
      <c r="E20" s="96" t="str">
        <f>IFERROR(__xludf.DUMMYFUNCTION("""COMPUTED_VALUE"""),"Prefinance")</f>
        <v>Prefinance</v>
      </c>
      <c r="F20" s="99">
        <f>IFERROR(__xludf.DUMMYFUNCTION("""COMPUTED_VALUE"""),0.0)</f>
        <v>0</v>
      </c>
      <c r="G20" s="99">
        <f>IFERROR(__xludf.DUMMYFUNCTION("""COMPUTED_VALUE"""),0.0)</f>
        <v>0</v>
      </c>
      <c r="H20" s="99">
        <f>IFERROR(__xludf.DUMMYFUNCTION("""COMPUTED_VALUE"""),0.0)</f>
        <v>0</v>
      </c>
      <c r="I20" s="99">
        <f>IFERROR(__xludf.DUMMYFUNCTION("""COMPUTED_VALUE"""),0.0)</f>
        <v>0</v>
      </c>
      <c r="J20" s="99">
        <f>IFERROR(__xludf.DUMMYFUNCTION("""COMPUTED_VALUE"""),0.0)</f>
        <v>0</v>
      </c>
    </row>
    <row r="21">
      <c r="A21" s="98">
        <f>IFERROR(__xludf.DUMMYFUNCTION("""COMPUTED_VALUE"""),43743.0)</f>
        <v>43743</v>
      </c>
      <c r="B21" s="96" t="str">
        <f>IFERROR(__xludf.DUMMYFUNCTION("""COMPUTED_VALUE"""),"EKABA ETTA")</f>
        <v>EKABA ETTA</v>
      </c>
      <c r="C21" s="96" t="str">
        <f>IFERROR(__xludf.DUMMYFUNCTION("""COMPUTED_VALUE"""),"BALANCE")</f>
        <v>BALANCE</v>
      </c>
      <c r="D21" s="99">
        <f>IFERROR(__xludf.DUMMYFUNCTION("""COMPUTED_VALUE"""),1200000.0)</f>
        <v>1200000</v>
      </c>
      <c r="E21" s="96" t="str">
        <f>IFERROR(__xludf.DUMMYFUNCTION("""COMPUTED_VALUE"""),"Prefinance")</f>
        <v>Prefinance</v>
      </c>
      <c r="F21" s="99">
        <f>IFERROR(__xludf.DUMMYFUNCTION("""COMPUTED_VALUE"""),0.0)</f>
        <v>0</v>
      </c>
      <c r="G21" s="99">
        <f>IFERROR(__xludf.DUMMYFUNCTION("""COMPUTED_VALUE"""),0.0)</f>
        <v>0</v>
      </c>
      <c r="H21" s="99">
        <f>IFERROR(__xludf.DUMMYFUNCTION("""COMPUTED_VALUE"""),0.0)</f>
        <v>0</v>
      </c>
      <c r="I21" s="99">
        <f>IFERROR(__xludf.DUMMYFUNCTION("""COMPUTED_VALUE"""),0.0)</f>
        <v>0</v>
      </c>
      <c r="J21" s="99">
        <f>IFERROR(__xludf.DUMMYFUNCTION("""COMPUTED_VALUE"""),0.0)</f>
        <v>0</v>
      </c>
    </row>
    <row r="22">
      <c r="A22" s="98">
        <f>IFERROR(__xludf.DUMMYFUNCTION("""COMPUTED_VALUE"""),43743.0)</f>
        <v>43743</v>
      </c>
      <c r="B22" s="96" t="str">
        <f>IFERROR(__xludf.DUMMYFUNCTION("""COMPUTED_VALUE"""),"LAWERENCE ETTA OGAR")</f>
        <v>LAWERENCE ETTA OGAR</v>
      </c>
      <c r="C22" s="96" t="str">
        <f>IFERROR(__xludf.DUMMYFUNCTION("""COMPUTED_VALUE"""),"BALANCE")</f>
        <v>BALANCE</v>
      </c>
      <c r="D22" s="99">
        <f>IFERROR(__xludf.DUMMYFUNCTION("""COMPUTED_VALUE"""),323719.0)</f>
        <v>323719</v>
      </c>
      <c r="E22" s="96" t="str">
        <f>IFERROR(__xludf.DUMMYFUNCTION("""COMPUTED_VALUE"""),"Prefinance")</f>
        <v>Prefinance</v>
      </c>
      <c r="F22" s="99">
        <f>IFERROR(__xludf.DUMMYFUNCTION("""COMPUTED_VALUE"""),0.0)</f>
        <v>0</v>
      </c>
      <c r="G22" s="99">
        <f>IFERROR(__xludf.DUMMYFUNCTION("""COMPUTED_VALUE"""),0.0)</f>
        <v>0</v>
      </c>
      <c r="H22" s="99">
        <f>IFERROR(__xludf.DUMMYFUNCTION("""COMPUTED_VALUE"""),0.0)</f>
        <v>0</v>
      </c>
      <c r="I22" s="99">
        <f>IFERROR(__xludf.DUMMYFUNCTION("""COMPUTED_VALUE"""),0.0)</f>
        <v>0</v>
      </c>
      <c r="J22" s="99">
        <f>IFERROR(__xludf.DUMMYFUNCTION("""COMPUTED_VALUE"""),0.0)</f>
        <v>0</v>
      </c>
    </row>
    <row r="23">
      <c r="A23" s="98">
        <f>IFERROR(__xludf.DUMMYFUNCTION("""COMPUTED_VALUE"""),43743.0)</f>
        <v>43743</v>
      </c>
      <c r="B23" s="96" t="str">
        <f>IFERROR(__xludf.DUMMYFUNCTION("""COMPUTED_VALUE"""),"LYDIA HNSON ")</f>
        <v>LYDIA HNSON </v>
      </c>
      <c r="C23" s="96" t="str">
        <f>IFERROR(__xludf.DUMMYFUNCTION("""COMPUTED_VALUE"""),"BALANCE")</f>
        <v>BALANCE</v>
      </c>
      <c r="D23" s="99">
        <f>IFERROR(__xludf.DUMMYFUNCTION("""COMPUTED_VALUE"""),2600000.0)</f>
        <v>2600000</v>
      </c>
      <c r="E23" s="96" t="str">
        <f>IFERROR(__xludf.DUMMYFUNCTION("""COMPUTED_VALUE"""),"Prefinance")</f>
        <v>Prefinance</v>
      </c>
      <c r="F23" s="99">
        <f>IFERROR(__xludf.DUMMYFUNCTION("""COMPUTED_VALUE"""),0.0)</f>
        <v>0</v>
      </c>
      <c r="G23" s="99">
        <f>IFERROR(__xludf.DUMMYFUNCTION("""COMPUTED_VALUE"""),0.0)</f>
        <v>0</v>
      </c>
      <c r="H23" s="99">
        <f>IFERROR(__xludf.DUMMYFUNCTION("""COMPUTED_VALUE"""),0.0)</f>
        <v>0</v>
      </c>
      <c r="I23" s="99">
        <f>IFERROR(__xludf.DUMMYFUNCTION("""COMPUTED_VALUE"""),0.0)</f>
        <v>0</v>
      </c>
      <c r="J23" s="99">
        <f>IFERROR(__xludf.DUMMYFUNCTION("""COMPUTED_VALUE"""),0.0)</f>
        <v>0</v>
      </c>
    </row>
    <row r="24">
      <c r="A24" s="98">
        <f>IFERROR(__xludf.DUMMYFUNCTION("""COMPUTED_VALUE"""),43743.0)</f>
        <v>43743</v>
      </c>
      <c r="B24" s="96" t="str">
        <f>IFERROR(__xludf.DUMMYFUNCTION("""COMPUTED_VALUE"""),"NAOMI")</f>
        <v>NAOMI</v>
      </c>
      <c r="C24" s="96" t="str">
        <f>IFERROR(__xludf.DUMMYFUNCTION("""COMPUTED_VALUE"""),"BALANCE")</f>
        <v>BALANCE</v>
      </c>
      <c r="D24" s="99">
        <f>IFERROR(__xludf.DUMMYFUNCTION("""COMPUTED_VALUE"""),1.3090265E7)</f>
        <v>13090265</v>
      </c>
      <c r="E24" s="96" t="str">
        <f>IFERROR(__xludf.DUMMYFUNCTION("""COMPUTED_VALUE"""),"Prefinance")</f>
        <v>Prefinance</v>
      </c>
      <c r="F24" s="99">
        <f>IFERROR(__xludf.DUMMYFUNCTION("""COMPUTED_VALUE"""),0.0)</f>
        <v>0</v>
      </c>
      <c r="G24" s="99">
        <f>IFERROR(__xludf.DUMMYFUNCTION("""COMPUTED_VALUE"""),0.0)</f>
        <v>0</v>
      </c>
      <c r="H24" s="99">
        <f>IFERROR(__xludf.DUMMYFUNCTION("""COMPUTED_VALUE"""),0.0)</f>
        <v>0</v>
      </c>
      <c r="I24" s="99">
        <f>IFERROR(__xludf.DUMMYFUNCTION("""COMPUTED_VALUE"""),0.0)</f>
        <v>0</v>
      </c>
      <c r="J24" s="99">
        <f>IFERROR(__xludf.DUMMYFUNCTION("""COMPUTED_VALUE"""),0.0)</f>
        <v>0</v>
      </c>
    </row>
    <row r="25">
      <c r="A25" s="98">
        <f>IFERROR(__xludf.DUMMYFUNCTION("""COMPUTED_VALUE"""),43743.0)</f>
        <v>43743</v>
      </c>
      <c r="B25" s="96" t="str">
        <f>IFERROR(__xludf.DUMMYFUNCTION("""COMPUTED_VALUE"""),"MAXWELL AGRO OBI")</f>
        <v>MAXWELL AGRO OBI</v>
      </c>
      <c r="C25" s="96" t="str">
        <f>IFERROR(__xludf.DUMMYFUNCTION("""COMPUTED_VALUE"""),"BALANCE")</f>
        <v>BALANCE</v>
      </c>
      <c r="D25" s="99">
        <f>IFERROR(__xludf.DUMMYFUNCTION("""COMPUTED_VALUE"""),500000.0)</f>
        <v>500000</v>
      </c>
      <c r="E25" s="96" t="str">
        <f>IFERROR(__xludf.DUMMYFUNCTION("""COMPUTED_VALUE"""),"Prefinance")</f>
        <v>Prefinance</v>
      </c>
      <c r="F25" s="99">
        <f>IFERROR(__xludf.DUMMYFUNCTION("""COMPUTED_VALUE"""),0.0)</f>
        <v>0</v>
      </c>
      <c r="G25" s="99">
        <f>IFERROR(__xludf.DUMMYFUNCTION("""COMPUTED_VALUE"""),0.0)</f>
        <v>0</v>
      </c>
      <c r="H25" s="99">
        <f>IFERROR(__xludf.DUMMYFUNCTION("""COMPUTED_VALUE"""),0.0)</f>
        <v>0</v>
      </c>
      <c r="I25" s="99">
        <f>IFERROR(__xludf.DUMMYFUNCTION("""COMPUTED_VALUE"""),0.0)</f>
        <v>0</v>
      </c>
      <c r="J25" s="99">
        <f>IFERROR(__xludf.DUMMYFUNCTION("""COMPUTED_VALUE"""),0.0)</f>
        <v>0</v>
      </c>
    </row>
    <row r="26">
      <c r="A26" s="98">
        <f>IFERROR(__xludf.DUMMYFUNCTION("""COMPUTED_VALUE"""),43743.0)</f>
        <v>43743</v>
      </c>
      <c r="B26" s="96" t="str">
        <f>IFERROR(__xludf.DUMMYFUNCTION("""COMPUTED_VALUE"""),"R.  MAXWELL AGRO")</f>
        <v>R.  MAXWELL AGRO</v>
      </c>
      <c r="C26" s="96" t="str">
        <f>IFERROR(__xludf.DUMMYFUNCTION("""COMPUTED_VALUE"""),"BALANCE")</f>
        <v>BALANCE</v>
      </c>
      <c r="D26" s="99">
        <f>IFERROR(__xludf.DUMMYFUNCTION("""COMPUTED_VALUE"""),840000.0)</f>
        <v>840000</v>
      </c>
      <c r="E26" s="96" t="str">
        <f>IFERROR(__xludf.DUMMYFUNCTION("""COMPUTED_VALUE"""),"Prefinance")</f>
        <v>Prefinance</v>
      </c>
      <c r="F26" s="99">
        <f>IFERROR(__xludf.DUMMYFUNCTION("""COMPUTED_VALUE"""),0.0)</f>
        <v>0</v>
      </c>
      <c r="G26" s="99">
        <f>IFERROR(__xludf.DUMMYFUNCTION("""COMPUTED_VALUE"""),0.0)</f>
        <v>0</v>
      </c>
      <c r="H26" s="99">
        <f>IFERROR(__xludf.DUMMYFUNCTION("""COMPUTED_VALUE"""),0.0)</f>
        <v>0</v>
      </c>
      <c r="I26" s="99">
        <f>IFERROR(__xludf.DUMMYFUNCTION("""COMPUTED_VALUE"""),0.0)</f>
        <v>0</v>
      </c>
      <c r="J26" s="99">
        <f>IFERROR(__xludf.DUMMYFUNCTION("""COMPUTED_VALUE"""),0.0)</f>
        <v>0</v>
      </c>
    </row>
    <row r="27">
      <c r="A27" s="98">
        <f>IFERROR(__xludf.DUMMYFUNCTION("""COMPUTED_VALUE"""),43743.0)</f>
        <v>43743</v>
      </c>
      <c r="B27" s="96" t="str">
        <f>IFERROR(__xludf.DUMMYFUNCTION("""COMPUTED_VALUE"""),"ABANG. BEN OLUM")</f>
        <v>ABANG. BEN OLUM</v>
      </c>
      <c r="C27" s="96" t="str">
        <f>IFERROR(__xludf.DUMMYFUNCTION("""COMPUTED_VALUE"""),"BALANCE")</f>
        <v>BALANCE</v>
      </c>
      <c r="D27" s="99">
        <f>IFERROR(__xludf.DUMMYFUNCTION("""COMPUTED_VALUE"""),920000.0)</f>
        <v>920000</v>
      </c>
      <c r="E27" s="96" t="str">
        <f>IFERROR(__xludf.DUMMYFUNCTION("""COMPUTED_VALUE"""),"Prefinance")</f>
        <v>Prefinance</v>
      </c>
      <c r="F27" s="99">
        <f>IFERROR(__xludf.DUMMYFUNCTION("""COMPUTED_VALUE"""),0.0)</f>
        <v>0</v>
      </c>
      <c r="G27" s="99">
        <f>IFERROR(__xludf.DUMMYFUNCTION("""COMPUTED_VALUE"""),0.0)</f>
        <v>0</v>
      </c>
      <c r="H27" s="99">
        <f>IFERROR(__xludf.DUMMYFUNCTION("""COMPUTED_VALUE"""),0.0)</f>
        <v>0</v>
      </c>
      <c r="I27" s="99">
        <f>IFERROR(__xludf.DUMMYFUNCTION("""COMPUTED_VALUE"""),0.0)</f>
        <v>0</v>
      </c>
      <c r="J27" s="99">
        <f>IFERROR(__xludf.DUMMYFUNCTION("""COMPUTED_VALUE"""),0.0)</f>
        <v>0</v>
      </c>
    </row>
    <row r="28">
      <c r="A28" s="98">
        <f>IFERROR(__xludf.DUMMYFUNCTION("""COMPUTED_VALUE"""),43743.0)</f>
        <v>43743</v>
      </c>
      <c r="B28" s="96" t="str">
        <f>IFERROR(__xludf.DUMMYFUNCTION("""COMPUTED_VALUE"""),"NYIAM FREDERICK JUSTINE")</f>
        <v>NYIAM FREDERICK JUSTINE</v>
      </c>
      <c r="C28" s="96" t="str">
        <f>IFERROR(__xludf.DUMMYFUNCTION("""COMPUTED_VALUE"""),"BALANCE")</f>
        <v>BALANCE</v>
      </c>
      <c r="D28" s="99">
        <f>IFERROR(__xludf.DUMMYFUNCTION("""COMPUTED_VALUE"""),400000.0)</f>
        <v>400000</v>
      </c>
      <c r="E28" s="96" t="str">
        <f>IFERROR(__xludf.DUMMYFUNCTION("""COMPUTED_VALUE"""),"Prefinance")</f>
        <v>Prefinance</v>
      </c>
      <c r="F28" s="99">
        <f>IFERROR(__xludf.DUMMYFUNCTION("""COMPUTED_VALUE"""),0.0)</f>
        <v>0</v>
      </c>
      <c r="G28" s="99">
        <f>IFERROR(__xludf.DUMMYFUNCTION("""COMPUTED_VALUE"""),0.0)</f>
        <v>0</v>
      </c>
      <c r="H28" s="99">
        <f>IFERROR(__xludf.DUMMYFUNCTION("""COMPUTED_VALUE"""),0.0)</f>
        <v>0</v>
      </c>
      <c r="I28" s="99">
        <f>IFERROR(__xludf.DUMMYFUNCTION("""COMPUTED_VALUE"""),0.0)</f>
        <v>0</v>
      </c>
      <c r="J28" s="99">
        <f>IFERROR(__xludf.DUMMYFUNCTION("""COMPUTED_VALUE"""),0.0)</f>
        <v>0</v>
      </c>
    </row>
    <row r="29">
      <c r="A29" s="98">
        <f>IFERROR(__xludf.DUMMYFUNCTION("""COMPUTED_VALUE"""),43743.0)</f>
        <v>43743</v>
      </c>
      <c r="B29" s="96" t="str">
        <f>IFERROR(__xludf.DUMMYFUNCTION("""COMPUTED_VALUE"""),"RI SAMP")</f>
        <v>RI SAMP</v>
      </c>
      <c r="C29" s="96" t="str">
        <f>IFERROR(__xludf.DUMMYFUNCTION("""COMPUTED_VALUE"""),"BALANCE")</f>
        <v>BALANCE</v>
      </c>
      <c r="D29" s="99">
        <f>IFERROR(__xludf.DUMMYFUNCTION("""COMPUTED_VALUE"""),1000000.0)</f>
        <v>1000000</v>
      </c>
      <c r="E29" s="96" t="str">
        <f>IFERROR(__xludf.DUMMYFUNCTION("""COMPUTED_VALUE"""),"Prefinance")</f>
        <v>Prefinance</v>
      </c>
      <c r="F29" s="99">
        <f>IFERROR(__xludf.DUMMYFUNCTION("""COMPUTED_VALUE"""),0.0)</f>
        <v>0</v>
      </c>
      <c r="G29" s="99">
        <f>IFERROR(__xludf.DUMMYFUNCTION("""COMPUTED_VALUE"""),0.0)</f>
        <v>0</v>
      </c>
      <c r="H29" s="99">
        <f>IFERROR(__xludf.DUMMYFUNCTION("""COMPUTED_VALUE"""),0.0)</f>
        <v>0</v>
      </c>
      <c r="I29" s="99">
        <f>IFERROR(__xludf.DUMMYFUNCTION("""COMPUTED_VALUE"""),0.0)</f>
        <v>0</v>
      </c>
      <c r="J29" s="99">
        <f>IFERROR(__xludf.DUMMYFUNCTION("""COMPUTED_VALUE"""),0.0)</f>
        <v>0</v>
      </c>
    </row>
    <row r="30">
      <c r="A30" s="98">
        <f>IFERROR(__xludf.DUMMYFUNCTION("""COMPUTED_VALUE"""),43743.0)</f>
        <v>43743</v>
      </c>
      <c r="B30" s="96" t="str">
        <f>IFERROR(__xludf.DUMMYFUNCTION("""COMPUTED_VALUE"""),"REMMY BODES")</f>
        <v>REMMY BODES</v>
      </c>
      <c r="C30" s="96" t="str">
        <f>IFERROR(__xludf.DUMMYFUNCTION("""COMPUTED_VALUE"""),"BALANCE")</f>
        <v>BALANCE</v>
      </c>
      <c r="D30" s="99">
        <f>IFERROR(__xludf.DUMMYFUNCTION("""COMPUTED_VALUE"""),510000.0)</f>
        <v>510000</v>
      </c>
      <c r="E30" s="96" t="str">
        <f>IFERROR(__xludf.DUMMYFUNCTION("""COMPUTED_VALUE"""),"Prefinance")</f>
        <v>Prefinance</v>
      </c>
      <c r="F30" s="99">
        <f>IFERROR(__xludf.DUMMYFUNCTION("""COMPUTED_VALUE"""),0.0)</f>
        <v>0</v>
      </c>
      <c r="G30" s="99">
        <f>IFERROR(__xludf.DUMMYFUNCTION("""COMPUTED_VALUE"""),0.0)</f>
        <v>0</v>
      </c>
      <c r="H30" s="99">
        <f>IFERROR(__xludf.DUMMYFUNCTION("""COMPUTED_VALUE"""),0.0)</f>
        <v>0</v>
      </c>
      <c r="I30" s="99">
        <f>IFERROR(__xludf.DUMMYFUNCTION("""COMPUTED_VALUE"""),0.0)</f>
        <v>0</v>
      </c>
      <c r="J30" s="99">
        <f>IFERROR(__xludf.DUMMYFUNCTION("""COMPUTED_VALUE"""),0.0)</f>
        <v>0</v>
      </c>
    </row>
    <row r="31">
      <c r="A31" s="98">
        <f>IFERROR(__xludf.DUMMYFUNCTION("""COMPUTED_VALUE"""),43743.0)</f>
        <v>43743</v>
      </c>
      <c r="B31" s="96" t="str">
        <f>IFERROR(__xludf.DUMMYFUNCTION("""COMPUTED_VALUE"""),"ANDRDEW GREAT")</f>
        <v>ANDRDEW GREAT</v>
      </c>
      <c r="C31" s="96" t="str">
        <f>IFERROR(__xludf.DUMMYFUNCTION("""COMPUTED_VALUE"""),"BALANCE")</f>
        <v>BALANCE</v>
      </c>
      <c r="D31" s="99">
        <f>IFERROR(__xludf.DUMMYFUNCTION("""COMPUTED_VALUE"""),1517570.0)</f>
        <v>1517570</v>
      </c>
      <c r="E31" s="96" t="str">
        <f>IFERROR(__xludf.DUMMYFUNCTION("""COMPUTED_VALUE"""),"Prefinance")</f>
        <v>Prefinance</v>
      </c>
      <c r="F31" s="99">
        <f>IFERROR(__xludf.DUMMYFUNCTION("""COMPUTED_VALUE"""),0.0)</f>
        <v>0</v>
      </c>
      <c r="G31" s="99">
        <f>IFERROR(__xludf.DUMMYFUNCTION("""COMPUTED_VALUE"""),0.0)</f>
        <v>0</v>
      </c>
      <c r="H31" s="99">
        <f>IFERROR(__xludf.DUMMYFUNCTION("""COMPUTED_VALUE"""),0.0)</f>
        <v>0</v>
      </c>
      <c r="I31" s="99">
        <f>IFERROR(__xludf.DUMMYFUNCTION("""COMPUTED_VALUE"""),0.0)</f>
        <v>0</v>
      </c>
      <c r="J31" s="99">
        <f>IFERROR(__xludf.DUMMYFUNCTION("""COMPUTED_VALUE"""),0.0)</f>
        <v>0</v>
      </c>
    </row>
    <row r="32">
      <c r="A32" s="98">
        <f>IFERROR(__xludf.DUMMYFUNCTION("""COMPUTED_VALUE"""),43743.0)</f>
        <v>43743</v>
      </c>
      <c r="B32" s="96" t="str">
        <f>IFERROR(__xludf.DUMMYFUNCTION("""COMPUTED_VALUE"""),"NDOMA BODE I.D")</f>
        <v>NDOMA BODE I.D</v>
      </c>
      <c r="C32" s="96" t="str">
        <f>IFERROR(__xludf.DUMMYFUNCTION("""COMPUTED_VALUE"""),"BALANCE")</f>
        <v>BALANCE</v>
      </c>
      <c r="D32" s="99">
        <f>IFERROR(__xludf.DUMMYFUNCTION("""COMPUTED_VALUE"""),800000.0)</f>
        <v>800000</v>
      </c>
      <c r="E32" s="96" t="str">
        <f>IFERROR(__xludf.DUMMYFUNCTION("""COMPUTED_VALUE"""),"Prefinance")</f>
        <v>Prefinance</v>
      </c>
      <c r="F32" s="99">
        <f>IFERROR(__xludf.DUMMYFUNCTION("""COMPUTED_VALUE"""),0.0)</f>
        <v>0</v>
      </c>
      <c r="G32" s="99">
        <f>IFERROR(__xludf.DUMMYFUNCTION("""COMPUTED_VALUE"""),0.0)</f>
        <v>0</v>
      </c>
      <c r="H32" s="99">
        <f>IFERROR(__xludf.DUMMYFUNCTION("""COMPUTED_VALUE"""),0.0)</f>
        <v>0</v>
      </c>
      <c r="I32" s="99">
        <f>IFERROR(__xludf.DUMMYFUNCTION("""COMPUTED_VALUE"""),0.0)</f>
        <v>0</v>
      </c>
      <c r="J32" s="99">
        <f>IFERROR(__xludf.DUMMYFUNCTION("""COMPUTED_VALUE"""),0.0)</f>
        <v>0</v>
      </c>
    </row>
    <row r="33">
      <c r="A33" s="98">
        <f>IFERROR(__xludf.DUMMYFUNCTION("""COMPUTED_VALUE"""),43743.0)</f>
        <v>43743</v>
      </c>
      <c r="B33" s="96" t="str">
        <f>IFERROR(__xludf.DUMMYFUNCTION("""COMPUTED_VALUE"""),"ALLI SYLVESTER")</f>
        <v>ALLI SYLVESTER</v>
      </c>
      <c r="C33" s="96" t="str">
        <f>IFERROR(__xludf.DUMMYFUNCTION("""COMPUTED_VALUE"""),"BALANCE")</f>
        <v>BALANCE</v>
      </c>
      <c r="D33" s="99">
        <f>IFERROR(__xludf.DUMMYFUNCTION("""COMPUTED_VALUE"""),2376910.0)</f>
        <v>2376910</v>
      </c>
      <c r="E33" s="96" t="str">
        <f>IFERROR(__xludf.DUMMYFUNCTION("""COMPUTED_VALUE"""),"Prefinance")</f>
        <v>Prefinance</v>
      </c>
      <c r="F33" s="99">
        <f>IFERROR(__xludf.DUMMYFUNCTION("""COMPUTED_VALUE"""),0.0)</f>
        <v>0</v>
      </c>
      <c r="G33" s="99">
        <f>IFERROR(__xludf.DUMMYFUNCTION("""COMPUTED_VALUE"""),0.0)</f>
        <v>0</v>
      </c>
      <c r="H33" s="99">
        <f>IFERROR(__xludf.DUMMYFUNCTION("""COMPUTED_VALUE"""),0.0)</f>
        <v>0</v>
      </c>
      <c r="I33" s="99">
        <f>IFERROR(__xludf.DUMMYFUNCTION("""COMPUTED_VALUE"""),0.0)</f>
        <v>0</v>
      </c>
      <c r="J33" s="99">
        <f>IFERROR(__xludf.DUMMYFUNCTION("""COMPUTED_VALUE"""),0.0)</f>
        <v>0</v>
      </c>
    </row>
    <row r="34">
      <c r="A34" s="98">
        <f>IFERROR(__xludf.DUMMYFUNCTION("""COMPUTED_VALUE"""),43743.0)</f>
        <v>43743</v>
      </c>
      <c r="B34" s="96" t="str">
        <f>IFERROR(__xludf.DUMMYFUNCTION("""COMPUTED_VALUE""")," OP OJUA")</f>
        <v> OP OJUA</v>
      </c>
      <c r="C34" s="96" t="str">
        <f>IFERROR(__xludf.DUMMYFUNCTION("""COMPUTED_VALUE"""),"BALANCE")</f>
        <v>BALANCE</v>
      </c>
      <c r="D34" s="99">
        <f>IFERROR(__xludf.DUMMYFUNCTION("""COMPUTED_VALUE"""),46550.0)</f>
        <v>46550</v>
      </c>
      <c r="E34" s="96" t="str">
        <f>IFERROR(__xludf.DUMMYFUNCTION("""COMPUTED_VALUE"""),"Prefinance")</f>
        <v>Prefinance</v>
      </c>
      <c r="F34" s="99">
        <f>IFERROR(__xludf.DUMMYFUNCTION("""COMPUTED_VALUE"""),0.0)</f>
        <v>0</v>
      </c>
      <c r="G34" s="99">
        <f>IFERROR(__xludf.DUMMYFUNCTION("""COMPUTED_VALUE"""),0.0)</f>
        <v>0</v>
      </c>
      <c r="H34" s="99">
        <f>IFERROR(__xludf.DUMMYFUNCTION("""COMPUTED_VALUE"""),0.0)</f>
        <v>0</v>
      </c>
      <c r="I34" s="99">
        <f>IFERROR(__xludf.DUMMYFUNCTION("""COMPUTED_VALUE"""),0.0)</f>
        <v>0</v>
      </c>
      <c r="J34" s="99">
        <f>IFERROR(__xludf.DUMMYFUNCTION("""COMPUTED_VALUE"""),0.0)</f>
        <v>0</v>
      </c>
    </row>
    <row r="35">
      <c r="A35" s="98">
        <f>IFERROR(__xludf.DUMMYFUNCTION("""COMPUTED_VALUE"""),43743.0)</f>
        <v>43743</v>
      </c>
      <c r="B35" s="96" t="str">
        <f>IFERROR(__xludf.DUMMYFUNCTION("""COMPUTED_VALUE"""),"HN KEIBO")</f>
        <v>HN KEIBO</v>
      </c>
      <c r="C35" s="96" t="str">
        <f>IFERROR(__xludf.DUMMYFUNCTION("""COMPUTED_VALUE"""),"BALANCE")</f>
        <v>BALANCE</v>
      </c>
      <c r="D35" s="99">
        <f>IFERROR(__xludf.DUMMYFUNCTION("""COMPUTED_VALUE"""),249707.0)</f>
        <v>249707</v>
      </c>
      <c r="E35" s="96" t="str">
        <f>IFERROR(__xludf.DUMMYFUNCTION("""COMPUTED_VALUE"""),"Prefinance")</f>
        <v>Prefinance</v>
      </c>
      <c r="F35" s="99">
        <f>IFERROR(__xludf.DUMMYFUNCTION("""COMPUTED_VALUE"""),0.0)</f>
        <v>0</v>
      </c>
      <c r="G35" s="99">
        <f>IFERROR(__xludf.DUMMYFUNCTION("""COMPUTED_VALUE"""),0.0)</f>
        <v>0</v>
      </c>
      <c r="H35" s="99">
        <f>IFERROR(__xludf.DUMMYFUNCTION("""COMPUTED_VALUE"""),0.0)</f>
        <v>0</v>
      </c>
      <c r="I35" s="99">
        <f>IFERROR(__xludf.DUMMYFUNCTION("""COMPUTED_VALUE"""),0.0)</f>
        <v>0</v>
      </c>
      <c r="J35" s="99">
        <f>IFERROR(__xludf.DUMMYFUNCTION("""COMPUTED_VALUE"""),0.0)</f>
        <v>0</v>
      </c>
    </row>
    <row r="36">
      <c r="A36" s="98">
        <f>IFERROR(__xludf.DUMMYFUNCTION("""COMPUTED_VALUE"""),43743.0)</f>
        <v>43743</v>
      </c>
      <c r="B36" s="96" t="str">
        <f>IFERROR(__xludf.DUMMYFUNCTION("""COMPUTED_VALUE""")," OP OCHICHIE")</f>
        <v> OP OCHICHIE</v>
      </c>
      <c r="C36" s="96" t="str">
        <f>IFERROR(__xludf.DUMMYFUNCTION("""COMPUTED_VALUE"""),"BALANCE")</f>
        <v>BALANCE</v>
      </c>
      <c r="D36" s="99">
        <f>IFERROR(__xludf.DUMMYFUNCTION("""COMPUTED_VALUE"""),535525.0)</f>
        <v>535525</v>
      </c>
      <c r="E36" s="96" t="str">
        <f>IFERROR(__xludf.DUMMYFUNCTION("""COMPUTED_VALUE"""),"Prefinance")</f>
        <v>Prefinance</v>
      </c>
      <c r="F36" s="99">
        <f>IFERROR(__xludf.DUMMYFUNCTION("""COMPUTED_VALUE"""),0.0)</f>
        <v>0</v>
      </c>
      <c r="G36" s="99">
        <f>IFERROR(__xludf.DUMMYFUNCTION("""COMPUTED_VALUE"""),0.0)</f>
        <v>0</v>
      </c>
      <c r="H36" s="99">
        <f>IFERROR(__xludf.DUMMYFUNCTION("""COMPUTED_VALUE"""),0.0)</f>
        <v>0</v>
      </c>
      <c r="I36" s="99">
        <f>IFERROR(__xludf.DUMMYFUNCTION("""COMPUTED_VALUE"""),0.0)</f>
        <v>0</v>
      </c>
      <c r="J36" s="99">
        <f>IFERROR(__xludf.DUMMYFUNCTION("""COMPUTED_VALUE"""),0.0)</f>
        <v>0</v>
      </c>
    </row>
    <row r="37">
      <c r="A37" s="98">
        <f>IFERROR(__xludf.DUMMYFUNCTION("""COMPUTED_VALUE"""),43743.0)</f>
        <v>43743</v>
      </c>
      <c r="B37" s="96" t="str">
        <f>IFERROR(__xludf.DUMMYFUNCTION("""COMPUTED_VALUE"""),"PETER KEIBO SIDE")</f>
        <v>PETER KEIBO SIDE</v>
      </c>
      <c r="C37" s="96" t="str">
        <f>IFERROR(__xludf.DUMMYFUNCTION("""COMPUTED_VALUE"""),"BALANCE")</f>
        <v>BALANCE</v>
      </c>
      <c r="D37" s="99">
        <f>IFERROR(__xludf.DUMMYFUNCTION("""COMPUTED_VALUE"""),1318980.0)</f>
        <v>1318980</v>
      </c>
      <c r="E37" s="96" t="str">
        <f>IFERROR(__xludf.DUMMYFUNCTION("""COMPUTED_VALUE"""),"Prefinance")</f>
        <v>Prefinance</v>
      </c>
      <c r="F37" s="99">
        <f>IFERROR(__xludf.DUMMYFUNCTION("""COMPUTED_VALUE"""),0.0)</f>
        <v>0</v>
      </c>
      <c r="G37" s="99">
        <f>IFERROR(__xludf.DUMMYFUNCTION("""COMPUTED_VALUE"""),0.0)</f>
        <v>0</v>
      </c>
      <c r="H37" s="99">
        <f>IFERROR(__xludf.DUMMYFUNCTION("""COMPUTED_VALUE"""),0.0)</f>
        <v>0</v>
      </c>
      <c r="I37" s="99">
        <f>IFERROR(__xludf.DUMMYFUNCTION("""COMPUTED_VALUE"""),0.0)</f>
        <v>0</v>
      </c>
      <c r="J37" s="99">
        <f>IFERROR(__xludf.DUMMYFUNCTION("""COMPUTED_VALUE"""),0.0)</f>
        <v>0</v>
      </c>
    </row>
    <row r="38">
      <c r="A38" s="98">
        <f>IFERROR(__xludf.DUMMYFUNCTION("""COMPUTED_VALUE"""),43743.0)</f>
        <v>43743</v>
      </c>
      <c r="B38" s="96" t="str">
        <f>IFERROR(__xludf.DUMMYFUNCTION("""COMPUTED_VALUE"""),"CONFIDENCE")</f>
        <v>CONFIDENCE</v>
      </c>
      <c r="C38" s="96" t="str">
        <f>IFERROR(__xludf.DUMMYFUNCTION("""COMPUTED_VALUE"""),"BALANCE")</f>
        <v>BALANCE</v>
      </c>
      <c r="D38" s="99">
        <f>IFERROR(__xludf.DUMMYFUNCTION("""COMPUTED_VALUE"""),300000.0)</f>
        <v>300000</v>
      </c>
      <c r="E38" s="96" t="str">
        <f>IFERROR(__xludf.DUMMYFUNCTION("""COMPUTED_VALUE"""),"Prefinance")</f>
        <v>Prefinance</v>
      </c>
      <c r="F38" s="99">
        <f>IFERROR(__xludf.DUMMYFUNCTION("""COMPUTED_VALUE"""),0.0)</f>
        <v>0</v>
      </c>
      <c r="G38" s="99">
        <f>IFERROR(__xludf.DUMMYFUNCTION("""COMPUTED_VALUE"""),0.0)</f>
        <v>0</v>
      </c>
      <c r="H38" s="99">
        <f>IFERROR(__xludf.DUMMYFUNCTION("""COMPUTED_VALUE"""),0.0)</f>
        <v>0</v>
      </c>
      <c r="I38" s="99">
        <f>IFERROR(__xludf.DUMMYFUNCTION("""COMPUTED_VALUE"""),0.0)</f>
        <v>0</v>
      </c>
      <c r="J38" s="99">
        <f>IFERROR(__xludf.DUMMYFUNCTION("""COMPUTED_VALUE"""),0.0)</f>
        <v>0</v>
      </c>
    </row>
    <row r="39">
      <c r="A39" s="98">
        <f>IFERROR(__xludf.DUMMYFUNCTION("""COMPUTED_VALUE"""),43743.0)</f>
        <v>43743</v>
      </c>
      <c r="B39" s="96" t="str">
        <f>IFERROR(__xludf.DUMMYFUNCTION("""COMPUTED_VALUE"""),"LAI BIG MAN")</f>
        <v>LAI BIG MAN</v>
      </c>
      <c r="C39" s="96" t="str">
        <f>IFERROR(__xludf.DUMMYFUNCTION("""COMPUTED_VALUE"""),"BALANCE")</f>
        <v>BALANCE</v>
      </c>
      <c r="D39" s="99">
        <f>IFERROR(__xludf.DUMMYFUNCTION("""COMPUTED_VALUE"""),200000.0)</f>
        <v>200000</v>
      </c>
      <c r="E39" s="96" t="str">
        <f>IFERROR(__xludf.DUMMYFUNCTION("""COMPUTED_VALUE"""),"Prefinance")</f>
        <v>Prefinance</v>
      </c>
      <c r="F39" s="99">
        <f>IFERROR(__xludf.DUMMYFUNCTION("""COMPUTED_VALUE"""),0.0)</f>
        <v>0</v>
      </c>
      <c r="G39" s="99">
        <f>IFERROR(__xludf.DUMMYFUNCTION("""COMPUTED_VALUE"""),0.0)</f>
        <v>0</v>
      </c>
      <c r="H39" s="99">
        <f>IFERROR(__xludf.DUMMYFUNCTION("""COMPUTED_VALUE"""),0.0)</f>
        <v>0</v>
      </c>
      <c r="I39" s="99">
        <f>IFERROR(__xludf.DUMMYFUNCTION("""COMPUTED_VALUE"""),0.0)</f>
        <v>0</v>
      </c>
      <c r="J39" s="99">
        <f>IFERROR(__xludf.DUMMYFUNCTION("""COMPUTED_VALUE"""),0.0)</f>
        <v>0</v>
      </c>
    </row>
    <row r="40">
      <c r="A40" s="98">
        <f>IFERROR(__xludf.DUMMYFUNCTION("""COMPUTED_VALUE"""),43743.0)</f>
        <v>43743</v>
      </c>
      <c r="B40" s="96" t="str">
        <f>IFERROR(__xludf.DUMMYFUNCTION("""COMPUTED_VALUE"""),"ABANG TATAW CAMEROUN")</f>
        <v>ABANG TATAW CAMEROUN</v>
      </c>
      <c r="C40" s="96" t="str">
        <f>IFERROR(__xludf.DUMMYFUNCTION("""COMPUTED_VALUE"""),"BALANCE")</f>
        <v>BALANCE</v>
      </c>
      <c r="D40" s="99">
        <f>IFERROR(__xludf.DUMMYFUNCTION("""COMPUTED_VALUE"""),16000.0)</f>
        <v>16000</v>
      </c>
      <c r="E40" s="96" t="str">
        <f>IFERROR(__xludf.DUMMYFUNCTION("""COMPUTED_VALUE"""),"Prefinance")</f>
        <v>Prefinance</v>
      </c>
      <c r="F40" s="99">
        <f>IFERROR(__xludf.DUMMYFUNCTION("""COMPUTED_VALUE"""),0.0)</f>
        <v>0</v>
      </c>
      <c r="G40" s="99">
        <f>IFERROR(__xludf.DUMMYFUNCTION("""COMPUTED_VALUE"""),0.0)</f>
        <v>0</v>
      </c>
      <c r="H40" s="99">
        <f>IFERROR(__xludf.DUMMYFUNCTION("""COMPUTED_VALUE"""),0.0)</f>
        <v>0</v>
      </c>
      <c r="I40" s="99">
        <f>IFERROR(__xludf.DUMMYFUNCTION("""COMPUTED_VALUE"""),0.0)</f>
        <v>0</v>
      </c>
      <c r="J40" s="99">
        <f>IFERROR(__xludf.DUMMYFUNCTION("""COMPUTED_VALUE"""),0.0)</f>
        <v>0</v>
      </c>
    </row>
    <row r="41">
      <c r="A41" s="98">
        <f>IFERROR(__xludf.DUMMYFUNCTION("""COMPUTED_VALUE"""),43743.0)</f>
        <v>43743</v>
      </c>
      <c r="B41" s="96" t="str">
        <f>IFERROR(__xludf.DUMMYFUNCTION("""COMPUTED_VALUE"""),"ABANG FREDINARD")</f>
        <v>ABANG FREDINARD</v>
      </c>
      <c r="C41" s="96" t="str">
        <f>IFERROR(__xludf.DUMMYFUNCTION("""COMPUTED_VALUE"""),"BALANCE")</f>
        <v>BALANCE</v>
      </c>
      <c r="D41" s="99">
        <f>IFERROR(__xludf.DUMMYFUNCTION("""COMPUTED_VALUE"""),30000.0)</f>
        <v>30000</v>
      </c>
      <c r="E41" s="96" t="str">
        <f>IFERROR(__xludf.DUMMYFUNCTION("""COMPUTED_VALUE"""),"Prefinance")</f>
        <v>Prefinance</v>
      </c>
      <c r="F41" s="99">
        <f>IFERROR(__xludf.DUMMYFUNCTION("""COMPUTED_VALUE"""),0.0)</f>
        <v>0</v>
      </c>
      <c r="G41" s="99">
        <f>IFERROR(__xludf.DUMMYFUNCTION("""COMPUTED_VALUE"""),0.0)</f>
        <v>0</v>
      </c>
      <c r="H41" s="99">
        <f>IFERROR(__xludf.DUMMYFUNCTION("""COMPUTED_VALUE"""),0.0)</f>
        <v>0</v>
      </c>
      <c r="I41" s="99">
        <f>IFERROR(__xludf.DUMMYFUNCTION("""COMPUTED_VALUE"""),0.0)</f>
        <v>0</v>
      </c>
      <c r="J41" s="99">
        <f>IFERROR(__xludf.DUMMYFUNCTION("""COMPUTED_VALUE"""),0.0)</f>
        <v>0</v>
      </c>
    </row>
    <row r="42">
      <c r="A42" s="98">
        <f>IFERROR(__xludf.DUMMYFUNCTION("""COMPUTED_VALUE"""),43743.0)</f>
        <v>43743</v>
      </c>
      <c r="B42" s="96" t="str">
        <f>IFERROR(__xludf.DUMMYFUNCTION("""COMPUTED_VALUE"""),"KOKOK PRIN")</f>
        <v>KOKOK PRIN</v>
      </c>
      <c r="C42" s="96" t="str">
        <f>IFERROR(__xludf.DUMMYFUNCTION("""COMPUTED_VALUE"""),"BALANCE")</f>
        <v>BALANCE</v>
      </c>
      <c r="D42" s="99">
        <f>IFERROR(__xludf.DUMMYFUNCTION("""COMPUTED_VALUE"""),215000.0)</f>
        <v>215000</v>
      </c>
      <c r="E42" s="96" t="str">
        <f>IFERROR(__xludf.DUMMYFUNCTION("""COMPUTED_VALUE"""),"Prefinance")</f>
        <v>Prefinance</v>
      </c>
      <c r="F42" s="99">
        <f>IFERROR(__xludf.DUMMYFUNCTION("""COMPUTED_VALUE"""),0.0)</f>
        <v>0</v>
      </c>
      <c r="G42" s="99">
        <f>IFERROR(__xludf.DUMMYFUNCTION("""COMPUTED_VALUE"""),0.0)</f>
        <v>0</v>
      </c>
      <c r="H42" s="99">
        <f>IFERROR(__xludf.DUMMYFUNCTION("""COMPUTED_VALUE"""),0.0)</f>
        <v>0</v>
      </c>
      <c r="I42" s="99">
        <f>IFERROR(__xludf.DUMMYFUNCTION("""COMPUTED_VALUE"""),0.0)</f>
        <v>0</v>
      </c>
      <c r="J42" s="99">
        <f>IFERROR(__xludf.DUMMYFUNCTION("""COMPUTED_VALUE"""),0.0)</f>
        <v>0</v>
      </c>
    </row>
    <row r="43">
      <c r="A43" s="98">
        <f>IFERROR(__xludf.DUMMYFUNCTION("""COMPUTED_VALUE"""),44026.0)</f>
        <v>44026</v>
      </c>
      <c r="B43" s="96" t="str">
        <f>IFERROR(__xludf.DUMMYFUNCTION("""COMPUTED_VALUE"""),"BABA NDIFON")</f>
        <v>BABA NDIFON</v>
      </c>
      <c r="C43" s="96" t="str">
        <f>IFERROR(__xludf.DUMMYFUNCTION("""COMPUTED_VALUE"""),"BALANCE")</f>
        <v>BALANCE</v>
      </c>
      <c r="D43" s="99">
        <f>IFERROR(__xludf.DUMMYFUNCTION("""COMPUTED_VALUE"""),190000.0)</f>
        <v>190000</v>
      </c>
      <c r="E43" s="96" t="str">
        <f>IFERROR(__xludf.DUMMYFUNCTION("""COMPUTED_VALUE"""),"Prefinance")</f>
        <v>Prefinance</v>
      </c>
      <c r="F43" s="99">
        <f>IFERROR(__xludf.DUMMYFUNCTION("""COMPUTED_VALUE"""),0.0)</f>
        <v>0</v>
      </c>
      <c r="G43" s="99">
        <f>IFERROR(__xludf.DUMMYFUNCTION("""COMPUTED_VALUE"""),0.0)</f>
        <v>0</v>
      </c>
      <c r="H43" s="99">
        <f>IFERROR(__xludf.DUMMYFUNCTION("""COMPUTED_VALUE"""),0.0)</f>
        <v>0</v>
      </c>
      <c r="I43" s="99">
        <f>IFERROR(__xludf.DUMMYFUNCTION("""COMPUTED_VALUE"""),0.0)</f>
        <v>0</v>
      </c>
      <c r="J43" s="99">
        <f>IFERROR(__xludf.DUMMYFUNCTION("""COMPUTED_VALUE"""),0.0)</f>
        <v>0</v>
      </c>
    </row>
    <row r="44">
      <c r="A44" s="98">
        <f>IFERROR(__xludf.DUMMYFUNCTION("""COMPUTED_VALUE"""),44026.0)</f>
        <v>44026</v>
      </c>
      <c r="B44" s="96" t="str">
        <f>IFERROR(__xludf.DUMMYFUNCTION("""COMPUTED_VALUE"""),"TIMOTHY  OLUM")</f>
        <v>TIMOTHY  OLUM</v>
      </c>
      <c r="C44" s="96" t="str">
        <f>IFERROR(__xludf.DUMMYFUNCTION("""COMPUTED_VALUE"""),"BALANCE")</f>
        <v>BALANCE</v>
      </c>
      <c r="D44" s="99">
        <f>IFERROR(__xludf.DUMMYFUNCTION("""COMPUTED_VALUE"""),150000.0)</f>
        <v>150000</v>
      </c>
      <c r="E44" s="96" t="str">
        <f>IFERROR(__xludf.DUMMYFUNCTION("""COMPUTED_VALUE"""),"Prefinance")</f>
        <v>Prefinance</v>
      </c>
      <c r="F44" s="99">
        <f>IFERROR(__xludf.DUMMYFUNCTION("""COMPUTED_VALUE"""),0.0)</f>
        <v>0</v>
      </c>
      <c r="G44" s="99">
        <f>IFERROR(__xludf.DUMMYFUNCTION("""COMPUTED_VALUE"""),0.0)</f>
        <v>0</v>
      </c>
      <c r="H44" s="99">
        <f>IFERROR(__xludf.DUMMYFUNCTION("""COMPUTED_VALUE"""),0.0)</f>
        <v>0</v>
      </c>
      <c r="I44" s="99">
        <f>IFERROR(__xludf.DUMMYFUNCTION("""COMPUTED_VALUE"""),0.0)</f>
        <v>0</v>
      </c>
      <c r="J44" s="99">
        <f>IFERROR(__xludf.DUMMYFUNCTION("""COMPUTED_VALUE"""),0.0)</f>
        <v>0</v>
      </c>
    </row>
    <row r="45">
      <c r="A45" s="98">
        <f>IFERROR(__xludf.DUMMYFUNCTION("""COMPUTED_VALUE"""),44026.0)</f>
        <v>44026</v>
      </c>
      <c r="B45" s="96" t="str">
        <f>IFERROR(__xludf.DUMMYFUNCTION("""COMPUTED_VALUE"""),"AGEGE BOY")</f>
        <v>AGEGE BOY</v>
      </c>
      <c r="C45" s="96" t="str">
        <f>IFERROR(__xludf.DUMMYFUNCTION("""COMPUTED_VALUE"""),"BALANCE")</f>
        <v>BALANCE</v>
      </c>
      <c r="D45" s="99">
        <f>IFERROR(__xludf.DUMMYFUNCTION("""COMPUTED_VALUE"""),300000.0)</f>
        <v>300000</v>
      </c>
      <c r="E45" s="96" t="str">
        <f>IFERROR(__xludf.DUMMYFUNCTION("""COMPUTED_VALUE"""),"Prefinance")</f>
        <v>Prefinance</v>
      </c>
      <c r="F45" s="99">
        <f>IFERROR(__xludf.DUMMYFUNCTION("""COMPUTED_VALUE"""),0.0)</f>
        <v>0</v>
      </c>
      <c r="G45" s="99">
        <f>IFERROR(__xludf.DUMMYFUNCTION("""COMPUTED_VALUE"""),0.0)</f>
        <v>0</v>
      </c>
      <c r="H45" s="99">
        <f>IFERROR(__xludf.DUMMYFUNCTION("""COMPUTED_VALUE"""),0.0)</f>
        <v>0</v>
      </c>
      <c r="I45" s="99">
        <f>IFERROR(__xludf.DUMMYFUNCTION("""COMPUTED_VALUE"""),0.0)</f>
        <v>0</v>
      </c>
      <c r="J45" s="99">
        <f>IFERROR(__xludf.DUMMYFUNCTION("""COMPUTED_VALUE"""),0.0)</f>
        <v>0</v>
      </c>
    </row>
    <row r="46">
      <c r="A46" s="98">
        <f>IFERROR(__xludf.DUMMYFUNCTION("""COMPUTED_VALUE"""),44026.0)</f>
        <v>44026</v>
      </c>
      <c r="B46" s="96" t="str">
        <f>IFERROR(__xludf.DUMMYFUNCTION("""COMPUTED_VALUE"""),"PRINNESS")</f>
        <v>PRINNESS</v>
      </c>
      <c r="C46" s="96" t="str">
        <f>IFERROR(__xludf.DUMMYFUNCTION("""COMPUTED_VALUE"""),"BALANCE")</f>
        <v>BALANCE</v>
      </c>
      <c r="D46" s="99">
        <f>IFERROR(__xludf.DUMMYFUNCTION("""COMPUTED_VALUE"""),200000.0)</f>
        <v>200000</v>
      </c>
      <c r="E46" s="96" t="str">
        <f>IFERROR(__xludf.DUMMYFUNCTION("""COMPUTED_VALUE"""),"Prefinance")</f>
        <v>Prefinance</v>
      </c>
      <c r="F46" s="99">
        <f>IFERROR(__xludf.DUMMYFUNCTION("""COMPUTED_VALUE"""),0.0)</f>
        <v>0</v>
      </c>
      <c r="G46" s="99">
        <f>IFERROR(__xludf.DUMMYFUNCTION("""COMPUTED_VALUE"""),0.0)</f>
        <v>0</v>
      </c>
      <c r="H46" s="99">
        <f>IFERROR(__xludf.DUMMYFUNCTION("""COMPUTED_VALUE"""),0.0)</f>
        <v>0</v>
      </c>
      <c r="I46" s="99">
        <f>IFERROR(__xludf.DUMMYFUNCTION("""COMPUTED_VALUE"""),0.0)</f>
        <v>0</v>
      </c>
      <c r="J46" s="99">
        <f>IFERROR(__xludf.DUMMYFUNCTION("""COMPUTED_VALUE"""),0.0)</f>
        <v>0</v>
      </c>
    </row>
    <row r="47">
      <c r="A47" s="98">
        <f>IFERROR(__xludf.DUMMYFUNCTION("""COMPUTED_VALUE"""),44026.0)</f>
        <v>44026</v>
      </c>
      <c r="B47" s="96" t="str">
        <f>IFERROR(__xludf.DUMMYFUNCTION("""COMPUTED_VALUE"""),"CORNWELL")</f>
        <v>CORNWELL</v>
      </c>
      <c r="C47" s="96" t="str">
        <f>IFERROR(__xludf.DUMMYFUNCTION("""COMPUTED_VALUE"""),"BALANCE")</f>
        <v>BALANCE</v>
      </c>
      <c r="D47" s="99">
        <f>IFERROR(__xludf.DUMMYFUNCTION("""COMPUTED_VALUE"""),879440.0)</f>
        <v>879440</v>
      </c>
      <c r="E47" s="96" t="str">
        <f>IFERROR(__xludf.DUMMYFUNCTION("""COMPUTED_VALUE"""),"Prefinance")</f>
        <v>Prefinance</v>
      </c>
      <c r="F47" s="99">
        <f>IFERROR(__xludf.DUMMYFUNCTION("""COMPUTED_VALUE"""),0.0)</f>
        <v>0</v>
      </c>
      <c r="G47" s="99">
        <f>IFERROR(__xludf.DUMMYFUNCTION("""COMPUTED_VALUE"""),0.0)</f>
        <v>0</v>
      </c>
      <c r="H47" s="99">
        <f>IFERROR(__xludf.DUMMYFUNCTION("""COMPUTED_VALUE"""),0.0)</f>
        <v>0</v>
      </c>
      <c r="I47" s="99">
        <f>IFERROR(__xludf.DUMMYFUNCTION("""COMPUTED_VALUE"""),0.0)</f>
        <v>0</v>
      </c>
      <c r="J47" s="99">
        <f>IFERROR(__xludf.DUMMYFUNCTION("""COMPUTED_VALUE"""),0.0)</f>
        <v>0</v>
      </c>
    </row>
    <row r="48">
      <c r="A48" s="98">
        <f>IFERROR(__xludf.DUMMYFUNCTION("""COMPUTED_VALUE"""),44026.0)</f>
        <v>44026</v>
      </c>
      <c r="B48" s="96" t="str">
        <f>IFERROR(__xludf.DUMMYFUNCTION("""COMPUTED_VALUE"""),"DUN ODI A.")</f>
        <v>DUN ODI A.</v>
      </c>
      <c r="C48" s="96" t="str">
        <f>IFERROR(__xludf.DUMMYFUNCTION("""COMPUTED_VALUE"""),"BALANCE")</f>
        <v>BALANCE</v>
      </c>
      <c r="D48" s="99">
        <f>IFERROR(__xludf.DUMMYFUNCTION("""COMPUTED_VALUE"""),30000.0)</f>
        <v>30000</v>
      </c>
      <c r="E48" s="96" t="str">
        <f>IFERROR(__xludf.DUMMYFUNCTION("""COMPUTED_VALUE"""),"Prefinance")</f>
        <v>Prefinance</v>
      </c>
      <c r="F48" s="99">
        <f>IFERROR(__xludf.DUMMYFUNCTION("""COMPUTED_VALUE"""),0.0)</f>
        <v>0</v>
      </c>
      <c r="G48" s="99">
        <f>IFERROR(__xludf.DUMMYFUNCTION("""COMPUTED_VALUE"""),0.0)</f>
        <v>0</v>
      </c>
      <c r="H48" s="99">
        <f>IFERROR(__xludf.DUMMYFUNCTION("""COMPUTED_VALUE"""),0.0)</f>
        <v>0</v>
      </c>
      <c r="I48" s="99">
        <f>IFERROR(__xludf.DUMMYFUNCTION("""COMPUTED_VALUE"""),0.0)</f>
        <v>0</v>
      </c>
      <c r="J48" s="99">
        <f>IFERROR(__xludf.DUMMYFUNCTION("""COMPUTED_VALUE"""),0.0)</f>
        <v>0</v>
      </c>
    </row>
    <row r="49">
      <c r="A49" s="98">
        <f>IFERROR(__xludf.DUMMYFUNCTION("""COMPUTED_VALUE"""),44026.0)</f>
        <v>44026</v>
      </c>
      <c r="B49" s="96" t="str">
        <f>IFERROR(__xludf.DUMMYFUNCTION("""COMPUTED_VALUE"""),"MAXWELL AGRO PRIN")</f>
        <v>MAXWELL AGRO PRIN</v>
      </c>
      <c r="C49" s="96" t="str">
        <f>IFERROR(__xludf.DUMMYFUNCTION("""COMPUTED_VALUE"""),"BALANCE")</f>
        <v>BALANCE</v>
      </c>
      <c r="D49" s="99">
        <f>IFERROR(__xludf.DUMMYFUNCTION("""COMPUTED_VALUE"""),280000.0)</f>
        <v>280000</v>
      </c>
      <c r="E49" s="96" t="str">
        <f>IFERROR(__xludf.DUMMYFUNCTION("""COMPUTED_VALUE"""),"Prefinance")</f>
        <v>Prefinance</v>
      </c>
      <c r="F49" s="99">
        <f>IFERROR(__xludf.DUMMYFUNCTION("""COMPUTED_VALUE"""),0.0)</f>
        <v>0</v>
      </c>
      <c r="G49" s="99">
        <f>IFERROR(__xludf.DUMMYFUNCTION("""COMPUTED_VALUE"""),0.0)</f>
        <v>0</v>
      </c>
      <c r="H49" s="99">
        <f>IFERROR(__xludf.DUMMYFUNCTION("""COMPUTED_VALUE"""),0.0)</f>
        <v>0</v>
      </c>
      <c r="I49" s="99">
        <f>IFERROR(__xludf.DUMMYFUNCTION("""COMPUTED_VALUE"""),0.0)</f>
        <v>0</v>
      </c>
      <c r="J49" s="99">
        <f>IFERROR(__xludf.DUMMYFUNCTION("""COMPUTED_VALUE"""),0.0)</f>
        <v>0</v>
      </c>
    </row>
    <row r="50">
      <c r="A50" s="98">
        <f>IFERROR(__xludf.DUMMYFUNCTION("""COMPUTED_VALUE"""),44026.0)</f>
        <v>44026</v>
      </c>
      <c r="B50" s="96" t="str">
        <f>IFERROR(__xludf.DUMMYFUNCTION("""COMPUTED_VALUE"""),"FRANCIS KEIBO")</f>
        <v>FRANCIS KEIBO</v>
      </c>
      <c r="C50" s="96" t="str">
        <f>IFERROR(__xludf.DUMMYFUNCTION("""COMPUTED_VALUE"""),"BALANCE")</f>
        <v>BALANCE</v>
      </c>
      <c r="D50" s="99">
        <f>IFERROR(__xludf.DUMMYFUNCTION("""COMPUTED_VALUE"""),237000.0)</f>
        <v>237000</v>
      </c>
      <c r="E50" s="96" t="str">
        <f>IFERROR(__xludf.DUMMYFUNCTION("""COMPUTED_VALUE"""),"Prefinance")</f>
        <v>Prefinance</v>
      </c>
      <c r="F50" s="99">
        <f>IFERROR(__xludf.DUMMYFUNCTION("""COMPUTED_VALUE"""),0.0)</f>
        <v>0</v>
      </c>
      <c r="G50" s="99">
        <f>IFERROR(__xludf.DUMMYFUNCTION("""COMPUTED_VALUE"""),0.0)</f>
        <v>0</v>
      </c>
      <c r="H50" s="99">
        <f>IFERROR(__xludf.DUMMYFUNCTION("""COMPUTED_VALUE"""),0.0)</f>
        <v>0</v>
      </c>
      <c r="I50" s="99">
        <f>IFERROR(__xludf.DUMMYFUNCTION("""COMPUTED_VALUE"""),0.0)</f>
        <v>0</v>
      </c>
      <c r="J50" s="99">
        <f>IFERROR(__xludf.DUMMYFUNCTION("""COMPUTED_VALUE"""),0.0)</f>
        <v>0</v>
      </c>
    </row>
    <row r="51">
      <c r="A51" s="98">
        <f>IFERROR(__xludf.DUMMYFUNCTION("""COMPUTED_VALUE"""),44026.0)</f>
        <v>44026</v>
      </c>
      <c r="B51" s="96" t="str">
        <f>IFERROR(__xludf.DUMMYFUNCTION("""COMPUTED_VALUE"""),"COLLABS")</f>
        <v>COLLABS</v>
      </c>
      <c r="C51" s="96" t="str">
        <f>IFERROR(__xludf.DUMMYFUNCTION("""COMPUTED_VALUE"""),"BALANCE")</f>
        <v>BALANCE</v>
      </c>
      <c r="D51" s="99">
        <f>IFERROR(__xludf.DUMMYFUNCTION("""COMPUTED_VALUE"""),220000.0)</f>
        <v>220000</v>
      </c>
      <c r="E51" s="96" t="str">
        <f>IFERROR(__xludf.DUMMYFUNCTION("""COMPUTED_VALUE"""),"Prefinance")</f>
        <v>Prefinance</v>
      </c>
      <c r="F51" s="99">
        <f>IFERROR(__xludf.DUMMYFUNCTION("""COMPUTED_VALUE"""),0.0)</f>
        <v>0</v>
      </c>
      <c r="G51" s="99">
        <f>IFERROR(__xludf.DUMMYFUNCTION("""COMPUTED_VALUE"""),0.0)</f>
        <v>0</v>
      </c>
      <c r="H51" s="99">
        <f>IFERROR(__xludf.DUMMYFUNCTION("""COMPUTED_VALUE"""),0.0)</f>
        <v>0</v>
      </c>
      <c r="I51" s="99">
        <f>IFERROR(__xludf.DUMMYFUNCTION("""COMPUTED_VALUE"""),0.0)</f>
        <v>0</v>
      </c>
      <c r="J51" s="99">
        <f>IFERROR(__xludf.DUMMYFUNCTION("""COMPUTED_VALUE"""),0.0)</f>
        <v>0</v>
      </c>
    </row>
    <row r="52">
      <c r="A52" s="98">
        <f>IFERROR(__xludf.DUMMYFUNCTION("""COMPUTED_VALUE"""),44026.0)</f>
        <v>44026</v>
      </c>
      <c r="B52" s="96" t="str">
        <f>IFERROR(__xludf.DUMMYFUNCTION("""COMPUTED_VALUE"""),"CONNECT")</f>
        <v>CONNECT</v>
      </c>
      <c r="C52" s="96" t="str">
        <f>IFERROR(__xludf.DUMMYFUNCTION("""COMPUTED_VALUE"""),"BALANCE")</f>
        <v>BALANCE</v>
      </c>
      <c r="D52" s="99">
        <f>IFERROR(__xludf.DUMMYFUNCTION("""COMPUTED_VALUE"""),1200000.0)</f>
        <v>1200000</v>
      </c>
      <c r="E52" s="96" t="str">
        <f>IFERROR(__xludf.DUMMYFUNCTION("""COMPUTED_VALUE"""),"Prefinance")</f>
        <v>Prefinance</v>
      </c>
      <c r="F52" s="99">
        <f>IFERROR(__xludf.DUMMYFUNCTION("""COMPUTED_VALUE"""),0.0)</f>
        <v>0</v>
      </c>
      <c r="G52" s="99">
        <f>IFERROR(__xludf.DUMMYFUNCTION("""COMPUTED_VALUE"""),0.0)</f>
        <v>0</v>
      </c>
      <c r="H52" s="99">
        <f>IFERROR(__xludf.DUMMYFUNCTION("""COMPUTED_VALUE"""),0.0)</f>
        <v>0</v>
      </c>
      <c r="I52" s="99">
        <f>IFERROR(__xludf.DUMMYFUNCTION("""COMPUTED_VALUE"""),0.0)</f>
        <v>0</v>
      </c>
      <c r="J52" s="99">
        <f>IFERROR(__xludf.DUMMYFUNCTION("""COMPUTED_VALUE"""),0.0)</f>
        <v>0</v>
      </c>
    </row>
    <row r="53">
      <c r="A53" s="98">
        <f>IFERROR(__xludf.DUMMYFUNCTION("""COMPUTED_VALUE"""),44026.0)</f>
        <v>44026</v>
      </c>
      <c r="B53" s="96" t="str">
        <f>IFERROR(__xludf.DUMMYFUNCTION("""COMPUTED_VALUE"""),"KARIEN EBAN")</f>
        <v>KARIEN EBAN</v>
      </c>
      <c r="C53" s="96" t="str">
        <f>IFERROR(__xludf.DUMMYFUNCTION("""COMPUTED_VALUE"""),"BALANCE")</f>
        <v>BALANCE</v>
      </c>
      <c r="D53" s="99">
        <f>IFERROR(__xludf.DUMMYFUNCTION("""COMPUTED_VALUE"""),1500000.0)</f>
        <v>1500000</v>
      </c>
      <c r="E53" s="96" t="str">
        <f>IFERROR(__xludf.DUMMYFUNCTION("""COMPUTED_VALUE"""),"Prefinance")</f>
        <v>Prefinance</v>
      </c>
      <c r="F53" s="99">
        <f>IFERROR(__xludf.DUMMYFUNCTION("""COMPUTED_VALUE"""),0.0)</f>
        <v>0</v>
      </c>
      <c r="G53" s="99">
        <f>IFERROR(__xludf.DUMMYFUNCTION("""COMPUTED_VALUE"""),0.0)</f>
        <v>0</v>
      </c>
      <c r="H53" s="99">
        <f>IFERROR(__xludf.DUMMYFUNCTION("""COMPUTED_VALUE"""),0.0)</f>
        <v>0</v>
      </c>
      <c r="I53" s="99">
        <f>IFERROR(__xludf.DUMMYFUNCTION("""COMPUTED_VALUE"""),0.0)</f>
        <v>0</v>
      </c>
      <c r="J53" s="99">
        <f>IFERROR(__xludf.DUMMYFUNCTION("""COMPUTED_VALUE"""),0.0)</f>
        <v>0</v>
      </c>
    </row>
    <row r="54">
      <c r="A54" s="98">
        <f>IFERROR(__xludf.DUMMYFUNCTION("""COMPUTED_VALUE"""),44026.0)</f>
        <v>44026</v>
      </c>
      <c r="B54" s="96" t="str">
        <f>IFERROR(__xludf.DUMMYFUNCTION("""COMPUTED_VALUE"""),"ZULU &amp; NDOMA")</f>
        <v>ZULU &amp; NDOMA</v>
      </c>
      <c r="C54" s="96" t="str">
        <f>IFERROR(__xludf.DUMMYFUNCTION("""COMPUTED_VALUE"""),"BALANCE")</f>
        <v>BALANCE</v>
      </c>
      <c r="D54" s="99">
        <f>IFERROR(__xludf.DUMMYFUNCTION("""COMPUTED_VALUE"""),165400.0)</f>
        <v>165400</v>
      </c>
      <c r="E54" s="96" t="str">
        <f>IFERROR(__xludf.DUMMYFUNCTION("""COMPUTED_VALUE"""),"Prefinance")</f>
        <v>Prefinance</v>
      </c>
      <c r="F54" s="99">
        <f>IFERROR(__xludf.DUMMYFUNCTION("""COMPUTED_VALUE"""),0.0)</f>
        <v>0</v>
      </c>
      <c r="G54" s="99">
        <f>IFERROR(__xludf.DUMMYFUNCTION("""COMPUTED_VALUE"""),0.0)</f>
        <v>0</v>
      </c>
      <c r="H54" s="99">
        <f>IFERROR(__xludf.DUMMYFUNCTION("""COMPUTED_VALUE"""),0.0)</f>
        <v>0</v>
      </c>
      <c r="I54" s="99">
        <f>IFERROR(__xludf.DUMMYFUNCTION("""COMPUTED_VALUE"""),0.0)</f>
        <v>0</v>
      </c>
      <c r="J54" s="99">
        <f>IFERROR(__xludf.DUMMYFUNCTION("""COMPUTED_VALUE"""),0.0)</f>
        <v>0</v>
      </c>
    </row>
    <row r="55">
      <c r="A55" s="98">
        <f>IFERROR(__xludf.DUMMYFUNCTION("""COMPUTED_VALUE"""),44026.0)</f>
        <v>44026</v>
      </c>
      <c r="B55" s="96" t="str">
        <f>IFERROR(__xludf.DUMMYFUNCTION("""COMPUTED_VALUE"""),"TIWA AGBA")</f>
        <v>TIWA AGBA</v>
      </c>
      <c r="C55" s="96" t="str">
        <f>IFERROR(__xludf.DUMMYFUNCTION("""COMPUTED_VALUE"""),"BALANCE")</f>
        <v>BALANCE</v>
      </c>
      <c r="D55" s="99">
        <f>IFERROR(__xludf.DUMMYFUNCTION("""COMPUTED_VALUE"""),5000.0)</f>
        <v>5000</v>
      </c>
      <c r="E55" s="96" t="str">
        <f>IFERROR(__xludf.DUMMYFUNCTION("""COMPUTED_VALUE"""),"Prefinance")</f>
        <v>Prefinance</v>
      </c>
      <c r="F55" s="99">
        <f>IFERROR(__xludf.DUMMYFUNCTION("""COMPUTED_VALUE"""),0.0)</f>
        <v>0</v>
      </c>
      <c r="G55" s="99">
        <f>IFERROR(__xludf.DUMMYFUNCTION("""COMPUTED_VALUE"""),0.0)</f>
        <v>0</v>
      </c>
      <c r="H55" s="99">
        <f>IFERROR(__xludf.DUMMYFUNCTION("""COMPUTED_VALUE"""),0.0)</f>
        <v>0</v>
      </c>
      <c r="I55" s="99">
        <f>IFERROR(__xludf.DUMMYFUNCTION("""COMPUTED_VALUE"""),0.0)</f>
        <v>0</v>
      </c>
      <c r="J55" s="99">
        <f>IFERROR(__xludf.DUMMYFUNCTION("""COMPUTED_VALUE"""),0.0)</f>
        <v>0</v>
      </c>
    </row>
    <row r="56">
      <c r="A56" s="98">
        <f>IFERROR(__xludf.DUMMYFUNCTION("""COMPUTED_VALUE"""),44026.0)</f>
        <v>44026</v>
      </c>
      <c r="B56" s="96" t="str">
        <f>IFERROR(__xludf.DUMMYFUNCTION("""COMPUTED_VALUE"""),"PAPA AJASCO BETTE")</f>
        <v>PAPA AJASCO BETTE</v>
      </c>
      <c r="C56" s="96" t="str">
        <f>IFERROR(__xludf.DUMMYFUNCTION("""COMPUTED_VALUE"""),"BALANCE")</f>
        <v>BALANCE</v>
      </c>
      <c r="D56" s="99">
        <f>IFERROR(__xludf.DUMMYFUNCTION("""COMPUTED_VALUE"""),200000.0)</f>
        <v>200000</v>
      </c>
      <c r="E56" s="96" t="str">
        <f>IFERROR(__xludf.DUMMYFUNCTION("""COMPUTED_VALUE"""),"Prefinance")</f>
        <v>Prefinance</v>
      </c>
      <c r="F56" s="99">
        <f>IFERROR(__xludf.DUMMYFUNCTION("""COMPUTED_VALUE"""),0.0)</f>
        <v>0</v>
      </c>
      <c r="G56" s="99">
        <f>IFERROR(__xludf.DUMMYFUNCTION("""COMPUTED_VALUE"""),0.0)</f>
        <v>0</v>
      </c>
      <c r="H56" s="99">
        <f>IFERROR(__xludf.DUMMYFUNCTION("""COMPUTED_VALUE"""),0.0)</f>
        <v>0</v>
      </c>
      <c r="I56" s="99">
        <f>IFERROR(__xludf.DUMMYFUNCTION("""COMPUTED_VALUE"""),0.0)</f>
        <v>0</v>
      </c>
      <c r="J56" s="99">
        <f>IFERROR(__xludf.DUMMYFUNCTION("""COMPUTED_VALUE"""),0.0)</f>
        <v>0</v>
      </c>
    </row>
    <row r="57">
      <c r="A57" s="98">
        <f>IFERROR(__xludf.DUMMYFUNCTION("""COMPUTED_VALUE"""),44027.0)</f>
        <v>44027</v>
      </c>
      <c r="B57" s="96" t="str">
        <f>IFERROR(__xludf.DUMMYFUNCTION("""COMPUTED_VALUE"""),"director")</f>
        <v>director</v>
      </c>
      <c r="C57" s="96" t="str">
        <f>IFERROR(__xludf.DUMMYFUNCTION("""COMPUTED_VALUE"""),"Stationery")</f>
        <v>Stationery</v>
      </c>
      <c r="D57" s="99">
        <f>IFERROR(__xludf.DUMMYFUNCTION("""COMPUTED_VALUE"""),6600.0)</f>
        <v>6600</v>
      </c>
      <c r="E57" s="96" t="str">
        <f>IFERROR(__xludf.DUMMYFUNCTION("""COMPUTED_VALUE"""),"General Expenses")</f>
        <v>General Expenses</v>
      </c>
      <c r="F57" s="99">
        <f>IFERROR(__xludf.DUMMYFUNCTION("""COMPUTED_VALUE"""),0.0)</f>
        <v>0</v>
      </c>
      <c r="G57" s="99">
        <f>IFERROR(__xludf.DUMMYFUNCTION("""COMPUTED_VALUE"""),6600.0)</f>
        <v>6600</v>
      </c>
      <c r="H57" s="99">
        <f>IFERROR(__xludf.DUMMYFUNCTION("""COMPUTED_VALUE"""),0.0)</f>
        <v>0</v>
      </c>
      <c r="I57" s="99">
        <f>IFERROR(__xludf.DUMMYFUNCTION("""COMPUTED_VALUE"""),0.0)</f>
        <v>0</v>
      </c>
      <c r="J57" s="99">
        <f>IFERROR(__xludf.DUMMYFUNCTION("""COMPUTED_VALUE"""),0.0)</f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5" max="5" width="14.38"/>
  </cols>
  <sheetData>
    <row r="1">
      <c r="A1" s="96" t="str">
        <f>IFERROR(__xludf.DUMMYFUNCTION("QUERY(Finance!A5:J1000,""SELECT *""&amp; IF(COUNTBLANK(HelperFormulas!D14)=2,"""","" WHERE "" &amp; TEXTJOIN("" AND "", TRUE, HelperFormulas!D14)),1)"),"Date")</f>
        <v>Date</v>
      </c>
      <c r="B1" s="96" t="str">
        <f>IFERROR(__xludf.DUMMYFUNCTION("""COMPUTED_VALUE"""),"Name")</f>
        <v>Name</v>
      </c>
      <c r="C1" s="96" t="str">
        <f>IFERROR(__xludf.DUMMYFUNCTION("""COMPUTED_VALUE"""),"Description")</f>
        <v>Description</v>
      </c>
      <c r="D1" s="96" t="str">
        <f>IFERROR(__xludf.DUMMYFUNCTION("""COMPUTED_VALUE"""),"Amount")</f>
        <v>Amount</v>
      </c>
      <c r="E1" s="96" t="str">
        <f>IFERROR(__xludf.DUMMYFUNCTION("""COMPUTED_VALUE"""),"Category")</f>
        <v>Category</v>
      </c>
      <c r="F1" s="96" t="str">
        <f>IFERROR(__xludf.DUMMYFUNCTION("""COMPUTED_VALUE"""),"Advance")</f>
        <v>Advance</v>
      </c>
      <c r="G1" s="96" t="str">
        <f>IFERROR(__xludf.DUMMYFUNCTION("""COMPUTED_VALUE"""),"Non-Cocoa")</f>
        <v>Non-Cocoa</v>
      </c>
      <c r="H1" s="96" t="str">
        <f>IFERROR(__xludf.DUMMYFUNCTION("""COMPUTED_VALUE"""),"Cash In")</f>
        <v>Cash In</v>
      </c>
      <c r="I1" s="96" t="str">
        <f>IFERROR(__xludf.DUMMYFUNCTION("""COMPUTED_VALUE"""),"Cash Collected")</f>
        <v>Cash Collected</v>
      </c>
      <c r="J1" s="96" t="str">
        <f>IFERROR(__xludf.DUMMYFUNCTION("""COMPUTED_VALUE"""),"Refunds")</f>
        <v>Refunds</v>
      </c>
      <c r="N1" s="97" t="str">
        <f>IFERROR(__xludf.DUMMYFUNCTION("QUERY(Finance!A5:J1000,""SELECT *""&amp; IF(COUNTBLANK(HelperFormulas!D18)=2,"""","" WHERE "" &amp; TEXTJOIN("" AND "", TRUE, HelperFormulas!D18)),1)"),"Date")</f>
        <v>Date</v>
      </c>
      <c r="O1" s="96" t="str">
        <f>IFERROR(__xludf.DUMMYFUNCTION("""COMPUTED_VALUE"""),"Name")</f>
        <v>Name</v>
      </c>
      <c r="P1" s="96" t="str">
        <f>IFERROR(__xludf.DUMMYFUNCTION("""COMPUTED_VALUE"""),"Description")</f>
        <v>Description</v>
      </c>
      <c r="Q1" s="96" t="str">
        <f>IFERROR(__xludf.DUMMYFUNCTION("""COMPUTED_VALUE"""),"Amount")</f>
        <v>Amount</v>
      </c>
      <c r="R1" s="96" t="str">
        <f>IFERROR(__xludf.DUMMYFUNCTION("""COMPUTED_VALUE"""),"Category")</f>
        <v>Category</v>
      </c>
      <c r="S1" s="96" t="str">
        <f>IFERROR(__xludf.DUMMYFUNCTION("""COMPUTED_VALUE"""),"Advance")</f>
        <v>Advance</v>
      </c>
      <c r="T1" s="96" t="str">
        <f>IFERROR(__xludf.DUMMYFUNCTION("""COMPUTED_VALUE"""),"Non-Cocoa")</f>
        <v>Non-Cocoa</v>
      </c>
      <c r="U1" s="96" t="str">
        <f>IFERROR(__xludf.DUMMYFUNCTION("""COMPUTED_VALUE"""),"Cash In")</f>
        <v>Cash In</v>
      </c>
      <c r="V1" s="96" t="str">
        <f>IFERROR(__xludf.DUMMYFUNCTION("""COMPUTED_VALUE"""),"Cash Collected")</f>
        <v>Cash Collected</v>
      </c>
      <c r="W1" s="96" t="str">
        <f>IFERROR(__xludf.DUMMYFUNCTION("""COMPUTED_VALUE"""),"Refunds")</f>
        <v>Refunds</v>
      </c>
    </row>
    <row r="2">
      <c r="N2" s="98">
        <f>IFERROR(__xludf.DUMMYFUNCTION("""COMPUTED_VALUE"""),43743.0)</f>
        <v>43743</v>
      </c>
      <c r="O2" s="96" t="str">
        <f>IFERROR(__xludf.DUMMYFUNCTION("""COMPUTED_VALUE"""),"BALANCE")</f>
        <v>BALANCE</v>
      </c>
      <c r="P2" s="96" t="str">
        <f>IFERROR(__xludf.DUMMYFUNCTION("""COMPUTED_VALUE"""),"BALANCE")</f>
        <v>BALANCE</v>
      </c>
      <c r="Q2" s="99">
        <f>IFERROR(__xludf.DUMMYFUNCTION("""COMPUTED_VALUE"""),6.4600445E7)</f>
        <v>64600445</v>
      </c>
      <c r="R2" s="96" t="str">
        <f>IFERROR(__xludf.DUMMYFUNCTION("""COMPUTED_VALUE"""),"From Bank")</f>
        <v>From Bank</v>
      </c>
      <c r="S2" s="99"/>
      <c r="T2" s="99"/>
      <c r="U2" s="99">
        <f>IFERROR(__xludf.DUMMYFUNCTION("""COMPUTED_VALUE"""),6.4600445E7)</f>
        <v>64600445</v>
      </c>
      <c r="V2" s="99"/>
      <c r="W2" s="99"/>
    </row>
    <row r="3">
      <c r="N3" s="98">
        <f>IFERROR(__xludf.DUMMYFUNCTION("""COMPUTED_VALUE"""),43743.0)</f>
        <v>43743</v>
      </c>
      <c r="O3" s="96" t="str">
        <f>IFERROR(__xludf.DUMMYFUNCTION("""COMPUTED_VALUE"""),"EDWARD OKO")</f>
        <v>EDWARD OKO</v>
      </c>
      <c r="P3" s="96" t="str">
        <f>IFERROR(__xludf.DUMMYFUNCTION("""COMPUTED_VALUE"""),"BALANCE")</f>
        <v>BALANCE</v>
      </c>
      <c r="Q3" s="99">
        <f>IFERROR(__xludf.DUMMYFUNCTION("""COMPUTED_VALUE"""),521000.0)</f>
        <v>521000</v>
      </c>
      <c r="R3" s="96" t="str">
        <f>IFERROR(__xludf.DUMMYFUNCTION("""COMPUTED_VALUE"""),"Prefinance")</f>
        <v>Prefinance</v>
      </c>
      <c r="S3" s="99">
        <f>IFERROR(__xludf.DUMMYFUNCTION("""COMPUTED_VALUE"""),0.0)</f>
        <v>0</v>
      </c>
      <c r="T3" s="99">
        <f>IFERROR(__xludf.DUMMYFUNCTION("""COMPUTED_VALUE"""),0.0)</f>
        <v>0</v>
      </c>
      <c r="U3" s="99">
        <f>IFERROR(__xludf.DUMMYFUNCTION("""COMPUTED_VALUE"""),0.0)</f>
        <v>0</v>
      </c>
      <c r="V3" s="99">
        <f>IFERROR(__xludf.DUMMYFUNCTION("""COMPUTED_VALUE"""),0.0)</f>
        <v>0</v>
      </c>
      <c r="W3" s="99">
        <f>IFERROR(__xludf.DUMMYFUNCTION("""COMPUTED_VALUE"""),0.0)</f>
        <v>0</v>
      </c>
    </row>
    <row r="4">
      <c r="N4" s="98">
        <f>IFERROR(__xludf.DUMMYFUNCTION("""COMPUTED_VALUE"""),43743.0)</f>
        <v>43743</v>
      </c>
      <c r="O4" s="96" t="str">
        <f>IFERROR(__xludf.DUMMYFUNCTION("""COMPUTED_VALUE"""),"INT OTU")</f>
        <v>INT OTU</v>
      </c>
      <c r="P4" s="96" t="str">
        <f>IFERROR(__xludf.DUMMYFUNCTION("""COMPUTED_VALUE"""),"BALANCE")</f>
        <v>BALANCE</v>
      </c>
      <c r="Q4" s="99">
        <f>IFERROR(__xludf.DUMMYFUNCTION("""COMPUTED_VALUE"""),555000.0)</f>
        <v>555000</v>
      </c>
      <c r="R4" s="96" t="str">
        <f>IFERROR(__xludf.DUMMYFUNCTION("""COMPUTED_VALUE"""),"Prefinance")</f>
        <v>Prefinance</v>
      </c>
      <c r="S4" s="99">
        <f>IFERROR(__xludf.DUMMYFUNCTION("""COMPUTED_VALUE"""),0.0)</f>
        <v>0</v>
      </c>
      <c r="T4" s="99">
        <f>IFERROR(__xludf.DUMMYFUNCTION("""COMPUTED_VALUE"""),0.0)</f>
        <v>0</v>
      </c>
      <c r="U4" s="99">
        <f>IFERROR(__xludf.DUMMYFUNCTION("""COMPUTED_VALUE"""),0.0)</f>
        <v>0</v>
      </c>
      <c r="V4" s="99">
        <f>IFERROR(__xludf.DUMMYFUNCTION("""COMPUTED_VALUE"""),0.0)</f>
        <v>0</v>
      </c>
      <c r="W4" s="99">
        <f>IFERROR(__xludf.DUMMYFUNCTION("""COMPUTED_VALUE"""),0.0)</f>
        <v>0</v>
      </c>
    </row>
    <row r="5">
      <c r="N5" s="98">
        <f>IFERROR(__xludf.DUMMYFUNCTION("""COMPUTED_VALUE"""),43743.0)</f>
        <v>43743</v>
      </c>
      <c r="O5" s="96" t="str">
        <f>IFERROR(__xludf.DUMMYFUNCTION("""COMPUTED_VALUE"""),"ETUK EFFI")</f>
        <v>ETUK EFFI</v>
      </c>
      <c r="P5" s="96" t="str">
        <f>IFERROR(__xludf.DUMMYFUNCTION("""COMPUTED_VALUE"""),"BALANCE")</f>
        <v>BALANCE</v>
      </c>
      <c r="Q5" s="99">
        <f>IFERROR(__xludf.DUMMYFUNCTION("""COMPUTED_VALUE"""),700000.0)</f>
        <v>700000</v>
      </c>
      <c r="R5" s="96" t="str">
        <f>IFERROR(__xludf.DUMMYFUNCTION("""COMPUTED_VALUE"""),"Prefinance")</f>
        <v>Prefinance</v>
      </c>
      <c r="S5" s="99">
        <f>IFERROR(__xludf.DUMMYFUNCTION("""COMPUTED_VALUE"""),0.0)</f>
        <v>0</v>
      </c>
      <c r="T5" s="99">
        <f>IFERROR(__xludf.DUMMYFUNCTION("""COMPUTED_VALUE"""),0.0)</f>
        <v>0</v>
      </c>
      <c r="U5" s="99">
        <f>IFERROR(__xludf.DUMMYFUNCTION("""COMPUTED_VALUE"""),0.0)</f>
        <v>0</v>
      </c>
      <c r="V5" s="99">
        <f>IFERROR(__xludf.DUMMYFUNCTION("""COMPUTED_VALUE"""),0.0)</f>
        <v>0</v>
      </c>
      <c r="W5" s="99">
        <f>IFERROR(__xludf.DUMMYFUNCTION("""COMPUTED_VALUE"""),0.0)</f>
        <v>0</v>
      </c>
    </row>
    <row r="6">
      <c r="N6" s="98">
        <f>IFERROR(__xludf.DUMMYFUNCTION("""COMPUTED_VALUE"""),43743.0)</f>
        <v>43743</v>
      </c>
      <c r="O6" s="96" t="str">
        <f>IFERROR(__xludf.DUMMYFUNCTION("""COMPUTED_VALUE"""),"ADE ADE")</f>
        <v>ADE ADE</v>
      </c>
      <c r="P6" s="96" t="str">
        <f>IFERROR(__xludf.DUMMYFUNCTION("""COMPUTED_VALUE"""),"BALANCE")</f>
        <v>BALANCE</v>
      </c>
      <c r="Q6" s="99">
        <f>IFERROR(__xludf.DUMMYFUNCTION("""COMPUTED_VALUE"""),328000.0)</f>
        <v>328000</v>
      </c>
      <c r="R6" s="96" t="str">
        <f>IFERROR(__xludf.DUMMYFUNCTION("""COMPUTED_VALUE"""),"Prefinance")</f>
        <v>Prefinance</v>
      </c>
      <c r="S6" s="99">
        <f>IFERROR(__xludf.DUMMYFUNCTION("""COMPUTED_VALUE"""),0.0)</f>
        <v>0</v>
      </c>
      <c r="T6" s="99">
        <f>IFERROR(__xludf.DUMMYFUNCTION("""COMPUTED_VALUE"""),0.0)</f>
        <v>0</v>
      </c>
      <c r="U6" s="99">
        <f>IFERROR(__xludf.DUMMYFUNCTION("""COMPUTED_VALUE"""),0.0)</f>
        <v>0</v>
      </c>
      <c r="V6" s="99">
        <f>IFERROR(__xludf.DUMMYFUNCTION("""COMPUTED_VALUE"""),0.0)</f>
        <v>0</v>
      </c>
      <c r="W6" s="99">
        <f>IFERROR(__xludf.DUMMYFUNCTION("""COMPUTED_VALUE"""),0.0)</f>
        <v>0</v>
      </c>
    </row>
    <row r="7">
      <c r="N7" s="98">
        <f>IFERROR(__xludf.DUMMYFUNCTION("""COMPUTED_VALUE"""),43743.0)</f>
        <v>43743</v>
      </c>
      <c r="O7" s="96" t="str">
        <f>IFERROR(__xludf.DUMMYFUNCTION("""COMPUTED_VALUE"""),"BESSONG BESONG")</f>
        <v>BESSONG BESONG</v>
      </c>
      <c r="P7" s="96" t="str">
        <f>IFERROR(__xludf.DUMMYFUNCTION("""COMPUTED_VALUE"""),"BALANCE")</f>
        <v>BALANCE</v>
      </c>
      <c r="Q7" s="99">
        <f>IFERROR(__xludf.DUMMYFUNCTION("""COMPUTED_VALUE"""),497440.0)</f>
        <v>497440</v>
      </c>
      <c r="R7" s="96" t="str">
        <f>IFERROR(__xludf.DUMMYFUNCTION("""COMPUTED_VALUE"""),"Prefinance")</f>
        <v>Prefinance</v>
      </c>
      <c r="S7" s="99">
        <f>IFERROR(__xludf.DUMMYFUNCTION("""COMPUTED_VALUE"""),0.0)</f>
        <v>0</v>
      </c>
      <c r="T7" s="99">
        <f>IFERROR(__xludf.DUMMYFUNCTION("""COMPUTED_VALUE"""),0.0)</f>
        <v>0</v>
      </c>
      <c r="U7" s="99">
        <f>IFERROR(__xludf.DUMMYFUNCTION("""COMPUTED_VALUE"""),0.0)</f>
        <v>0</v>
      </c>
      <c r="V7" s="99">
        <f>IFERROR(__xludf.DUMMYFUNCTION("""COMPUTED_VALUE"""),0.0)</f>
        <v>0</v>
      </c>
      <c r="W7" s="99">
        <f>IFERROR(__xludf.DUMMYFUNCTION("""COMPUTED_VALUE"""),0.0)</f>
        <v>0</v>
      </c>
    </row>
    <row r="8">
      <c r="N8" s="98">
        <f>IFERROR(__xludf.DUMMYFUNCTION("""COMPUTED_VALUE"""),43743.0)</f>
        <v>43743</v>
      </c>
      <c r="O8" s="96" t="str">
        <f>IFERROR(__xludf.DUMMYFUNCTION("""COMPUTED_VALUE"""),"MINOR")</f>
        <v>MINOR</v>
      </c>
      <c r="P8" s="96" t="str">
        <f>IFERROR(__xludf.DUMMYFUNCTION("""COMPUTED_VALUE"""),"BALANCE")</f>
        <v>BALANCE</v>
      </c>
      <c r="Q8" s="99">
        <f>IFERROR(__xludf.DUMMYFUNCTION("""COMPUTED_VALUE"""),409300.0)</f>
        <v>409300</v>
      </c>
      <c r="R8" s="96" t="str">
        <f>IFERROR(__xludf.DUMMYFUNCTION("""COMPUTED_VALUE"""),"Prefinance")</f>
        <v>Prefinance</v>
      </c>
      <c r="S8" s="99">
        <f>IFERROR(__xludf.DUMMYFUNCTION("""COMPUTED_VALUE"""),0.0)</f>
        <v>0</v>
      </c>
      <c r="T8" s="99">
        <f>IFERROR(__xludf.DUMMYFUNCTION("""COMPUTED_VALUE"""),0.0)</f>
        <v>0</v>
      </c>
      <c r="U8" s="99">
        <f>IFERROR(__xludf.DUMMYFUNCTION("""COMPUTED_VALUE"""),0.0)</f>
        <v>0</v>
      </c>
      <c r="V8" s="99">
        <f>IFERROR(__xludf.DUMMYFUNCTION("""COMPUTED_VALUE"""),0.0)</f>
        <v>0</v>
      </c>
      <c r="W8" s="99">
        <f>IFERROR(__xludf.DUMMYFUNCTION("""COMPUTED_VALUE"""),0.0)</f>
        <v>0</v>
      </c>
    </row>
    <row r="9">
      <c r="N9" s="98">
        <f>IFERROR(__xludf.DUMMYFUNCTION("""COMPUTED_VALUE"""),43743.0)</f>
        <v>43743</v>
      </c>
      <c r="O9" s="96" t="str">
        <f>IFERROR(__xludf.DUMMYFUNCTION("""COMPUTED_VALUE"""),"COLLINS  OFFA")</f>
        <v>COLLINS  OFFA</v>
      </c>
      <c r="P9" s="96" t="str">
        <f>IFERROR(__xludf.DUMMYFUNCTION("""COMPUTED_VALUE"""),"BALANCE")</f>
        <v>BALANCE</v>
      </c>
      <c r="Q9" s="99">
        <f>IFERROR(__xludf.DUMMYFUNCTION("""COMPUTED_VALUE"""),1090000.0)</f>
        <v>1090000</v>
      </c>
      <c r="R9" s="96" t="str">
        <f>IFERROR(__xludf.DUMMYFUNCTION("""COMPUTED_VALUE"""),"Prefinance")</f>
        <v>Prefinance</v>
      </c>
      <c r="S9" s="99">
        <f>IFERROR(__xludf.DUMMYFUNCTION("""COMPUTED_VALUE"""),0.0)</f>
        <v>0</v>
      </c>
      <c r="T9" s="99">
        <f>IFERROR(__xludf.DUMMYFUNCTION("""COMPUTED_VALUE"""),0.0)</f>
        <v>0</v>
      </c>
      <c r="U9" s="99">
        <f>IFERROR(__xludf.DUMMYFUNCTION("""COMPUTED_VALUE"""),0.0)</f>
        <v>0</v>
      </c>
      <c r="V9" s="99">
        <f>IFERROR(__xludf.DUMMYFUNCTION("""COMPUTED_VALUE"""),0.0)</f>
        <v>0</v>
      </c>
      <c r="W9" s="99">
        <f>IFERROR(__xludf.DUMMYFUNCTION("""COMPUTED_VALUE"""),0.0)</f>
        <v>0</v>
      </c>
    </row>
    <row r="10">
      <c r="N10" s="98">
        <f>IFERROR(__xludf.DUMMYFUNCTION("""COMPUTED_VALUE"""),43743.0)</f>
        <v>43743</v>
      </c>
      <c r="O10" s="96" t="str">
        <f>IFERROR(__xludf.DUMMYFUNCTION("""COMPUTED_VALUE"""),"SEPH ODEY")</f>
        <v>SEPH ODEY</v>
      </c>
      <c r="P10" s="96" t="str">
        <f>IFERROR(__xludf.DUMMYFUNCTION("""COMPUTED_VALUE"""),"BALANCE")</f>
        <v>BALANCE</v>
      </c>
      <c r="Q10" s="99">
        <f>IFERROR(__xludf.DUMMYFUNCTION("""COMPUTED_VALUE"""),126000.0)</f>
        <v>126000</v>
      </c>
      <c r="R10" s="96" t="str">
        <f>IFERROR(__xludf.DUMMYFUNCTION("""COMPUTED_VALUE"""),"Prefinance")</f>
        <v>Prefinance</v>
      </c>
      <c r="S10" s="99">
        <f>IFERROR(__xludf.DUMMYFUNCTION("""COMPUTED_VALUE"""),0.0)</f>
        <v>0</v>
      </c>
      <c r="T10" s="99">
        <f>IFERROR(__xludf.DUMMYFUNCTION("""COMPUTED_VALUE"""),0.0)</f>
        <v>0</v>
      </c>
      <c r="U10" s="99">
        <f>IFERROR(__xludf.DUMMYFUNCTION("""COMPUTED_VALUE"""),0.0)</f>
        <v>0</v>
      </c>
      <c r="V10" s="99">
        <f>IFERROR(__xludf.DUMMYFUNCTION("""COMPUTED_VALUE"""),0.0)</f>
        <v>0</v>
      </c>
      <c r="W10" s="99">
        <f>IFERROR(__xludf.DUMMYFUNCTION("""COMPUTED_VALUE"""),0.0)</f>
        <v>0</v>
      </c>
    </row>
    <row r="11">
      <c r="N11" s="98">
        <f>IFERROR(__xludf.DUMMYFUNCTION("""COMPUTED_VALUE"""),43743.0)</f>
        <v>43743</v>
      </c>
      <c r="O11" s="96" t="str">
        <f>IFERROR(__xludf.DUMMYFUNCTION("""COMPUTED_VALUE"""),"OSIM MARIAM")</f>
        <v>OSIM MARIAM</v>
      </c>
      <c r="P11" s="96" t="str">
        <f>IFERROR(__xludf.DUMMYFUNCTION("""COMPUTED_VALUE"""),"BALANCE")</f>
        <v>BALANCE</v>
      </c>
      <c r="Q11" s="99">
        <f>IFERROR(__xludf.DUMMYFUNCTION("""COMPUTED_VALUE"""),400000.0)</f>
        <v>400000</v>
      </c>
      <c r="R11" s="96" t="str">
        <f>IFERROR(__xludf.DUMMYFUNCTION("""COMPUTED_VALUE"""),"Prefinance")</f>
        <v>Prefinance</v>
      </c>
      <c r="S11" s="99">
        <f>IFERROR(__xludf.DUMMYFUNCTION("""COMPUTED_VALUE"""),0.0)</f>
        <v>0</v>
      </c>
      <c r="T11" s="99">
        <f>IFERROR(__xludf.DUMMYFUNCTION("""COMPUTED_VALUE"""),0.0)</f>
        <v>0</v>
      </c>
      <c r="U11" s="99">
        <f>IFERROR(__xludf.DUMMYFUNCTION("""COMPUTED_VALUE"""),0.0)</f>
        <v>0</v>
      </c>
      <c r="V11" s="99">
        <f>IFERROR(__xludf.DUMMYFUNCTION("""COMPUTED_VALUE"""),0.0)</f>
        <v>0</v>
      </c>
      <c r="W11" s="99">
        <f>IFERROR(__xludf.DUMMYFUNCTION("""COMPUTED_VALUE"""),0.0)</f>
        <v>0</v>
      </c>
    </row>
    <row r="12">
      <c r="N12" s="98">
        <f>IFERROR(__xludf.DUMMYFUNCTION("""COMPUTED_VALUE"""),43743.0)</f>
        <v>43743</v>
      </c>
      <c r="O12" s="96" t="str">
        <f>IFERROR(__xludf.DUMMYFUNCTION("""COMPUTED_VALUE"""),"ENYA HN")</f>
        <v>ENYA HN</v>
      </c>
      <c r="P12" s="96" t="str">
        <f>IFERROR(__xludf.DUMMYFUNCTION("""COMPUTED_VALUE"""),"BALANCE")</f>
        <v>BALANCE</v>
      </c>
      <c r="Q12" s="99">
        <f>IFERROR(__xludf.DUMMYFUNCTION("""COMPUTED_VALUE"""),187000.0)</f>
        <v>187000</v>
      </c>
      <c r="R12" s="96" t="str">
        <f>IFERROR(__xludf.DUMMYFUNCTION("""COMPUTED_VALUE"""),"Prefinance")</f>
        <v>Prefinance</v>
      </c>
      <c r="S12" s="99">
        <f>IFERROR(__xludf.DUMMYFUNCTION("""COMPUTED_VALUE"""),0.0)</f>
        <v>0</v>
      </c>
      <c r="T12" s="99">
        <f>IFERROR(__xludf.DUMMYFUNCTION("""COMPUTED_VALUE"""),0.0)</f>
        <v>0</v>
      </c>
      <c r="U12" s="99">
        <f>IFERROR(__xludf.DUMMYFUNCTION("""COMPUTED_VALUE"""),0.0)</f>
        <v>0</v>
      </c>
      <c r="V12" s="99">
        <f>IFERROR(__xludf.DUMMYFUNCTION("""COMPUTED_VALUE"""),0.0)</f>
        <v>0</v>
      </c>
      <c r="W12" s="99">
        <f>IFERROR(__xludf.DUMMYFUNCTION("""COMPUTED_VALUE"""),0.0)</f>
        <v>0</v>
      </c>
    </row>
    <row r="13">
      <c r="N13" s="98">
        <f>IFERROR(__xludf.DUMMYFUNCTION("""COMPUTED_VALUE"""),43743.0)</f>
        <v>43743</v>
      </c>
      <c r="O13" s="96" t="str">
        <f>IFERROR(__xludf.DUMMYFUNCTION("""COMPUTED_VALUE"""),"BOSURU  BOSURU")</f>
        <v>BOSURU  BOSURU</v>
      </c>
      <c r="P13" s="96" t="str">
        <f>IFERROR(__xludf.DUMMYFUNCTION("""COMPUTED_VALUE"""),"BALANCE")</f>
        <v>BALANCE</v>
      </c>
      <c r="Q13" s="99">
        <f>IFERROR(__xludf.DUMMYFUNCTION("""COMPUTED_VALUE"""),1000000.0)</f>
        <v>1000000</v>
      </c>
      <c r="R13" s="96" t="str">
        <f>IFERROR(__xludf.DUMMYFUNCTION("""COMPUTED_VALUE"""),"Prefinance")</f>
        <v>Prefinance</v>
      </c>
      <c r="S13" s="99">
        <f>IFERROR(__xludf.DUMMYFUNCTION("""COMPUTED_VALUE"""),0.0)</f>
        <v>0</v>
      </c>
      <c r="T13" s="99">
        <f>IFERROR(__xludf.DUMMYFUNCTION("""COMPUTED_VALUE"""),0.0)</f>
        <v>0</v>
      </c>
      <c r="U13" s="99">
        <f>IFERROR(__xludf.DUMMYFUNCTION("""COMPUTED_VALUE"""),0.0)</f>
        <v>0</v>
      </c>
      <c r="V13" s="99">
        <f>IFERROR(__xludf.DUMMYFUNCTION("""COMPUTED_VALUE"""),0.0)</f>
        <v>0</v>
      </c>
      <c r="W13" s="99">
        <f>IFERROR(__xludf.DUMMYFUNCTION("""COMPUTED_VALUE"""),0.0)</f>
        <v>0</v>
      </c>
    </row>
    <row r="14">
      <c r="N14" s="98">
        <f>IFERROR(__xludf.DUMMYFUNCTION("""COMPUTED_VALUE"""),43743.0)</f>
        <v>43743</v>
      </c>
      <c r="O14" s="96" t="str">
        <f>IFERROR(__xludf.DUMMYFUNCTION("""COMPUTED_VALUE"""),"ASOQUO SUNDAY")</f>
        <v>ASOQUO SUNDAY</v>
      </c>
      <c r="P14" s="96" t="str">
        <f>IFERROR(__xludf.DUMMYFUNCTION("""COMPUTED_VALUE"""),"BALANCE")</f>
        <v>BALANCE</v>
      </c>
      <c r="Q14" s="99">
        <f>IFERROR(__xludf.DUMMYFUNCTION("""COMPUTED_VALUE"""),620000.0)</f>
        <v>620000</v>
      </c>
      <c r="R14" s="96" t="str">
        <f>IFERROR(__xludf.DUMMYFUNCTION("""COMPUTED_VALUE"""),"Prefinance")</f>
        <v>Prefinance</v>
      </c>
      <c r="S14" s="99">
        <f>IFERROR(__xludf.DUMMYFUNCTION("""COMPUTED_VALUE"""),0.0)</f>
        <v>0</v>
      </c>
      <c r="T14" s="99">
        <f>IFERROR(__xludf.DUMMYFUNCTION("""COMPUTED_VALUE"""),0.0)</f>
        <v>0</v>
      </c>
      <c r="U14" s="99">
        <f>IFERROR(__xludf.DUMMYFUNCTION("""COMPUTED_VALUE"""),0.0)</f>
        <v>0</v>
      </c>
      <c r="V14" s="99">
        <f>IFERROR(__xludf.DUMMYFUNCTION("""COMPUTED_VALUE"""),0.0)</f>
        <v>0</v>
      </c>
      <c r="W14" s="99">
        <f>IFERROR(__xludf.DUMMYFUNCTION("""COMPUTED_VALUE"""),0.0)</f>
        <v>0</v>
      </c>
    </row>
    <row r="15">
      <c r="N15" s="98">
        <f>IFERROR(__xludf.DUMMYFUNCTION("""COMPUTED_VALUE"""),43743.0)</f>
        <v>43743</v>
      </c>
      <c r="O15" s="96" t="str">
        <f>IFERROR(__xludf.DUMMYFUNCTION("""COMPUTED_VALUE"""),"OTU KOKO KEIBO")</f>
        <v>OTU KOKO KEIBO</v>
      </c>
      <c r="P15" s="96" t="str">
        <f>IFERROR(__xludf.DUMMYFUNCTION("""COMPUTED_VALUE"""),"BALANCE")</f>
        <v>BALANCE</v>
      </c>
      <c r="Q15" s="99">
        <f>IFERROR(__xludf.DUMMYFUNCTION("""COMPUTED_VALUE"""),2399925.0)</f>
        <v>2399925</v>
      </c>
      <c r="R15" s="96" t="str">
        <f>IFERROR(__xludf.DUMMYFUNCTION("""COMPUTED_VALUE"""),"Prefinance")</f>
        <v>Prefinance</v>
      </c>
      <c r="S15" s="99">
        <f>IFERROR(__xludf.DUMMYFUNCTION("""COMPUTED_VALUE"""),0.0)</f>
        <v>0</v>
      </c>
      <c r="T15" s="99">
        <f>IFERROR(__xludf.DUMMYFUNCTION("""COMPUTED_VALUE"""),0.0)</f>
        <v>0</v>
      </c>
      <c r="U15" s="99">
        <f>IFERROR(__xludf.DUMMYFUNCTION("""COMPUTED_VALUE"""),0.0)</f>
        <v>0</v>
      </c>
      <c r="V15" s="99">
        <f>IFERROR(__xludf.DUMMYFUNCTION("""COMPUTED_VALUE"""),0.0)</f>
        <v>0</v>
      </c>
      <c r="W15" s="99">
        <f>IFERROR(__xludf.DUMMYFUNCTION("""COMPUTED_VALUE"""),0.0)</f>
        <v>0</v>
      </c>
    </row>
    <row r="16">
      <c r="N16" s="98">
        <f>IFERROR(__xludf.DUMMYFUNCTION("""COMPUTED_VALUE"""),43743.0)</f>
        <v>43743</v>
      </c>
      <c r="O16" s="96" t="str">
        <f>IFERROR(__xludf.DUMMYFUNCTION("""COMPUTED_VALUE"""),"AUGUSTINE IGBA")</f>
        <v>AUGUSTINE IGBA</v>
      </c>
      <c r="P16" s="96" t="str">
        <f>IFERROR(__xludf.DUMMYFUNCTION("""COMPUTED_VALUE"""),"BALANCE")</f>
        <v>BALANCE</v>
      </c>
      <c r="Q16" s="99">
        <f>IFERROR(__xludf.DUMMYFUNCTION("""COMPUTED_VALUE"""),2.025962E7)</f>
        <v>20259620</v>
      </c>
      <c r="R16" s="96" t="str">
        <f>IFERROR(__xludf.DUMMYFUNCTION("""COMPUTED_VALUE"""),"Prefinance")</f>
        <v>Prefinance</v>
      </c>
      <c r="S16" s="99">
        <f>IFERROR(__xludf.DUMMYFUNCTION("""COMPUTED_VALUE"""),0.0)</f>
        <v>0</v>
      </c>
      <c r="T16" s="99">
        <f>IFERROR(__xludf.DUMMYFUNCTION("""COMPUTED_VALUE"""),0.0)</f>
        <v>0</v>
      </c>
      <c r="U16" s="99">
        <f>IFERROR(__xludf.DUMMYFUNCTION("""COMPUTED_VALUE"""),0.0)</f>
        <v>0</v>
      </c>
      <c r="V16" s="99">
        <f>IFERROR(__xludf.DUMMYFUNCTION("""COMPUTED_VALUE"""),0.0)</f>
        <v>0</v>
      </c>
      <c r="W16" s="99">
        <f>IFERROR(__xludf.DUMMYFUNCTION("""COMPUTED_VALUE"""),0.0)</f>
        <v>0</v>
      </c>
    </row>
    <row r="17">
      <c r="N17" s="98">
        <f>IFERROR(__xludf.DUMMYFUNCTION("""COMPUTED_VALUE"""),43743.0)</f>
        <v>43743</v>
      </c>
      <c r="O17" s="96" t="str">
        <f>IFERROR(__xludf.DUMMYFUNCTION("""COMPUTED_VALUE"""),"PETER JAMES")</f>
        <v>PETER JAMES</v>
      </c>
      <c r="P17" s="96" t="str">
        <f>IFERROR(__xludf.DUMMYFUNCTION("""COMPUTED_VALUE"""),"BALANCE")</f>
        <v>BALANCE</v>
      </c>
      <c r="Q17" s="99">
        <f>IFERROR(__xludf.DUMMYFUNCTION("""COMPUTED_VALUE"""),340094.0)</f>
        <v>340094</v>
      </c>
      <c r="R17" s="96" t="str">
        <f>IFERROR(__xludf.DUMMYFUNCTION("""COMPUTED_VALUE"""),"Prefinance")</f>
        <v>Prefinance</v>
      </c>
      <c r="S17" s="99">
        <f>IFERROR(__xludf.DUMMYFUNCTION("""COMPUTED_VALUE"""),0.0)</f>
        <v>0</v>
      </c>
      <c r="T17" s="99">
        <f>IFERROR(__xludf.DUMMYFUNCTION("""COMPUTED_VALUE"""),0.0)</f>
        <v>0</v>
      </c>
      <c r="U17" s="99">
        <f>IFERROR(__xludf.DUMMYFUNCTION("""COMPUTED_VALUE"""),0.0)</f>
        <v>0</v>
      </c>
      <c r="V17" s="99">
        <f>IFERROR(__xludf.DUMMYFUNCTION("""COMPUTED_VALUE"""),0.0)</f>
        <v>0</v>
      </c>
      <c r="W17" s="99">
        <f>IFERROR(__xludf.DUMMYFUNCTION("""COMPUTED_VALUE"""),0.0)</f>
        <v>0</v>
      </c>
    </row>
    <row r="18">
      <c r="N18" s="98">
        <f>IFERROR(__xludf.DUMMYFUNCTION("""COMPUTED_VALUE"""),43743.0)</f>
        <v>43743</v>
      </c>
      <c r="O18" s="96" t="str">
        <f>IFERROR(__xludf.DUMMYFUNCTION("""COMPUTED_VALUE"""),"AYUK AYUK")</f>
        <v>AYUK AYUK</v>
      </c>
      <c r="P18" s="96" t="str">
        <f>IFERROR(__xludf.DUMMYFUNCTION("""COMPUTED_VALUE"""),"BALANCE")</f>
        <v>BALANCE</v>
      </c>
      <c r="Q18" s="99">
        <f>IFERROR(__xludf.DUMMYFUNCTION("""COMPUTED_VALUE"""),120000.0)</f>
        <v>120000</v>
      </c>
      <c r="R18" s="96" t="str">
        <f>IFERROR(__xludf.DUMMYFUNCTION("""COMPUTED_VALUE"""),"Prefinance")</f>
        <v>Prefinance</v>
      </c>
      <c r="S18" s="99">
        <f>IFERROR(__xludf.DUMMYFUNCTION("""COMPUTED_VALUE"""),0.0)</f>
        <v>0</v>
      </c>
      <c r="T18" s="99">
        <f>IFERROR(__xludf.DUMMYFUNCTION("""COMPUTED_VALUE"""),0.0)</f>
        <v>0</v>
      </c>
      <c r="U18" s="99">
        <f>IFERROR(__xludf.DUMMYFUNCTION("""COMPUTED_VALUE"""),0.0)</f>
        <v>0</v>
      </c>
      <c r="V18" s="99">
        <f>IFERROR(__xludf.DUMMYFUNCTION("""COMPUTED_VALUE"""),0.0)</f>
        <v>0</v>
      </c>
      <c r="W18" s="99">
        <f>IFERROR(__xludf.DUMMYFUNCTION("""COMPUTED_VALUE"""),0.0)</f>
        <v>0</v>
      </c>
    </row>
    <row r="19">
      <c r="N19" s="98">
        <f>IFERROR(__xludf.DUMMYFUNCTION("""COMPUTED_VALUE"""),43743.0)</f>
        <v>43743</v>
      </c>
      <c r="O19" s="96" t="str">
        <f>IFERROR(__xludf.DUMMYFUNCTION("""COMPUTED_VALUE""")," MAXWELL AGRO")</f>
        <v> MAXWELL AGRO</v>
      </c>
      <c r="P19" s="96" t="str">
        <f>IFERROR(__xludf.DUMMYFUNCTION("""COMPUTED_VALUE"""),"BALANCE")</f>
        <v>BALANCE</v>
      </c>
      <c r="Q19" s="99">
        <f>IFERROR(__xludf.DUMMYFUNCTION("""COMPUTED_VALUE"""),300000.0)</f>
        <v>300000</v>
      </c>
      <c r="R19" s="96" t="str">
        <f>IFERROR(__xludf.DUMMYFUNCTION("""COMPUTED_VALUE"""),"Prefinance")</f>
        <v>Prefinance</v>
      </c>
      <c r="S19" s="99">
        <f>IFERROR(__xludf.DUMMYFUNCTION("""COMPUTED_VALUE"""),0.0)</f>
        <v>0</v>
      </c>
      <c r="T19" s="99">
        <f>IFERROR(__xludf.DUMMYFUNCTION("""COMPUTED_VALUE"""),0.0)</f>
        <v>0</v>
      </c>
      <c r="U19" s="99">
        <f>IFERROR(__xludf.DUMMYFUNCTION("""COMPUTED_VALUE"""),0.0)</f>
        <v>0</v>
      </c>
      <c r="V19" s="99">
        <f>IFERROR(__xludf.DUMMYFUNCTION("""COMPUTED_VALUE"""),0.0)</f>
        <v>0</v>
      </c>
      <c r="W19" s="99">
        <f>IFERROR(__xludf.DUMMYFUNCTION("""COMPUTED_VALUE"""),0.0)</f>
        <v>0</v>
      </c>
    </row>
    <row r="20">
      <c r="N20" s="98">
        <f>IFERROR(__xludf.DUMMYFUNCTION("""COMPUTED_VALUE"""),43743.0)</f>
        <v>43743</v>
      </c>
      <c r="O20" s="96" t="str">
        <f>IFERROR(__xludf.DUMMYFUNCTION("""COMPUTED_VALUE"""),"RAPHEAL OKON")</f>
        <v>RAPHEAL OKON</v>
      </c>
      <c r="P20" s="96" t="str">
        <f>IFERROR(__xludf.DUMMYFUNCTION("""COMPUTED_VALUE"""),"BALANCE")</f>
        <v>BALANCE</v>
      </c>
      <c r="Q20" s="99">
        <f>IFERROR(__xludf.DUMMYFUNCTION("""COMPUTED_VALUE"""),200000.0)</f>
        <v>200000</v>
      </c>
      <c r="R20" s="96" t="str">
        <f>IFERROR(__xludf.DUMMYFUNCTION("""COMPUTED_VALUE"""),"Prefinance")</f>
        <v>Prefinance</v>
      </c>
      <c r="S20" s="99">
        <f>IFERROR(__xludf.DUMMYFUNCTION("""COMPUTED_VALUE"""),0.0)</f>
        <v>0</v>
      </c>
      <c r="T20" s="99">
        <f>IFERROR(__xludf.DUMMYFUNCTION("""COMPUTED_VALUE"""),0.0)</f>
        <v>0</v>
      </c>
      <c r="U20" s="99">
        <f>IFERROR(__xludf.DUMMYFUNCTION("""COMPUTED_VALUE"""),0.0)</f>
        <v>0</v>
      </c>
      <c r="V20" s="99">
        <f>IFERROR(__xludf.DUMMYFUNCTION("""COMPUTED_VALUE"""),0.0)</f>
        <v>0</v>
      </c>
      <c r="W20" s="99">
        <f>IFERROR(__xludf.DUMMYFUNCTION("""COMPUTED_VALUE"""),0.0)</f>
        <v>0</v>
      </c>
    </row>
    <row r="21">
      <c r="N21" s="98">
        <f>IFERROR(__xludf.DUMMYFUNCTION("""COMPUTED_VALUE"""),43743.0)</f>
        <v>43743</v>
      </c>
      <c r="O21" s="96" t="str">
        <f>IFERROR(__xludf.DUMMYFUNCTION("""COMPUTED_VALUE"""),"EKABA ETTA")</f>
        <v>EKABA ETTA</v>
      </c>
      <c r="P21" s="96" t="str">
        <f>IFERROR(__xludf.DUMMYFUNCTION("""COMPUTED_VALUE"""),"BALANCE")</f>
        <v>BALANCE</v>
      </c>
      <c r="Q21" s="99">
        <f>IFERROR(__xludf.DUMMYFUNCTION("""COMPUTED_VALUE"""),1200000.0)</f>
        <v>1200000</v>
      </c>
      <c r="R21" s="96" t="str">
        <f>IFERROR(__xludf.DUMMYFUNCTION("""COMPUTED_VALUE"""),"Prefinance")</f>
        <v>Prefinance</v>
      </c>
      <c r="S21" s="99">
        <f>IFERROR(__xludf.DUMMYFUNCTION("""COMPUTED_VALUE"""),0.0)</f>
        <v>0</v>
      </c>
      <c r="T21" s="99">
        <f>IFERROR(__xludf.DUMMYFUNCTION("""COMPUTED_VALUE"""),0.0)</f>
        <v>0</v>
      </c>
      <c r="U21" s="99">
        <f>IFERROR(__xludf.DUMMYFUNCTION("""COMPUTED_VALUE"""),0.0)</f>
        <v>0</v>
      </c>
      <c r="V21" s="99">
        <f>IFERROR(__xludf.DUMMYFUNCTION("""COMPUTED_VALUE"""),0.0)</f>
        <v>0</v>
      </c>
      <c r="W21" s="99">
        <f>IFERROR(__xludf.DUMMYFUNCTION("""COMPUTED_VALUE"""),0.0)</f>
        <v>0</v>
      </c>
    </row>
    <row r="22">
      <c r="N22" s="98">
        <f>IFERROR(__xludf.DUMMYFUNCTION("""COMPUTED_VALUE"""),43743.0)</f>
        <v>43743</v>
      </c>
      <c r="O22" s="96" t="str">
        <f>IFERROR(__xludf.DUMMYFUNCTION("""COMPUTED_VALUE"""),"LAWERENCE ETTA OGAR")</f>
        <v>LAWERENCE ETTA OGAR</v>
      </c>
      <c r="P22" s="96" t="str">
        <f>IFERROR(__xludf.DUMMYFUNCTION("""COMPUTED_VALUE"""),"BALANCE")</f>
        <v>BALANCE</v>
      </c>
      <c r="Q22" s="99">
        <f>IFERROR(__xludf.DUMMYFUNCTION("""COMPUTED_VALUE"""),323719.0)</f>
        <v>323719</v>
      </c>
      <c r="R22" s="96" t="str">
        <f>IFERROR(__xludf.DUMMYFUNCTION("""COMPUTED_VALUE"""),"Prefinance")</f>
        <v>Prefinance</v>
      </c>
      <c r="S22" s="99">
        <f>IFERROR(__xludf.DUMMYFUNCTION("""COMPUTED_VALUE"""),0.0)</f>
        <v>0</v>
      </c>
      <c r="T22" s="99">
        <f>IFERROR(__xludf.DUMMYFUNCTION("""COMPUTED_VALUE"""),0.0)</f>
        <v>0</v>
      </c>
      <c r="U22" s="99">
        <f>IFERROR(__xludf.DUMMYFUNCTION("""COMPUTED_VALUE"""),0.0)</f>
        <v>0</v>
      </c>
      <c r="V22" s="99">
        <f>IFERROR(__xludf.DUMMYFUNCTION("""COMPUTED_VALUE"""),0.0)</f>
        <v>0</v>
      </c>
      <c r="W22" s="99">
        <f>IFERROR(__xludf.DUMMYFUNCTION("""COMPUTED_VALUE"""),0.0)</f>
        <v>0</v>
      </c>
    </row>
    <row r="23">
      <c r="N23" s="98">
        <f>IFERROR(__xludf.DUMMYFUNCTION("""COMPUTED_VALUE"""),43743.0)</f>
        <v>43743</v>
      </c>
      <c r="O23" s="96" t="str">
        <f>IFERROR(__xludf.DUMMYFUNCTION("""COMPUTED_VALUE"""),"LYDIA HNSON ")</f>
        <v>LYDIA HNSON </v>
      </c>
      <c r="P23" s="96" t="str">
        <f>IFERROR(__xludf.DUMMYFUNCTION("""COMPUTED_VALUE"""),"BALANCE")</f>
        <v>BALANCE</v>
      </c>
      <c r="Q23" s="99">
        <f>IFERROR(__xludf.DUMMYFUNCTION("""COMPUTED_VALUE"""),2600000.0)</f>
        <v>2600000</v>
      </c>
      <c r="R23" s="96" t="str">
        <f>IFERROR(__xludf.DUMMYFUNCTION("""COMPUTED_VALUE"""),"Prefinance")</f>
        <v>Prefinance</v>
      </c>
      <c r="S23" s="99">
        <f>IFERROR(__xludf.DUMMYFUNCTION("""COMPUTED_VALUE"""),0.0)</f>
        <v>0</v>
      </c>
      <c r="T23" s="99">
        <f>IFERROR(__xludf.DUMMYFUNCTION("""COMPUTED_VALUE"""),0.0)</f>
        <v>0</v>
      </c>
      <c r="U23" s="99">
        <f>IFERROR(__xludf.DUMMYFUNCTION("""COMPUTED_VALUE"""),0.0)</f>
        <v>0</v>
      </c>
      <c r="V23" s="99">
        <f>IFERROR(__xludf.DUMMYFUNCTION("""COMPUTED_VALUE"""),0.0)</f>
        <v>0</v>
      </c>
      <c r="W23" s="99">
        <f>IFERROR(__xludf.DUMMYFUNCTION("""COMPUTED_VALUE"""),0.0)</f>
        <v>0</v>
      </c>
    </row>
    <row r="24">
      <c r="N24" s="98">
        <f>IFERROR(__xludf.DUMMYFUNCTION("""COMPUTED_VALUE"""),43743.0)</f>
        <v>43743</v>
      </c>
      <c r="O24" s="96" t="str">
        <f>IFERROR(__xludf.DUMMYFUNCTION("""COMPUTED_VALUE"""),"NAOMI")</f>
        <v>NAOMI</v>
      </c>
      <c r="P24" s="96" t="str">
        <f>IFERROR(__xludf.DUMMYFUNCTION("""COMPUTED_VALUE"""),"BALANCE")</f>
        <v>BALANCE</v>
      </c>
      <c r="Q24" s="99">
        <f>IFERROR(__xludf.DUMMYFUNCTION("""COMPUTED_VALUE"""),1.3090265E7)</f>
        <v>13090265</v>
      </c>
      <c r="R24" s="96" t="str">
        <f>IFERROR(__xludf.DUMMYFUNCTION("""COMPUTED_VALUE"""),"Prefinance")</f>
        <v>Prefinance</v>
      </c>
      <c r="S24" s="99">
        <f>IFERROR(__xludf.DUMMYFUNCTION("""COMPUTED_VALUE"""),0.0)</f>
        <v>0</v>
      </c>
      <c r="T24" s="99">
        <f>IFERROR(__xludf.DUMMYFUNCTION("""COMPUTED_VALUE"""),0.0)</f>
        <v>0</v>
      </c>
      <c r="U24" s="99">
        <f>IFERROR(__xludf.DUMMYFUNCTION("""COMPUTED_VALUE"""),0.0)</f>
        <v>0</v>
      </c>
      <c r="V24" s="99">
        <f>IFERROR(__xludf.DUMMYFUNCTION("""COMPUTED_VALUE"""),0.0)</f>
        <v>0</v>
      </c>
      <c r="W24" s="99">
        <f>IFERROR(__xludf.DUMMYFUNCTION("""COMPUTED_VALUE"""),0.0)</f>
        <v>0</v>
      </c>
    </row>
    <row r="25">
      <c r="N25" s="98">
        <f>IFERROR(__xludf.DUMMYFUNCTION("""COMPUTED_VALUE"""),43743.0)</f>
        <v>43743</v>
      </c>
      <c r="O25" s="96" t="str">
        <f>IFERROR(__xludf.DUMMYFUNCTION("""COMPUTED_VALUE"""),"MAXWELL AGRO OBI")</f>
        <v>MAXWELL AGRO OBI</v>
      </c>
      <c r="P25" s="96" t="str">
        <f>IFERROR(__xludf.DUMMYFUNCTION("""COMPUTED_VALUE"""),"BALANCE")</f>
        <v>BALANCE</v>
      </c>
      <c r="Q25" s="99">
        <f>IFERROR(__xludf.DUMMYFUNCTION("""COMPUTED_VALUE"""),500000.0)</f>
        <v>500000</v>
      </c>
      <c r="R25" s="96" t="str">
        <f>IFERROR(__xludf.DUMMYFUNCTION("""COMPUTED_VALUE"""),"Prefinance")</f>
        <v>Prefinance</v>
      </c>
      <c r="S25" s="99">
        <f>IFERROR(__xludf.DUMMYFUNCTION("""COMPUTED_VALUE"""),0.0)</f>
        <v>0</v>
      </c>
      <c r="T25" s="99">
        <f>IFERROR(__xludf.DUMMYFUNCTION("""COMPUTED_VALUE"""),0.0)</f>
        <v>0</v>
      </c>
      <c r="U25" s="99">
        <f>IFERROR(__xludf.DUMMYFUNCTION("""COMPUTED_VALUE"""),0.0)</f>
        <v>0</v>
      </c>
      <c r="V25" s="99">
        <f>IFERROR(__xludf.DUMMYFUNCTION("""COMPUTED_VALUE"""),0.0)</f>
        <v>0</v>
      </c>
      <c r="W25" s="99">
        <f>IFERROR(__xludf.DUMMYFUNCTION("""COMPUTED_VALUE"""),0.0)</f>
        <v>0</v>
      </c>
    </row>
    <row r="26">
      <c r="N26" s="98">
        <f>IFERROR(__xludf.DUMMYFUNCTION("""COMPUTED_VALUE"""),43743.0)</f>
        <v>43743</v>
      </c>
      <c r="O26" s="96" t="str">
        <f>IFERROR(__xludf.DUMMYFUNCTION("""COMPUTED_VALUE"""),"R.  MAXWELL AGRO")</f>
        <v>R.  MAXWELL AGRO</v>
      </c>
      <c r="P26" s="96" t="str">
        <f>IFERROR(__xludf.DUMMYFUNCTION("""COMPUTED_VALUE"""),"BALANCE")</f>
        <v>BALANCE</v>
      </c>
      <c r="Q26" s="99">
        <f>IFERROR(__xludf.DUMMYFUNCTION("""COMPUTED_VALUE"""),840000.0)</f>
        <v>840000</v>
      </c>
      <c r="R26" s="96" t="str">
        <f>IFERROR(__xludf.DUMMYFUNCTION("""COMPUTED_VALUE"""),"Prefinance")</f>
        <v>Prefinance</v>
      </c>
      <c r="S26" s="99">
        <f>IFERROR(__xludf.DUMMYFUNCTION("""COMPUTED_VALUE"""),0.0)</f>
        <v>0</v>
      </c>
      <c r="T26" s="99">
        <f>IFERROR(__xludf.DUMMYFUNCTION("""COMPUTED_VALUE"""),0.0)</f>
        <v>0</v>
      </c>
      <c r="U26" s="99">
        <f>IFERROR(__xludf.DUMMYFUNCTION("""COMPUTED_VALUE"""),0.0)</f>
        <v>0</v>
      </c>
      <c r="V26" s="99">
        <f>IFERROR(__xludf.DUMMYFUNCTION("""COMPUTED_VALUE"""),0.0)</f>
        <v>0</v>
      </c>
      <c r="W26" s="99">
        <f>IFERROR(__xludf.DUMMYFUNCTION("""COMPUTED_VALUE"""),0.0)</f>
        <v>0</v>
      </c>
    </row>
    <row r="27">
      <c r="N27" s="98">
        <f>IFERROR(__xludf.DUMMYFUNCTION("""COMPUTED_VALUE"""),43743.0)</f>
        <v>43743</v>
      </c>
      <c r="O27" s="96" t="str">
        <f>IFERROR(__xludf.DUMMYFUNCTION("""COMPUTED_VALUE"""),"ABANG. BEN OLUM")</f>
        <v>ABANG. BEN OLUM</v>
      </c>
      <c r="P27" s="96" t="str">
        <f>IFERROR(__xludf.DUMMYFUNCTION("""COMPUTED_VALUE"""),"BALANCE")</f>
        <v>BALANCE</v>
      </c>
      <c r="Q27" s="99">
        <f>IFERROR(__xludf.DUMMYFUNCTION("""COMPUTED_VALUE"""),920000.0)</f>
        <v>920000</v>
      </c>
      <c r="R27" s="96" t="str">
        <f>IFERROR(__xludf.DUMMYFUNCTION("""COMPUTED_VALUE"""),"Prefinance")</f>
        <v>Prefinance</v>
      </c>
      <c r="S27" s="99">
        <f>IFERROR(__xludf.DUMMYFUNCTION("""COMPUTED_VALUE"""),0.0)</f>
        <v>0</v>
      </c>
      <c r="T27" s="99">
        <f>IFERROR(__xludf.DUMMYFUNCTION("""COMPUTED_VALUE"""),0.0)</f>
        <v>0</v>
      </c>
      <c r="U27" s="99">
        <f>IFERROR(__xludf.DUMMYFUNCTION("""COMPUTED_VALUE"""),0.0)</f>
        <v>0</v>
      </c>
      <c r="V27" s="99">
        <f>IFERROR(__xludf.DUMMYFUNCTION("""COMPUTED_VALUE"""),0.0)</f>
        <v>0</v>
      </c>
      <c r="W27" s="99">
        <f>IFERROR(__xludf.DUMMYFUNCTION("""COMPUTED_VALUE"""),0.0)</f>
        <v>0</v>
      </c>
    </row>
    <row r="28">
      <c r="N28" s="98">
        <f>IFERROR(__xludf.DUMMYFUNCTION("""COMPUTED_VALUE"""),43743.0)</f>
        <v>43743</v>
      </c>
      <c r="O28" s="96" t="str">
        <f>IFERROR(__xludf.DUMMYFUNCTION("""COMPUTED_VALUE"""),"NYIAM FREDERICK JUSTINE")</f>
        <v>NYIAM FREDERICK JUSTINE</v>
      </c>
      <c r="P28" s="96" t="str">
        <f>IFERROR(__xludf.DUMMYFUNCTION("""COMPUTED_VALUE"""),"BALANCE")</f>
        <v>BALANCE</v>
      </c>
      <c r="Q28" s="99">
        <f>IFERROR(__xludf.DUMMYFUNCTION("""COMPUTED_VALUE"""),400000.0)</f>
        <v>400000</v>
      </c>
      <c r="R28" s="96" t="str">
        <f>IFERROR(__xludf.DUMMYFUNCTION("""COMPUTED_VALUE"""),"Prefinance")</f>
        <v>Prefinance</v>
      </c>
      <c r="S28" s="99">
        <f>IFERROR(__xludf.DUMMYFUNCTION("""COMPUTED_VALUE"""),0.0)</f>
        <v>0</v>
      </c>
      <c r="T28" s="99">
        <f>IFERROR(__xludf.DUMMYFUNCTION("""COMPUTED_VALUE"""),0.0)</f>
        <v>0</v>
      </c>
      <c r="U28" s="99">
        <f>IFERROR(__xludf.DUMMYFUNCTION("""COMPUTED_VALUE"""),0.0)</f>
        <v>0</v>
      </c>
      <c r="V28" s="99">
        <f>IFERROR(__xludf.DUMMYFUNCTION("""COMPUTED_VALUE"""),0.0)</f>
        <v>0</v>
      </c>
      <c r="W28" s="99">
        <f>IFERROR(__xludf.DUMMYFUNCTION("""COMPUTED_VALUE"""),0.0)</f>
        <v>0</v>
      </c>
    </row>
    <row r="29">
      <c r="N29" s="98">
        <f>IFERROR(__xludf.DUMMYFUNCTION("""COMPUTED_VALUE"""),43743.0)</f>
        <v>43743</v>
      </c>
      <c r="O29" s="96" t="str">
        <f>IFERROR(__xludf.DUMMYFUNCTION("""COMPUTED_VALUE"""),"RI SAMP")</f>
        <v>RI SAMP</v>
      </c>
      <c r="P29" s="96" t="str">
        <f>IFERROR(__xludf.DUMMYFUNCTION("""COMPUTED_VALUE"""),"BALANCE")</f>
        <v>BALANCE</v>
      </c>
      <c r="Q29" s="99">
        <f>IFERROR(__xludf.DUMMYFUNCTION("""COMPUTED_VALUE"""),1000000.0)</f>
        <v>1000000</v>
      </c>
      <c r="R29" s="96" t="str">
        <f>IFERROR(__xludf.DUMMYFUNCTION("""COMPUTED_VALUE"""),"Prefinance")</f>
        <v>Prefinance</v>
      </c>
      <c r="S29" s="99">
        <f>IFERROR(__xludf.DUMMYFUNCTION("""COMPUTED_VALUE"""),0.0)</f>
        <v>0</v>
      </c>
      <c r="T29" s="99">
        <f>IFERROR(__xludf.DUMMYFUNCTION("""COMPUTED_VALUE"""),0.0)</f>
        <v>0</v>
      </c>
      <c r="U29" s="99">
        <f>IFERROR(__xludf.DUMMYFUNCTION("""COMPUTED_VALUE"""),0.0)</f>
        <v>0</v>
      </c>
      <c r="V29" s="99">
        <f>IFERROR(__xludf.DUMMYFUNCTION("""COMPUTED_VALUE"""),0.0)</f>
        <v>0</v>
      </c>
      <c r="W29" s="99">
        <f>IFERROR(__xludf.DUMMYFUNCTION("""COMPUTED_VALUE"""),0.0)</f>
        <v>0</v>
      </c>
    </row>
    <row r="30">
      <c r="N30" s="98">
        <f>IFERROR(__xludf.DUMMYFUNCTION("""COMPUTED_VALUE"""),43743.0)</f>
        <v>43743</v>
      </c>
      <c r="O30" s="96" t="str">
        <f>IFERROR(__xludf.DUMMYFUNCTION("""COMPUTED_VALUE"""),"REMMY BODES")</f>
        <v>REMMY BODES</v>
      </c>
      <c r="P30" s="96" t="str">
        <f>IFERROR(__xludf.DUMMYFUNCTION("""COMPUTED_VALUE"""),"BALANCE")</f>
        <v>BALANCE</v>
      </c>
      <c r="Q30" s="99">
        <f>IFERROR(__xludf.DUMMYFUNCTION("""COMPUTED_VALUE"""),510000.0)</f>
        <v>510000</v>
      </c>
      <c r="R30" s="96" t="str">
        <f>IFERROR(__xludf.DUMMYFUNCTION("""COMPUTED_VALUE"""),"Prefinance")</f>
        <v>Prefinance</v>
      </c>
      <c r="S30" s="99">
        <f>IFERROR(__xludf.DUMMYFUNCTION("""COMPUTED_VALUE"""),0.0)</f>
        <v>0</v>
      </c>
      <c r="T30" s="99">
        <f>IFERROR(__xludf.DUMMYFUNCTION("""COMPUTED_VALUE"""),0.0)</f>
        <v>0</v>
      </c>
      <c r="U30" s="99">
        <f>IFERROR(__xludf.DUMMYFUNCTION("""COMPUTED_VALUE"""),0.0)</f>
        <v>0</v>
      </c>
      <c r="V30" s="99">
        <f>IFERROR(__xludf.DUMMYFUNCTION("""COMPUTED_VALUE"""),0.0)</f>
        <v>0</v>
      </c>
      <c r="W30" s="99">
        <f>IFERROR(__xludf.DUMMYFUNCTION("""COMPUTED_VALUE"""),0.0)</f>
        <v>0</v>
      </c>
    </row>
    <row r="31">
      <c r="N31" s="98">
        <f>IFERROR(__xludf.DUMMYFUNCTION("""COMPUTED_VALUE"""),43743.0)</f>
        <v>43743</v>
      </c>
      <c r="O31" s="96" t="str">
        <f>IFERROR(__xludf.DUMMYFUNCTION("""COMPUTED_VALUE"""),"ANDRDEW GREAT")</f>
        <v>ANDRDEW GREAT</v>
      </c>
      <c r="P31" s="96" t="str">
        <f>IFERROR(__xludf.DUMMYFUNCTION("""COMPUTED_VALUE"""),"BALANCE")</f>
        <v>BALANCE</v>
      </c>
      <c r="Q31" s="99">
        <f>IFERROR(__xludf.DUMMYFUNCTION("""COMPUTED_VALUE"""),1517570.0)</f>
        <v>1517570</v>
      </c>
      <c r="R31" s="96" t="str">
        <f>IFERROR(__xludf.DUMMYFUNCTION("""COMPUTED_VALUE"""),"Prefinance")</f>
        <v>Prefinance</v>
      </c>
      <c r="S31" s="99">
        <f>IFERROR(__xludf.DUMMYFUNCTION("""COMPUTED_VALUE"""),0.0)</f>
        <v>0</v>
      </c>
      <c r="T31" s="99">
        <f>IFERROR(__xludf.DUMMYFUNCTION("""COMPUTED_VALUE"""),0.0)</f>
        <v>0</v>
      </c>
      <c r="U31" s="99">
        <f>IFERROR(__xludf.DUMMYFUNCTION("""COMPUTED_VALUE"""),0.0)</f>
        <v>0</v>
      </c>
      <c r="V31" s="99">
        <f>IFERROR(__xludf.DUMMYFUNCTION("""COMPUTED_VALUE"""),0.0)</f>
        <v>0</v>
      </c>
      <c r="W31" s="99">
        <f>IFERROR(__xludf.DUMMYFUNCTION("""COMPUTED_VALUE"""),0.0)</f>
        <v>0</v>
      </c>
    </row>
    <row r="32">
      <c r="N32" s="98">
        <f>IFERROR(__xludf.DUMMYFUNCTION("""COMPUTED_VALUE"""),43743.0)</f>
        <v>43743</v>
      </c>
      <c r="O32" s="96" t="str">
        <f>IFERROR(__xludf.DUMMYFUNCTION("""COMPUTED_VALUE"""),"NDOMA BODE I.D")</f>
        <v>NDOMA BODE I.D</v>
      </c>
      <c r="P32" s="96" t="str">
        <f>IFERROR(__xludf.DUMMYFUNCTION("""COMPUTED_VALUE"""),"BALANCE")</f>
        <v>BALANCE</v>
      </c>
      <c r="Q32" s="99">
        <f>IFERROR(__xludf.DUMMYFUNCTION("""COMPUTED_VALUE"""),800000.0)</f>
        <v>800000</v>
      </c>
      <c r="R32" s="96" t="str">
        <f>IFERROR(__xludf.DUMMYFUNCTION("""COMPUTED_VALUE"""),"Prefinance")</f>
        <v>Prefinance</v>
      </c>
      <c r="S32" s="99">
        <f>IFERROR(__xludf.DUMMYFUNCTION("""COMPUTED_VALUE"""),0.0)</f>
        <v>0</v>
      </c>
      <c r="T32" s="99">
        <f>IFERROR(__xludf.DUMMYFUNCTION("""COMPUTED_VALUE"""),0.0)</f>
        <v>0</v>
      </c>
      <c r="U32" s="99">
        <f>IFERROR(__xludf.DUMMYFUNCTION("""COMPUTED_VALUE"""),0.0)</f>
        <v>0</v>
      </c>
      <c r="V32" s="99">
        <f>IFERROR(__xludf.DUMMYFUNCTION("""COMPUTED_VALUE"""),0.0)</f>
        <v>0</v>
      </c>
      <c r="W32" s="99">
        <f>IFERROR(__xludf.DUMMYFUNCTION("""COMPUTED_VALUE"""),0.0)</f>
        <v>0</v>
      </c>
    </row>
    <row r="33">
      <c r="N33" s="98">
        <f>IFERROR(__xludf.DUMMYFUNCTION("""COMPUTED_VALUE"""),43743.0)</f>
        <v>43743</v>
      </c>
      <c r="O33" s="96" t="str">
        <f>IFERROR(__xludf.DUMMYFUNCTION("""COMPUTED_VALUE"""),"ALLI SYLVESTER")</f>
        <v>ALLI SYLVESTER</v>
      </c>
      <c r="P33" s="96" t="str">
        <f>IFERROR(__xludf.DUMMYFUNCTION("""COMPUTED_VALUE"""),"BALANCE")</f>
        <v>BALANCE</v>
      </c>
      <c r="Q33" s="99">
        <f>IFERROR(__xludf.DUMMYFUNCTION("""COMPUTED_VALUE"""),2376910.0)</f>
        <v>2376910</v>
      </c>
      <c r="R33" s="96" t="str">
        <f>IFERROR(__xludf.DUMMYFUNCTION("""COMPUTED_VALUE"""),"Prefinance")</f>
        <v>Prefinance</v>
      </c>
      <c r="S33" s="99">
        <f>IFERROR(__xludf.DUMMYFUNCTION("""COMPUTED_VALUE"""),0.0)</f>
        <v>0</v>
      </c>
      <c r="T33" s="99">
        <f>IFERROR(__xludf.DUMMYFUNCTION("""COMPUTED_VALUE"""),0.0)</f>
        <v>0</v>
      </c>
      <c r="U33" s="99">
        <f>IFERROR(__xludf.DUMMYFUNCTION("""COMPUTED_VALUE"""),0.0)</f>
        <v>0</v>
      </c>
      <c r="V33" s="99">
        <f>IFERROR(__xludf.DUMMYFUNCTION("""COMPUTED_VALUE"""),0.0)</f>
        <v>0</v>
      </c>
      <c r="W33" s="99">
        <f>IFERROR(__xludf.DUMMYFUNCTION("""COMPUTED_VALUE"""),0.0)</f>
        <v>0</v>
      </c>
    </row>
    <row r="34">
      <c r="N34" s="98">
        <f>IFERROR(__xludf.DUMMYFUNCTION("""COMPUTED_VALUE"""),43743.0)</f>
        <v>43743</v>
      </c>
      <c r="O34" s="96" t="str">
        <f>IFERROR(__xludf.DUMMYFUNCTION("""COMPUTED_VALUE""")," OP OJUA")</f>
        <v> OP OJUA</v>
      </c>
      <c r="P34" s="96" t="str">
        <f>IFERROR(__xludf.DUMMYFUNCTION("""COMPUTED_VALUE"""),"BALANCE")</f>
        <v>BALANCE</v>
      </c>
      <c r="Q34" s="99">
        <f>IFERROR(__xludf.DUMMYFUNCTION("""COMPUTED_VALUE"""),46550.0)</f>
        <v>46550</v>
      </c>
      <c r="R34" s="96" t="str">
        <f>IFERROR(__xludf.DUMMYFUNCTION("""COMPUTED_VALUE"""),"Prefinance")</f>
        <v>Prefinance</v>
      </c>
      <c r="S34" s="99">
        <f>IFERROR(__xludf.DUMMYFUNCTION("""COMPUTED_VALUE"""),0.0)</f>
        <v>0</v>
      </c>
      <c r="T34" s="99">
        <f>IFERROR(__xludf.DUMMYFUNCTION("""COMPUTED_VALUE"""),0.0)</f>
        <v>0</v>
      </c>
      <c r="U34" s="99">
        <f>IFERROR(__xludf.DUMMYFUNCTION("""COMPUTED_VALUE"""),0.0)</f>
        <v>0</v>
      </c>
      <c r="V34" s="99">
        <f>IFERROR(__xludf.DUMMYFUNCTION("""COMPUTED_VALUE"""),0.0)</f>
        <v>0</v>
      </c>
      <c r="W34" s="99">
        <f>IFERROR(__xludf.DUMMYFUNCTION("""COMPUTED_VALUE"""),0.0)</f>
        <v>0</v>
      </c>
    </row>
    <row r="35">
      <c r="N35" s="98">
        <f>IFERROR(__xludf.DUMMYFUNCTION("""COMPUTED_VALUE"""),43743.0)</f>
        <v>43743</v>
      </c>
      <c r="O35" s="96" t="str">
        <f>IFERROR(__xludf.DUMMYFUNCTION("""COMPUTED_VALUE"""),"HN KEIBO")</f>
        <v>HN KEIBO</v>
      </c>
      <c r="P35" s="96" t="str">
        <f>IFERROR(__xludf.DUMMYFUNCTION("""COMPUTED_VALUE"""),"BALANCE")</f>
        <v>BALANCE</v>
      </c>
      <c r="Q35" s="99">
        <f>IFERROR(__xludf.DUMMYFUNCTION("""COMPUTED_VALUE"""),249707.0)</f>
        <v>249707</v>
      </c>
      <c r="R35" s="96" t="str">
        <f>IFERROR(__xludf.DUMMYFUNCTION("""COMPUTED_VALUE"""),"Prefinance")</f>
        <v>Prefinance</v>
      </c>
      <c r="S35" s="99">
        <f>IFERROR(__xludf.DUMMYFUNCTION("""COMPUTED_VALUE"""),0.0)</f>
        <v>0</v>
      </c>
      <c r="T35" s="99">
        <f>IFERROR(__xludf.DUMMYFUNCTION("""COMPUTED_VALUE"""),0.0)</f>
        <v>0</v>
      </c>
      <c r="U35" s="99">
        <f>IFERROR(__xludf.DUMMYFUNCTION("""COMPUTED_VALUE"""),0.0)</f>
        <v>0</v>
      </c>
      <c r="V35" s="99">
        <f>IFERROR(__xludf.DUMMYFUNCTION("""COMPUTED_VALUE"""),0.0)</f>
        <v>0</v>
      </c>
      <c r="W35" s="99">
        <f>IFERROR(__xludf.DUMMYFUNCTION("""COMPUTED_VALUE"""),0.0)</f>
        <v>0</v>
      </c>
    </row>
    <row r="36">
      <c r="N36" s="98">
        <f>IFERROR(__xludf.DUMMYFUNCTION("""COMPUTED_VALUE"""),43743.0)</f>
        <v>43743</v>
      </c>
      <c r="O36" s="96" t="str">
        <f>IFERROR(__xludf.DUMMYFUNCTION("""COMPUTED_VALUE""")," OP OCHICHIE")</f>
        <v> OP OCHICHIE</v>
      </c>
      <c r="P36" s="96" t="str">
        <f>IFERROR(__xludf.DUMMYFUNCTION("""COMPUTED_VALUE"""),"BALANCE")</f>
        <v>BALANCE</v>
      </c>
      <c r="Q36" s="99">
        <f>IFERROR(__xludf.DUMMYFUNCTION("""COMPUTED_VALUE"""),535525.0)</f>
        <v>535525</v>
      </c>
      <c r="R36" s="96" t="str">
        <f>IFERROR(__xludf.DUMMYFUNCTION("""COMPUTED_VALUE"""),"Prefinance")</f>
        <v>Prefinance</v>
      </c>
      <c r="S36" s="99">
        <f>IFERROR(__xludf.DUMMYFUNCTION("""COMPUTED_VALUE"""),0.0)</f>
        <v>0</v>
      </c>
      <c r="T36" s="99">
        <f>IFERROR(__xludf.DUMMYFUNCTION("""COMPUTED_VALUE"""),0.0)</f>
        <v>0</v>
      </c>
      <c r="U36" s="99">
        <f>IFERROR(__xludf.DUMMYFUNCTION("""COMPUTED_VALUE"""),0.0)</f>
        <v>0</v>
      </c>
      <c r="V36" s="99">
        <f>IFERROR(__xludf.DUMMYFUNCTION("""COMPUTED_VALUE"""),0.0)</f>
        <v>0</v>
      </c>
      <c r="W36" s="99">
        <f>IFERROR(__xludf.DUMMYFUNCTION("""COMPUTED_VALUE"""),0.0)</f>
        <v>0</v>
      </c>
    </row>
    <row r="37">
      <c r="N37" s="98">
        <f>IFERROR(__xludf.DUMMYFUNCTION("""COMPUTED_VALUE"""),43743.0)</f>
        <v>43743</v>
      </c>
      <c r="O37" s="96" t="str">
        <f>IFERROR(__xludf.DUMMYFUNCTION("""COMPUTED_VALUE"""),"PETER KEIBO SIDE")</f>
        <v>PETER KEIBO SIDE</v>
      </c>
      <c r="P37" s="96" t="str">
        <f>IFERROR(__xludf.DUMMYFUNCTION("""COMPUTED_VALUE"""),"BALANCE")</f>
        <v>BALANCE</v>
      </c>
      <c r="Q37" s="99">
        <f>IFERROR(__xludf.DUMMYFUNCTION("""COMPUTED_VALUE"""),1318980.0)</f>
        <v>1318980</v>
      </c>
      <c r="R37" s="96" t="str">
        <f>IFERROR(__xludf.DUMMYFUNCTION("""COMPUTED_VALUE"""),"Prefinance")</f>
        <v>Prefinance</v>
      </c>
      <c r="S37" s="99">
        <f>IFERROR(__xludf.DUMMYFUNCTION("""COMPUTED_VALUE"""),0.0)</f>
        <v>0</v>
      </c>
      <c r="T37" s="99">
        <f>IFERROR(__xludf.DUMMYFUNCTION("""COMPUTED_VALUE"""),0.0)</f>
        <v>0</v>
      </c>
      <c r="U37" s="99">
        <f>IFERROR(__xludf.DUMMYFUNCTION("""COMPUTED_VALUE"""),0.0)</f>
        <v>0</v>
      </c>
      <c r="V37" s="99">
        <f>IFERROR(__xludf.DUMMYFUNCTION("""COMPUTED_VALUE"""),0.0)</f>
        <v>0</v>
      </c>
      <c r="W37" s="99">
        <f>IFERROR(__xludf.DUMMYFUNCTION("""COMPUTED_VALUE"""),0.0)</f>
        <v>0</v>
      </c>
    </row>
    <row r="38">
      <c r="N38" s="98">
        <f>IFERROR(__xludf.DUMMYFUNCTION("""COMPUTED_VALUE"""),43743.0)</f>
        <v>43743</v>
      </c>
      <c r="O38" s="96" t="str">
        <f>IFERROR(__xludf.DUMMYFUNCTION("""COMPUTED_VALUE"""),"CONFIDENCE")</f>
        <v>CONFIDENCE</v>
      </c>
      <c r="P38" s="96" t="str">
        <f>IFERROR(__xludf.DUMMYFUNCTION("""COMPUTED_VALUE"""),"BALANCE")</f>
        <v>BALANCE</v>
      </c>
      <c r="Q38" s="99">
        <f>IFERROR(__xludf.DUMMYFUNCTION("""COMPUTED_VALUE"""),300000.0)</f>
        <v>300000</v>
      </c>
      <c r="R38" s="96" t="str">
        <f>IFERROR(__xludf.DUMMYFUNCTION("""COMPUTED_VALUE"""),"Prefinance")</f>
        <v>Prefinance</v>
      </c>
      <c r="S38" s="99">
        <f>IFERROR(__xludf.DUMMYFUNCTION("""COMPUTED_VALUE"""),0.0)</f>
        <v>0</v>
      </c>
      <c r="T38" s="99">
        <f>IFERROR(__xludf.DUMMYFUNCTION("""COMPUTED_VALUE"""),0.0)</f>
        <v>0</v>
      </c>
      <c r="U38" s="99">
        <f>IFERROR(__xludf.DUMMYFUNCTION("""COMPUTED_VALUE"""),0.0)</f>
        <v>0</v>
      </c>
      <c r="V38" s="99">
        <f>IFERROR(__xludf.DUMMYFUNCTION("""COMPUTED_VALUE"""),0.0)</f>
        <v>0</v>
      </c>
      <c r="W38" s="99">
        <f>IFERROR(__xludf.DUMMYFUNCTION("""COMPUTED_VALUE"""),0.0)</f>
        <v>0</v>
      </c>
    </row>
    <row r="39">
      <c r="N39" s="98">
        <f>IFERROR(__xludf.DUMMYFUNCTION("""COMPUTED_VALUE"""),43743.0)</f>
        <v>43743</v>
      </c>
      <c r="O39" s="96" t="str">
        <f>IFERROR(__xludf.DUMMYFUNCTION("""COMPUTED_VALUE"""),"LAI BIG MAN")</f>
        <v>LAI BIG MAN</v>
      </c>
      <c r="P39" s="96" t="str">
        <f>IFERROR(__xludf.DUMMYFUNCTION("""COMPUTED_VALUE"""),"BALANCE")</f>
        <v>BALANCE</v>
      </c>
      <c r="Q39" s="99">
        <f>IFERROR(__xludf.DUMMYFUNCTION("""COMPUTED_VALUE"""),200000.0)</f>
        <v>200000</v>
      </c>
      <c r="R39" s="96" t="str">
        <f>IFERROR(__xludf.DUMMYFUNCTION("""COMPUTED_VALUE"""),"Prefinance")</f>
        <v>Prefinance</v>
      </c>
      <c r="S39" s="99">
        <f>IFERROR(__xludf.DUMMYFUNCTION("""COMPUTED_VALUE"""),0.0)</f>
        <v>0</v>
      </c>
      <c r="T39" s="99">
        <f>IFERROR(__xludf.DUMMYFUNCTION("""COMPUTED_VALUE"""),0.0)</f>
        <v>0</v>
      </c>
      <c r="U39" s="99">
        <f>IFERROR(__xludf.DUMMYFUNCTION("""COMPUTED_VALUE"""),0.0)</f>
        <v>0</v>
      </c>
      <c r="V39" s="99">
        <f>IFERROR(__xludf.DUMMYFUNCTION("""COMPUTED_VALUE"""),0.0)</f>
        <v>0</v>
      </c>
      <c r="W39" s="99">
        <f>IFERROR(__xludf.DUMMYFUNCTION("""COMPUTED_VALUE"""),0.0)</f>
        <v>0</v>
      </c>
    </row>
    <row r="40">
      <c r="N40" s="98">
        <f>IFERROR(__xludf.DUMMYFUNCTION("""COMPUTED_VALUE"""),43743.0)</f>
        <v>43743</v>
      </c>
      <c r="O40" s="96" t="str">
        <f>IFERROR(__xludf.DUMMYFUNCTION("""COMPUTED_VALUE"""),"ABANG TATAW CAMEROUN")</f>
        <v>ABANG TATAW CAMEROUN</v>
      </c>
      <c r="P40" s="96" t="str">
        <f>IFERROR(__xludf.DUMMYFUNCTION("""COMPUTED_VALUE"""),"BALANCE")</f>
        <v>BALANCE</v>
      </c>
      <c r="Q40" s="99">
        <f>IFERROR(__xludf.DUMMYFUNCTION("""COMPUTED_VALUE"""),16000.0)</f>
        <v>16000</v>
      </c>
      <c r="R40" s="96" t="str">
        <f>IFERROR(__xludf.DUMMYFUNCTION("""COMPUTED_VALUE"""),"Prefinance")</f>
        <v>Prefinance</v>
      </c>
      <c r="S40" s="99">
        <f>IFERROR(__xludf.DUMMYFUNCTION("""COMPUTED_VALUE"""),0.0)</f>
        <v>0</v>
      </c>
      <c r="T40" s="99">
        <f>IFERROR(__xludf.DUMMYFUNCTION("""COMPUTED_VALUE"""),0.0)</f>
        <v>0</v>
      </c>
      <c r="U40" s="99">
        <f>IFERROR(__xludf.DUMMYFUNCTION("""COMPUTED_VALUE"""),0.0)</f>
        <v>0</v>
      </c>
      <c r="V40" s="99">
        <f>IFERROR(__xludf.DUMMYFUNCTION("""COMPUTED_VALUE"""),0.0)</f>
        <v>0</v>
      </c>
      <c r="W40" s="99">
        <f>IFERROR(__xludf.DUMMYFUNCTION("""COMPUTED_VALUE"""),0.0)</f>
        <v>0</v>
      </c>
    </row>
    <row r="41">
      <c r="N41" s="98">
        <f>IFERROR(__xludf.DUMMYFUNCTION("""COMPUTED_VALUE"""),43743.0)</f>
        <v>43743</v>
      </c>
      <c r="O41" s="96" t="str">
        <f>IFERROR(__xludf.DUMMYFUNCTION("""COMPUTED_VALUE"""),"ABANG FREDINARD")</f>
        <v>ABANG FREDINARD</v>
      </c>
      <c r="P41" s="96" t="str">
        <f>IFERROR(__xludf.DUMMYFUNCTION("""COMPUTED_VALUE"""),"BALANCE")</f>
        <v>BALANCE</v>
      </c>
      <c r="Q41" s="99">
        <f>IFERROR(__xludf.DUMMYFUNCTION("""COMPUTED_VALUE"""),30000.0)</f>
        <v>30000</v>
      </c>
      <c r="R41" s="96" t="str">
        <f>IFERROR(__xludf.DUMMYFUNCTION("""COMPUTED_VALUE"""),"Prefinance")</f>
        <v>Prefinance</v>
      </c>
      <c r="S41" s="99">
        <f>IFERROR(__xludf.DUMMYFUNCTION("""COMPUTED_VALUE"""),0.0)</f>
        <v>0</v>
      </c>
      <c r="T41" s="99">
        <f>IFERROR(__xludf.DUMMYFUNCTION("""COMPUTED_VALUE"""),0.0)</f>
        <v>0</v>
      </c>
      <c r="U41" s="99">
        <f>IFERROR(__xludf.DUMMYFUNCTION("""COMPUTED_VALUE"""),0.0)</f>
        <v>0</v>
      </c>
      <c r="V41" s="99">
        <f>IFERROR(__xludf.DUMMYFUNCTION("""COMPUTED_VALUE"""),0.0)</f>
        <v>0</v>
      </c>
      <c r="W41" s="99">
        <f>IFERROR(__xludf.DUMMYFUNCTION("""COMPUTED_VALUE"""),0.0)</f>
        <v>0</v>
      </c>
    </row>
    <row r="42">
      <c r="N42" s="98">
        <f>IFERROR(__xludf.DUMMYFUNCTION("""COMPUTED_VALUE"""),43743.0)</f>
        <v>43743</v>
      </c>
      <c r="O42" s="96" t="str">
        <f>IFERROR(__xludf.DUMMYFUNCTION("""COMPUTED_VALUE"""),"KOKOK PRIN")</f>
        <v>KOKOK PRIN</v>
      </c>
      <c r="P42" s="96" t="str">
        <f>IFERROR(__xludf.DUMMYFUNCTION("""COMPUTED_VALUE"""),"BALANCE")</f>
        <v>BALANCE</v>
      </c>
      <c r="Q42" s="99">
        <f>IFERROR(__xludf.DUMMYFUNCTION("""COMPUTED_VALUE"""),215000.0)</f>
        <v>215000</v>
      </c>
      <c r="R42" s="96" t="str">
        <f>IFERROR(__xludf.DUMMYFUNCTION("""COMPUTED_VALUE"""),"Prefinance")</f>
        <v>Prefinance</v>
      </c>
      <c r="S42" s="99">
        <f>IFERROR(__xludf.DUMMYFUNCTION("""COMPUTED_VALUE"""),0.0)</f>
        <v>0</v>
      </c>
      <c r="T42" s="99">
        <f>IFERROR(__xludf.DUMMYFUNCTION("""COMPUTED_VALUE"""),0.0)</f>
        <v>0</v>
      </c>
      <c r="U42" s="99">
        <f>IFERROR(__xludf.DUMMYFUNCTION("""COMPUTED_VALUE"""),0.0)</f>
        <v>0</v>
      </c>
      <c r="V42" s="99">
        <f>IFERROR(__xludf.DUMMYFUNCTION("""COMPUTED_VALUE"""),0.0)</f>
        <v>0</v>
      </c>
      <c r="W42" s="99">
        <f>IFERROR(__xludf.DUMMYFUNCTION("""COMPUTED_VALUE"""),0.0)</f>
        <v>0</v>
      </c>
    </row>
    <row r="43">
      <c r="N43" s="98">
        <f>IFERROR(__xludf.DUMMYFUNCTION("""COMPUTED_VALUE"""),44026.0)</f>
        <v>44026</v>
      </c>
      <c r="O43" s="96" t="str">
        <f>IFERROR(__xludf.DUMMYFUNCTION("""COMPUTED_VALUE"""),"BABA NDIFON")</f>
        <v>BABA NDIFON</v>
      </c>
      <c r="P43" s="96" t="str">
        <f>IFERROR(__xludf.DUMMYFUNCTION("""COMPUTED_VALUE"""),"BALANCE")</f>
        <v>BALANCE</v>
      </c>
      <c r="Q43" s="99">
        <f>IFERROR(__xludf.DUMMYFUNCTION("""COMPUTED_VALUE"""),190000.0)</f>
        <v>190000</v>
      </c>
      <c r="R43" s="96" t="str">
        <f>IFERROR(__xludf.DUMMYFUNCTION("""COMPUTED_VALUE"""),"Prefinance")</f>
        <v>Prefinance</v>
      </c>
      <c r="S43" s="99">
        <f>IFERROR(__xludf.DUMMYFUNCTION("""COMPUTED_VALUE"""),0.0)</f>
        <v>0</v>
      </c>
      <c r="T43" s="99">
        <f>IFERROR(__xludf.DUMMYFUNCTION("""COMPUTED_VALUE"""),0.0)</f>
        <v>0</v>
      </c>
      <c r="U43" s="99">
        <f>IFERROR(__xludf.DUMMYFUNCTION("""COMPUTED_VALUE"""),0.0)</f>
        <v>0</v>
      </c>
      <c r="V43" s="99">
        <f>IFERROR(__xludf.DUMMYFUNCTION("""COMPUTED_VALUE"""),0.0)</f>
        <v>0</v>
      </c>
      <c r="W43" s="99">
        <f>IFERROR(__xludf.DUMMYFUNCTION("""COMPUTED_VALUE"""),0.0)</f>
        <v>0</v>
      </c>
    </row>
    <row r="44">
      <c r="N44" s="98">
        <f>IFERROR(__xludf.DUMMYFUNCTION("""COMPUTED_VALUE"""),44026.0)</f>
        <v>44026</v>
      </c>
      <c r="O44" s="96" t="str">
        <f>IFERROR(__xludf.DUMMYFUNCTION("""COMPUTED_VALUE"""),"TIMOTHY  OLUM")</f>
        <v>TIMOTHY  OLUM</v>
      </c>
      <c r="P44" s="96" t="str">
        <f>IFERROR(__xludf.DUMMYFUNCTION("""COMPUTED_VALUE"""),"BALANCE")</f>
        <v>BALANCE</v>
      </c>
      <c r="Q44" s="99">
        <f>IFERROR(__xludf.DUMMYFUNCTION("""COMPUTED_VALUE"""),150000.0)</f>
        <v>150000</v>
      </c>
      <c r="R44" s="96" t="str">
        <f>IFERROR(__xludf.DUMMYFUNCTION("""COMPUTED_VALUE"""),"Prefinance")</f>
        <v>Prefinance</v>
      </c>
      <c r="S44" s="99">
        <f>IFERROR(__xludf.DUMMYFUNCTION("""COMPUTED_VALUE"""),0.0)</f>
        <v>0</v>
      </c>
      <c r="T44" s="99">
        <f>IFERROR(__xludf.DUMMYFUNCTION("""COMPUTED_VALUE"""),0.0)</f>
        <v>0</v>
      </c>
      <c r="U44" s="99">
        <f>IFERROR(__xludf.DUMMYFUNCTION("""COMPUTED_VALUE"""),0.0)</f>
        <v>0</v>
      </c>
      <c r="V44" s="99">
        <f>IFERROR(__xludf.DUMMYFUNCTION("""COMPUTED_VALUE"""),0.0)</f>
        <v>0</v>
      </c>
      <c r="W44" s="99">
        <f>IFERROR(__xludf.DUMMYFUNCTION("""COMPUTED_VALUE"""),0.0)</f>
        <v>0</v>
      </c>
    </row>
    <row r="45">
      <c r="N45" s="98">
        <f>IFERROR(__xludf.DUMMYFUNCTION("""COMPUTED_VALUE"""),44026.0)</f>
        <v>44026</v>
      </c>
      <c r="O45" s="96" t="str">
        <f>IFERROR(__xludf.DUMMYFUNCTION("""COMPUTED_VALUE"""),"AGEGE BOY")</f>
        <v>AGEGE BOY</v>
      </c>
      <c r="P45" s="96" t="str">
        <f>IFERROR(__xludf.DUMMYFUNCTION("""COMPUTED_VALUE"""),"BALANCE")</f>
        <v>BALANCE</v>
      </c>
      <c r="Q45" s="99">
        <f>IFERROR(__xludf.DUMMYFUNCTION("""COMPUTED_VALUE"""),300000.0)</f>
        <v>300000</v>
      </c>
      <c r="R45" s="96" t="str">
        <f>IFERROR(__xludf.DUMMYFUNCTION("""COMPUTED_VALUE"""),"Prefinance")</f>
        <v>Prefinance</v>
      </c>
      <c r="S45" s="99">
        <f>IFERROR(__xludf.DUMMYFUNCTION("""COMPUTED_VALUE"""),0.0)</f>
        <v>0</v>
      </c>
      <c r="T45" s="99">
        <f>IFERROR(__xludf.DUMMYFUNCTION("""COMPUTED_VALUE"""),0.0)</f>
        <v>0</v>
      </c>
      <c r="U45" s="99">
        <f>IFERROR(__xludf.DUMMYFUNCTION("""COMPUTED_VALUE"""),0.0)</f>
        <v>0</v>
      </c>
      <c r="V45" s="99">
        <f>IFERROR(__xludf.DUMMYFUNCTION("""COMPUTED_VALUE"""),0.0)</f>
        <v>0</v>
      </c>
      <c r="W45" s="99">
        <f>IFERROR(__xludf.DUMMYFUNCTION("""COMPUTED_VALUE"""),0.0)</f>
        <v>0</v>
      </c>
    </row>
    <row r="46">
      <c r="N46" s="98">
        <f>IFERROR(__xludf.DUMMYFUNCTION("""COMPUTED_VALUE"""),44026.0)</f>
        <v>44026</v>
      </c>
      <c r="O46" s="96" t="str">
        <f>IFERROR(__xludf.DUMMYFUNCTION("""COMPUTED_VALUE"""),"PRINNESS")</f>
        <v>PRINNESS</v>
      </c>
      <c r="P46" s="96" t="str">
        <f>IFERROR(__xludf.DUMMYFUNCTION("""COMPUTED_VALUE"""),"BALANCE")</f>
        <v>BALANCE</v>
      </c>
      <c r="Q46" s="99">
        <f>IFERROR(__xludf.DUMMYFUNCTION("""COMPUTED_VALUE"""),200000.0)</f>
        <v>200000</v>
      </c>
      <c r="R46" s="96" t="str">
        <f>IFERROR(__xludf.DUMMYFUNCTION("""COMPUTED_VALUE"""),"Prefinance")</f>
        <v>Prefinance</v>
      </c>
      <c r="S46" s="99">
        <f>IFERROR(__xludf.DUMMYFUNCTION("""COMPUTED_VALUE"""),0.0)</f>
        <v>0</v>
      </c>
      <c r="T46" s="99">
        <f>IFERROR(__xludf.DUMMYFUNCTION("""COMPUTED_VALUE"""),0.0)</f>
        <v>0</v>
      </c>
      <c r="U46" s="99">
        <f>IFERROR(__xludf.DUMMYFUNCTION("""COMPUTED_VALUE"""),0.0)</f>
        <v>0</v>
      </c>
      <c r="V46" s="99">
        <f>IFERROR(__xludf.DUMMYFUNCTION("""COMPUTED_VALUE"""),0.0)</f>
        <v>0</v>
      </c>
      <c r="W46" s="99">
        <f>IFERROR(__xludf.DUMMYFUNCTION("""COMPUTED_VALUE"""),0.0)</f>
        <v>0</v>
      </c>
    </row>
    <row r="47">
      <c r="N47" s="98">
        <f>IFERROR(__xludf.DUMMYFUNCTION("""COMPUTED_VALUE"""),44026.0)</f>
        <v>44026</v>
      </c>
      <c r="O47" s="96" t="str">
        <f>IFERROR(__xludf.DUMMYFUNCTION("""COMPUTED_VALUE"""),"CORNWELL")</f>
        <v>CORNWELL</v>
      </c>
      <c r="P47" s="96" t="str">
        <f>IFERROR(__xludf.DUMMYFUNCTION("""COMPUTED_VALUE"""),"BALANCE")</f>
        <v>BALANCE</v>
      </c>
      <c r="Q47" s="99">
        <f>IFERROR(__xludf.DUMMYFUNCTION("""COMPUTED_VALUE"""),879440.0)</f>
        <v>879440</v>
      </c>
      <c r="R47" s="96" t="str">
        <f>IFERROR(__xludf.DUMMYFUNCTION("""COMPUTED_VALUE"""),"Prefinance")</f>
        <v>Prefinance</v>
      </c>
      <c r="S47" s="99">
        <f>IFERROR(__xludf.DUMMYFUNCTION("""COMPUTED_VALUE"""),0.0)</f>
        <v>0</v>
      </c>
      <c r="T47" s="99">
        <f>IFERROR(__xludf.DUMMYFUNCTION("""COMPUTED_VALUE"""),0.0)</f>
        <v>0</v>
      </c>
      <c r="U47" s="99">
        <f>IFERROR(__xludf.DUMMYFUNCTION("""COMPUTED_VALUE"""),0.0)</f>
        <v>0</v>
      </c>
      <c r="V47" s="99">
        <f>IFERROR(__xludf.DUMMYFUNCTION("""COMPUTED_VALUE"""),0.0)</f>
        <v>0</v>
      </c>
      <c r="W47" s="99">
        <f>IFERROR(__xludf.DUMMYFUNCTION("""COMPUTED_VALUE"""),0.0)</f>
        <v>0</v>
      </c>
    </row>
    <row r="48">
      <c r="N48" s="98">
        <f>IFERROR(__xludf.DUMMYFUNCTION("""COMPUTED_VALUE"""),44026.0)</f>
        <v>44026</v>
      </c>
      <c r="O48" s="96" t="str">
        <f>IFERROR(__xludf.DUMMYFUNCTION("""COMPUTED_VALUE"""),"DUN ODI A.")</f>
        <v>DUN ODI A.</v>
      </c>
      <c r="P48" s="96" t="str">
        <f>IFERROR(__xludf.DUMMYFUNCTION("""COMPUTED_VALUE"""),"BALANCE")</f>
        <v>BALANCE</v>
      </c>
      <c r="Q48" s="99">
        <f>IFERROR(__xludf.DUMMYFUNCTION("""COMPUTED_VALUE"""),30000.0)</f>
        <v>30000</v>
      </c>
      <c r="R48" s="96" t="str">
        <f>IFERROR(__xludf.DUMMYFUNCTION("""COMPUTED_VALUE"""),"Prefinance")</f>
        <v>Prefinance</v>
      </c>
      <c r="S48" s="99">
        <f>IFERROR(__xludf.DUMMYFUNCTION("""COMPUTED_VALUE"""),0.0)</f>
        <v>0</v>
      </c>
      <c r="T48" s="99">
        <f>IFERROR(__xludf.DUMMYFUNCTION("""COMPUTED_VALUE"""),0.0)</f>
        <v>0</v>
      </c>
      <c r="U48" s="99">
        <f>IFERROR(__xludf.DUMMYFUNCTION("""COMPUTED_VALUE"""),0.0)</f>
        <v>0</v>
      </c>
      <c r="V48" s="99">
        <f>IFERROR(__xludf.DUMMYFUNCTION("""COMPUTED_VALUE"""),0.0)</f>
        <v>0</v>
      </c>
      <c r="W48" s="99">
        <f>IFERROR(__xludf.DUMMYFUNCTION("""COMPUTED_VALUE"""),0.0)</f>
        <v>0</v>
      </c>
    </row>
    <row r="49">
      <c r="N49" s="98">
        <f>IFERROR(__xludf.DUMMYFUNCTION("""COMPUTED_VALUE"""),44026.0)</f>
        <v>44026</v>
      </c>
      <c r="O49" s="96" t="str">
        <f>IFERROR(__xludf.DUMMYFUNCTION("""COMPUTED_VALUE"""),"MAXWELL AGRO PRIN")</f>
        <v>MAXWELL AGRO PRIN</v>
      </c>
      <c r="P49" s="96" t="str">
        <f>IFERROR(__xludf.DUMMYFUNCTION("""COMPUTED_VALUE"""),"BALANCE")</f>
        <v>BALANCE</v>
      </c>
      <c r="Q49" s="99">
        <f>IFERROR(__xludf.DUMMYFUNCTION("""COMPUTED_VALUE"""),280000.0)</f>
        <v>280000</v>
      </c>
      <c r="R49" s="96" t="str">
        <f>IFERROR(__xludf.DUMMYFUNCTION("""COMPUTED_VALUE"""),"Prefinance")</f>
        <v>Prefinance</v>
      </c>
      <c r="S49" s="99">
        <f>IFERROR(__xludf.DUMMYFUNCTION("""COMPUTED_VALUE"""),0.0)</f>
        <v>0</v>
      </c>
      <c r="T49" s="99">
        <f>IFERROR(__xludf.DUMMYFUNCTION("""COMPUTED_VALUE"""),0.0)</f>
        <v>0</v>
      </c>
      <c r="U49" s="99">
        <f>IFERROR(__xludf.DUMMYFUNCTION("""COMPUTED_VALUE"""),0.0)</f>
        <v>0</v>
      </c>
      <c r="V49" s="99">
        <f>IFERROR(__xludf.DUMMYFUNCTION("""COMPUTED_VALUE"""),0.0)</f>
        <v>0</v>
      </c>
      <c r="W49" s="99">
        <f>IFERROR(__xludf.DUMMYFUNCTION("""COMPUTED_VALUE"""),0.0)</f>
        <v>0</v>
      </c>
    </row>
    <row r="50">
      <c r="N50" s="98">
        <f>IFERROR(__xludf.DUMMYFUNCTION("""COMPUTED_VALUE"""),44026.0)</f>
        <v>44026</v>
      </c>
      <c r="O50" s="96" t="str">
        <f>IFERROR(__xludf.DUMMYFUNCTION("""COMPUTED_VALUE"""),"FRANCIS KEIBO")</f>
        <v>FRANCIS KEIBO</v>
      </c>
      <c r="P50" s="96" t="str">
        <f>IFERROR(__xludf.DUMMYFUNCTION("""COMPUTED_VALUE"""),"BALANCE")</f>
        <v>BALANCE</v>
      </c>
      <c r="Q50" s="99">
        <f>IFERROR(__xludf.DUMMYFUNCTION("""COMPUTED_VALUE"""),237000.0)</f>
        <v>237000</v>
      </c>
      <c r="R50" s="96" t="str">
        <f>IFERROR(__xludf.DUMMYFUNCTION("""COMPUTED_VALUE"""),"Prefinance")</f>
        <v>Prefinance</v>
      </c>
      <c r="S50" s="99">
        <f>IFERROR(__xludf.DUMMYFUNCTION("""COMPUTED_VALUE"""),0.0)</f>
        <v>0</v>
      </c>
      <c r="T50" s="99">
        <f>IFERROR(__xludf.DUMMYFUNCTION("""COMPUTED_VALUE"""),0.0)</f>
        <v>0</v>
      </c>
      <c r="U50" s="99">
        <f>IFERROR(__xludf.DUMMYFUNCTION("""COMPUTED_VALUE"""),0.0)</f>
        <v>0</v>
      </c>
      <c r="V50" s="99">
        <f>IFERROR(__xludf.DUMMYFUNCTION("""COMPUTED_VALUE"""),0.0)</f>
        <v>0</v>
      </c>
      <c r="W50" s="99">
        <f>IFERROR(__xludf.DUMMYFUNCTION("""COMPUTED_VALUE"""),0.0)</f>
        <v>0</v>
      </c>
    </row>
    <row r="51">
      <c r="N51" s="98">
        <f>IFERROR(__xludf.DUMMYFUNCTION("""COMPUTED_VALUE"""),44026.0)</f>
        <v>44026</v>
      </c>
      <c r="O51" s="96" t="str">
        <f>IFERROR(__xludf.DUMMYFUNCTION("""COMPUTED_VALUE"""),"COLLABS")</f>
        <v>COLLABS</v>
      </c>
      <c r="P51" s="96" t="str">
        <f>IFERROR(__xludf.DUMMYFUNCTION("""COMPUTED_VALUE"""),"BALANCE")</f>
        <v>BALANCE</v>
      </c>
      <c r="Q51" s="99">
        <f>IFERROR(__xludf.DUMMYFUNCTION("""COMPUTED_VALUE"""),220000.0)</f>
        <v>220000</v>
      </c>
      <c r="R51" s="96" t="str">
        <f>IFERROR(__xludf.DUMMYFUNCTION("""COMPUTED_VALUE"""),"Prefinance")</f>
        <v>Prefinance</v>
      </c>
      <c r="S51" s="99">
        <f>IFERROR(__xludf.DUMMYFUNCTION("""COMPUTED_VALUE"""),0.0)</f>
        <v>0</v>
      </c>
      <c r="T51" s="99">
        <f>IFERROR(__xludf.DUMMYFUNCTION("""COMPUTED_VALUE"""),0.0)</f>
        <v>0</v>
      </c>
      <c r="U51" s="99">
        <f>IFERROR(__xludf.DUMMYFUNCTION("""COMPUTED_VALUE"""),0.0)</f>
        <v>0</v>
      </c>
      <c r="V51" s="99">
        <f>IFERROR(__xludf.DUMMYFUNCTION("""COMPUTED_VALUE"""),0.0)</f>
        <v>0</v>
      </c>
      <c r="W51" s="99">
        <f>IFERROR(__xludf.DUMMYFUNCTION("""COMPUTED_VALUE"""),0.0)</f>
        <v>0</v>
      </c>
    </row>
    <row r="52">
      <c r="N52" s="98">
        <f>IFERROR(__xludf.DUMMYFUNCTION("""COMPUTED_VALUE"""),44026.0)</f>
        <v>44026</v>
      </c>
      <c r="O52" s="96" t="str">
        <f>IFERROR(__xludf.DUMMYFUNCTION("""COMPUTED_VALUE"""),"CONNECT")</f>
        <v>CONNECT</v>
      </c>
      <c r="P52" s="96" t="str">
        <f>IFERROR(__xludf.DUMMYFUNCTION("""COMPUTED_VALUE"""),"BALANCE")</f>
        <v>BALANCE</v>
      </c>
      <c r="Q52" s="99">
        <f>IFERROR(__xludf.DUMMYFUNCTION("""COMPUTED_VALUE"""),1200000.0)</f>
        <v>1200000</v>
      </c>
      <c r="R52" s="96" t="str">
        <f>IFERROR(__xludf.DUMMYFUNCTION("""COMPUTED_VALUE"""),"Prefinance")</f>
        <v>Prefinance</v>
      </c>
      <c r="S52" s="99">
        <f>IFERROR(__xludf.DUMMYFUNCTION("""COMPUTED_VALUE"""),0.0)</f>
        <v>0</v>
      </c>
      <c r="T52" s="99">
        <f>IFERROR(__xludf.DUMMYFUNCTION("""COMPUTED_VALUE"""),0.0)</f>
        <v>0</v>
      </c>
      <c r="U52" s="99">
        <f>IFERROR(__xludf.DUMMYFUNCTION("""COMPUTED_VALUE"""),0.0)</f>
        <v>0</v>
      </c>
      <c r="V52" s="99">
        <f>IFERROR(__xludf.DUMMYFUNCTION("""COMPUTED_VALUE"""),0.0)</f>
        <v>0</v>
      </c>
      <c r="W52" s="99">
        <f>IFERROR(__xludf.DUMMYFUNCTION("""COMPUTED_VALUE"""),0.0)</f>
        <v>0</v>
      </c>
    </row>
    <row r="53">
      <c r="N53" s="98">
        <f>IFERROR(__xludf.DUMMYFUNCTION("""COMPUTED_VALUE"""),44026.0)</f>
        <v>44026</v>
      </c>
      <c r="O53" s="96" t="str">
        <f>IFERROR(__xludf.DUMMYFUNCTION("""COMPUTED_VALUE"""),"KARIEN EBAN")</f>
        <v>KARIEN EBAN</v>
      </c>
      <c r="P53" s="96" t="str">
        <f>IFERROR(__xludf.DUMMYFUNCTION("""COMPUTED_VALUE"""),"BALANCE")</f>
        <v>BALANCE</v>
      </c>
      <c r="Q53" s="99">
        <f>IFERROR(__xludf.DUMMYFUNCTION("""COMPUTED_VALUE"""),1500000.0)</f>
        <v>1500000</v>
      </c>
      <c r="R53" s="96" t="str">
        <f>IFERROR(__xludf.DUMMYFUNCTION("""COMPUTED_VALUE"""),"Prefinance")</f>
        <v>Prefinance</v>
      </c>
      <c r="S53" s="99">
        <f>IFERROR(__xludf.DUMMYFUNCTION("""COMPUTED_VALUE"""),0.0)</f>
        <v>0</v>
      </c>
      <c r="T53" s="99">
        <f>IFERROR(__xludf.DUMMYFUNCTION("""COMPUTED_VALUE"""),0.0)</f>
        <v>0</v>
      </c>
      <c r="U53" s="99">
        <f>IFERROR(__xludf.DUMMYFUNCTION("""COMPUTED_VALUE"""),0.0)</f>
        <v>0</v>
      </c>
      <c r="V53" s="99">
        <f>IFERROR(__xludf.DUMMYFUNCTION("""COMPUTED_VALUE"""),0.0)</f>
        <v>0</v>
      </c>
      <c r="W53" s="99">
        <f>IFERROR(__xludf.DUMMYFUNCTION("""COMPUTED_VALUE"""),0.0)</f>
        <v>0</v>
      </c>
    </row>
    <row r="54">
      <c r="N54" s="98">
        <f>IFERROR(__xludf.DUMMYFUNCTION("""COMPUTED_VALUE"""),44026.0)</f>
        <v>44026</v>
      </c>
      <c r="O54" s="96" t="str">
        <f>IFERROR(__xludf.DUMMYFUNCTION("""COMPUTED_VALUE"""),"ZULU &amp; NDOMA")</f>
        <v>ZULU &amp; NDOMA</v>
      </c>
      <c r="P54" s="96" t="str">
        <f>IFERROR(__xludf.DUMMYFUNCTION("""COMPUTED_VALUE"""),"BALANCE")</f>
        <v>BALANCE</v>
      </c>
      <c r="Q54" s="99">
        <f>IFERROR(__xludf.DUMMYFUNCTION("""COMPUTED_VALUE"""),165400.0)</f>
        <v>165400</v>
      </c>
      <c r="R54" s="96" t="str">
        <f>IFERROR(__xludf.DUMMYFUNCTION("""COMPUTED_VALUE"""),"Prefinance")</f>
        <v>Prefinance</v>
      </c>
      <c r="S54" s="99">
        <f>IFERROR(__xludf.DUMMYFUNCTION("""COMPUTED_VALUE"""),0.0)</f>
        <v>0</v>
      </c>
      <c r="T54" s="99">
        <f>IFERROR(__xludf.DUMMYFUNCTION("""COMPUTED_VALUE"""),0.0)</f>
        <v>0</v>
      </c>
      <c r="U54" s="99">
        <f>IFERROR(__xludf.DUMMYFUNCTION("""COMPUTED_VALUE"""),0.0)</f>
        <v>0</v>
      </c>
      <c r="V54" s="99">
        <f>IFERROR(__xludf.DUMMYFUNCTION("""COMPUTED_VALUE"""),0.0)</f>
        <v>0</v>
      </c>
      <c r="W54" s="99">
        <f>IFERROR(__xludf.DUMMYFUNCTION("""COMPUTED_VALUE"""),0.0)</f>
        <v>0</v>
      </c>
    </row>
    <row r="55">
      <c r="N55" s="98">
        <f>IFERROR(__xludf.DUMMYFUNCTION("""COMPUTED_VALUE"""),44026.0)</f>
        <v>44026</v>
      </c>
      <c r="O55" s="96" t="str">
        <f>IFERROR(__xludf.DUMMYFUNCTION("""COMPUTED_VALUE"""),"TIWA AGBA")</f>
        <v>TIWA AGBA</v>
      </c>
      <c r="P55" s="96" t="str">
        <f>IFERROR(__xludf.DUMMYFUNCTION("""COMPUTED_VALUE"""),"BALANCE")</f>
        <v>BALANCE</v>
      </c>
      <c r="Q55" s="99">
        <f>IFERROR(__xludf.DUMMYFUNCTION("""COMPUTED_VALUE"""),5000.0)</f>
        <v>5000</v>
      </c>
      <c r="R55" s="96" t="str">
        <f>IFERROR(__xludf.DUMMYFUNCTION("""COMPUTED_VALUE"""),"Prefinance")</f>
        <v>Prefinance</v>
      </c>
      <c r="S55" s="99">
        <f>IFERROR(__xludf.DUMMYFUNCTION("""COMPUTED_VALUE"""),0.0)</f>
        <v>0</v>
      </c>
      <c r="T55" s="99">
        <f>IFERROR(__xludf.DUMMYFUNCTION("""COMPUTED_VALUE"""),0.0)</f>
        <v>0</v>
      </c>
      <c r="U55" s="99">
        <f>IFERROR(__xludf.DUMMYFUNCTION("""COMPUTED_VALUE"""),0.0)</f>
        <v>0</v>
      </c>
      <c r="V55" s="99">
        <f>IFERROR(__xludf.DUMMYFUNCTION("""COMPUTED_VALUE"""),0.0)</f>
        <v>0</v>
      </c>
      <c r="W55" s="99">
        <f>IFERROR(__xludf.DUMMYFUNCTION("""COMPUTED_VALUE"""),0.0)</f>
        <v>0</v>
      </c>
    </row>
    <row r="56">
      <c r="N56" s="98">
        <f>IFERROR(__xludf.DUMMYFUNCTION("""COMPUTED_VALUE"""),44026.0)</f>
        <v>44026</v>
      </c>
      <c r="O56" s="96" t="str">
        <f>IFERROR(__xludf.DUMMYFUNCTION("""COMPUTED_VALUE"""),"PAPA AJASCO BETTE")</f>
        <v>PAPA AJASCO BETTE</v>
      </c>
      <c r="P56" s="96" t="str">
        <f>IFERROR(__xludf.DUMMYFUNCTION("""COMPUTED_VALUE"""),"BALANCE")</f>
        <v>BALANCE</v>
      </c>
      <c r="Q56" s="99">
        <f>IFERROR(__xludf.DUMMYFUNCTION("""COMPUTED_VALUE"""),200000.0)</f>
        <v>200000</v>
      </c>
      <c r="R56" s="96" t="str">
        <f>IFERROR(__xludf.DUMMYFUNCTION("""COMPUTED_VALUE"""),"Prefinance")</f>
        <v>Prefinance</v>
      </c>
      <c r="S56" s="99">
        <f>IFERROR(__xludf.DUMMYFUNCTION("""COMPUTED_VALUE"""),0.0)</f>
        <v>0</v>
      </c>
      <c r="T56" s="99">
        <f>IFERROR(__xludf.DUMMYFUNCTION("""COMPUTED_VALUE"""),0.0)</f>
        <v>0</v>
      </c>
      <c r="U56" s="99">
        <f>IFERROR(__xludf.DUMMYFUNCTION("""COMPUTED_VALUE"""),0.0)</f>
        <v>0</v>
      </c>
      <c r="V56" s="99">
        <f>IFERROR(__xludf.DUMMYFUNCTION("""COMPUTED_VALUE"""),0.0)</f>
        <v>0</v>
      </c>
      <c r="W56" s="99">
        <f>IFERROR(__xludf.DUMMYFUNCTION("""COMPUTED_VALUE"""),0.0)</f>
        <v>0</v>
      </c>
    </row>
    <row r="57">
      <c r="N57" s="98">
        <f>IFERROR(__xludf.DUMMYFUNCTION("""COMPUTED_VALUE"""),44027.0)</f>
        <v>44027</v>
      </c>
      <c r="O57" s="96" t="str">
        <f>IFERROR(__xludf.DUMMYFUNCTION("""COMPUTED_VALUE"""),"director")</f>
        <v>director</v>
      </c>
      <c r="P57" s="96" t="str">
        <f>IFERROR(__xludf.DUMMYFUNCTION("""COMPUTED_VALUE"""),"Stationery")</f>
        <v>Stationery</v>
      </c>
      <c r="Q57" s="99">
        <f>IFERROR(__xludf.DUMMYFUNCTION("""COMPUTED_VALUE"""),6600.0)</f>
        <v>6600</v>
      </c>
      <c r="R57" s="96" t="str">
        <f>IFERROR(__xludf.DUMMYFUNCTION("""COMPUTED_VALUE"""),"General Expenses")</f>
        <v>General Expenses</v>
      </c>
      <c r="S57" s="99">
        <f>IFERROR(__xludf.DUMMYFUNCTION("""COMPUTED_VALUE"""),0.0)</f>
        <v>0</v>
      </c>
      <c r="T57" s="99">
        <f>IFERROR(__xludf.DUMMYFUNCTION("""COMPUTED_VALUE"""),6600.0)</f>
        <v>6600</v>
      </c>
      <c r="U57" s="99">
        <f>IFERROR(__xludf.DUMMYFUNCTION("""COMPUTED_VALUE"""),0.0)</f>
        <v>0</v>
      </c>
      <c r="V57" s="99">
        <f>IFERROR(__xludf.DUMMYFUNCTION("""COMPUTED_VALUE"""),0.0)</f>
        <v>0</v>
      </c>
      <c r="W57" s="99">
        <f>IFERROR(__xludf.DUMMYFUNCTION("""COMPUTED_VALUE"""),0.0)</f>
        <v>0</v>
      </c>
    </row>
    <row r="58">
      <c r="N58" s="98">
        <f>IFERROR(__xludf.DUMMYFUNCTION("""COMPUTED_VALUE"""),44027.0)</f>
        <v>44027</v>
      </c>
      <c r="O58" s="96" t="str">
        <f>IFERROR(__xludf.DUMMYFUNCTION("""COMPUTED_VALUE"""),"director")</f>
        <v>director</v>
      </c>
      <c r="P58" s="96" t="str">
        <f>IFERROR(__xludf.DUMMYFUNCTION("""COMPUTED_VALUE"""),"Fuel")</f>
        <v>Fuel</v>
      </c>
      <c r="Q58" s="99">
        <f>IFERROR(__xludf.DUMMYFUNCTION("""COMPUTED_VALUE"""),4000.0)</f>
        <v>4000</v>
      </c>
      <c r="R58" s="96" t="str">
        <f>IFERROR(__xludf.DUMMYFUNCTION("""COMPUTED_VALUE"""),"General Expenses")</f>
        <v>General Expenses</v>
      </c>
      <c r="S58" s="99">
        <f>IFERROR(__xludf.DUMMYFUNCTION("""COMPUTED_VALUE"""),0.0)</f>
        <v>0</v>
      </c>
      <c r="T58" s="99">
        <f>IFERROR(__xludf.DUMMYFUNCTION("""COMPUTED_VALUE"""),4000.0)</f>
        <v>4000</v>
      </c>
      <c r="U58" s="99">
        <f>IFERROR(__xludf.DUMMYFUNCTION("""COMPUTED_VALUE"""),0.0)</f>
        <v>0</v>
      </c>
      <c r="V58" s="99">
        <f>IFERROR(__xludf.DUMMYFUNCTION("""COMPUTED_VALUE"""),0.0)</f>
        <v>0</v>
      </c>
      <c r="W58" s="99">
        <f>IFERROR(__xludf.DUMMYFUNCTION("""COMPUTED_VALUE"""),0.0)</f>
        <v>0</v>
      </c>
    </row>
    <row r="59">
      <c r="N59" s="98">
        <f>IFERROR(__xludf.DUMMYFUNCTION("""COMPUTED_VALUE"""),44027.0)</f>
        <v>44027</v>
      </c>
      <c r="O59" s="96" t="str">
        <f>IFERROR(__xludf.DUMMYFUNCTION("""COMPUTED_VALUE"""),"Jennifer")</f>
        <v>Jennifer</v>
      </c>
      <c r="P59" s="96" t="str">
        <f>IFERROR(__xludf.DUMMYFUNCTION("""COMPUTED_VALUE"""),"Tally sheet printing")</f>
        <v>Tally sheet printing</v>
      </c>
      <c r="Q59" s="99">
        <f>IFERROR(__xludf.DUMMYFUNCTION("""COMPUTED_VALUE"""),1000.0)</f>
        <v>1000</v>
      </c>
      <c r="R59" s="96" t="str">
        <f>IFERROR(__xludf.DUMMYFUNCTION("""COMPUTED_VALUE"""),"General Expenses")</f>
        <v>General Expenses</v>
      </c>
      <c r="S59" s="99">
        <f>IFERROR(__xludf.DUMMYFUNCTION("""COMPUTED_VALUE"""),0.0)</f>
        <v>0</v>
      </c>
      <c r="T59" s="99">
        <f>IFERROR(__xludf.DUMMYFUNCTION("""COMPUTED_VALUE"""),1000.0)</f>
        <v>1000</v>
      </c>
      <c r="U59" s="99">
        <f>IFERROR(__xludf.DUMMYFUNCTION("""COMPUTED_VALUE"""),0.0)</f>
        <v>0</v>
      </c>
      <c r="V59" s="99">
        <f>IFERROR(__xludf.DUMMYFUNCTION("""COMPUTED_VALUE"""),0.0)</f>
        <v>0</v>
      </c>
      <c r="W59" s="99">
        <f>IFERROR(__xludf.DUMMYFUNCTION("""COMPUTED_VALUE"""),0.0)</f>
        <v>0</v>
      </c>
    </row>
    <row r="60">
      <c r="N60" s="98">
        <f>IFERROR(__xludf.DUMMYFUNCTION("""COMPUTED_VALUE"""),44027.0)</f>
        <v>44027</v>
      </c>
      <c r="O60" s="96" t="str">
        <f>IFERROR(__xludf.DUMMYFUNCTION("""COMPUTED_VALUE"""),"REMMY BODES")</f>
        <v>REMMY BODES</v>
      </c>
      <c r="P60" s="96" t="str">
        <f>IFERROR(__xludf.DUMMYFUNCTION("""COMPUTED_VALUE"""),"Advance")</f>
        <v>Advance</v>
      </c>
      <c r="Q60" s="99">
        <f>IFERROR(__xludf.DUMMYFUNCTION("""COMPUTED_VALUE"""),200000.0)</f>
        <v>200000</v>
      </c>
      <c r="R60" s="96" t="str">
        <f>IFERROR(__xludf.DUMMYFUNCTION("""COMPUTED_VALUE"""),"Prefinance")</f>
        <v>Prefinance</v>
      </c>
      <c r="S60" s="99">
        <f>IFERROR(__xludf.DUMMYFUNCTION("""COMPUTED_VALUE"""),0.0)</f>
        <v>0</v>
      </c>
      <c r="T60" s="99">
        <f>IFERROR(__xludf.DUMMYFUNCTION("""COMPUTED_VALUE"""),0.0)</f>
        <v>0</v>
      </c>
      <c r="U60" s="99">
        <f>IFERROR(__xludf.DUMMYFUNCTION("""COMPUTED_VALUE"""),0.0)</f>
        <v>0</v>
      </c>
      <c r="V60" s="99">
        <f>IFERROR(__xludf.DUMMYFUNCTION("""COMPUTED_VALUE"""),0.0)</f>
        <v>0</v>
      </c>
      <c r="W60" s="99">
        <f>IFERROR(__xludf.DUMMYFUNCTION("""COMPUTED_VALUE"""),0.0)</f>
        <v>0</v>
      </c>
    </row>
    <row r="61">
      <c r="N61" s="98">
        <f>IFERROR(__xludf.DUMMYFUNCTION("""COMPUTED_VALUE"""),44027.0)</f>
        <v>44027</v>
      </c>
      <c r="O61" s="96" t="str">
        <f>IFERROR(__xludf.DUMMYFUNCTION("""COMPUTED_VALUE"""),"CORNWELL")</f>
        <v>CORNWELL</v>
      </c>
      <c r="P61" s="96" t="str">
        <f>IFERROR(__xludf.DUMMYFUNCTION("""COMPUTED_VALUE"""),"Advance")</f>
        <v>Advance</v>
      </c>
      <c r="Q61" s="99">
        <f>IFERROR(__xludf.DUMMYFUNCTION("""COMPUTED_VALUE"""),5000000.0)</f>
        <v>5000000</v>
      </c>
      <c r="R61" s="96" t="str">
        <f>IFERROR(__xludf.DUMMYFUNCTION("""COMPUTED_VALUE"""),"Prefinance")</f>
        <v>Prefinance</v>
      </c>
      <c r="S61" s="99">
        <f>IFERROR(__xludf.DUMMYFUNCTION("""COMPUTED_VALUE"""),0.0)</f>
        <v>0</v>
      </c>
      <c r="T61" s="99">
        <f>IFERROR(__xludf.DUMMYFUNCTION("""COMPUTED_VALUE"""),0.0)</f>
        <v>0</v>
      </c>
      <c r="U61" s="99">
        <f>IFERROR(__xludf.DUMMYFUNCTION("""COMPUTED_VALUE"""),0.0)</f>
        <v>0</v>
      </c>
      <c r="V61" s="99">
        <f>IFERROR(__xludf.DUMMYFUNCTION("""COMPUTED_VALUE"""),0.0)</f>
        <v>0</v>
      </c>
      <c r="W61" s="99">
        <f>IFERROR(__xludf.DUMMYFUNCTION("""COMPUTED_VALUE"""),0.0)</f>
        <v>0</v>
      </c>
    </row>
    <row r="62">
      <c r="N62" s="98">
        <f>IFERROR(__xludf.DUMMYFUNCTION("""COMPUTED_VALUE"""),44027.0)</f>
        <v>44027</v>
      </c>
      <c r="O62" s="96" t="str">
        <f>IFERROR(__xludf.DUMMYFUNCTION("""COMPUTED_VALUE"""),"LIVINUS")</f>
        <v>LIVINUS</v>
      </c>
      <c r="P62" s="96" t="str">
        <f>IFERROR(__xludf.DUMMYFUNCTION("""COMPUTED_VALUE"""),"Advance")</f>
        <v>Advance</v>
      </c>
      <c r="Q62" s="99">
        <f>IFERROR(__xludf.DUMMYFUNCTION("""COMPUTED_VALUE"""),240000.0)</f>
        <v>240000</v>
      </c>
      <c r="R62" s="96" t="str">
        <f>IFERROR(__xludf.DUMMYFUNCTION("""COMPUTED_VALUE"""),"Prefinance")</f>
        <v>Prefinance</v>
      </c>
      <c r="S62" s="99">
        <f>IFERROR(__xludf.DUMMYFUNCTION("""COMPUTED_VALUE"""),0.0)</f>
        <v>0</v>
      </c>
      <c r="T62" s="99">
        <f>IFERROR(__xludf.DUMMYFUNCTION("""COMPUTED_VALUE"""),0.0)</f>
        <v>0</v>
      </c>
      <c r="U62" s="99">
        <f>IFERROR(__xludf.DUMMYFUNCTION("""COMPUTED_VALUE"""),0.0)</f>
        <v>0</v>
      </c>
      <c r="V62" s="99">
        <f>IFERROR(__xludf.DUMMYFUNCTION("""COMPUTED_VALUE"""),0.0)</f>
        <v>0</v>
      </c>
      <c r="W62" s="99">
        <f>IFERROR(__xludf.DUMMYFUNCTION("""COMPUTED_VALUE"""),0.0)</f>
        <v>0</v>
      </c>
    </row>
    <row r="63">
      <c r="N63" s="98">
        <f>IFERROR(__xludf.DUMMYFUNCTION("""COMPUTED_VALUE"""),44027.0)</f>
        <v>44027</v>
      </c>
      <c r="O63" s="96" t="str">
        <f>IFERROR(__xludf.DUMMYFUNCTION("""COMPUTED_VALUE"""),"JAMES AKAN")</f>
        <v>JAMES AKAN</v>
      </c>
      <c r="P63" s="96" t="str">
        <f>IFERROR(__xludf.DUMMYFUNCTION("""COMPUTED_VALUE"""),"Advance")</f>
        <v>Advance</v>
      </c>
      <c r="Q63" s="99">
        <f>IFERROR(__xludf.DUMMYFUNCTION("""COMPUTED_VALUE"""),245000.0)</f>
        <v>245000</v>
      </c>
      <c r="R63" s="96" t="str">
        <f>IFERROR(__xludf.DUMMYFUNCTION("""COMPUTED_VALUE"""),"Prefinance")</f>
        <v>Prefinance</v>
      </c>
      <c r="S63" s="99">
        <f>IFERROR(__xludf.DUMMYFUNCTION("""COMPUTED_VALUE"""),0.0)</f>
        <v>0</v>
      </c>
      <c r="T63" s="99">
        <f>IFERROR(__xludf.DUMMYFUNCTION("""COMPUTED_VALUE"""),0.0)</f>
        <v>0</v>
      </c>
      <c r="U63" s="99">
        <f>IFERROR(__xludf.DUMMYFUNCTION("""COMPUTED_VALUE"""),0.0)</f>
        <v>0</v>
      </c>
      <c r="V63" s="99">
        <f>IFERROR(__xludf.DUMMYFUNCTION("""COMPUTED_VALUE"""),0.0)</f>
        <v>0</v>
      </c>
      <c r="W63" s="99">
        <f>IFERROR(__xludf.DUMMYFUNCTION("""COMPUTED_VALUE"""),0.0)</f>
        <v>0</v>
      </c>
    </row>
    <row r="64">
      <c r="N64" s="98">
        <f>IFERROR(__xludf.DUMMYFUNCTION("""COMPUTED_VALUE"""),44027.0)</f>
        <v>44027</v>
      </c>
      <c r="O64" s="96" t="str">
        <f>IFERROR(__xludf.DUMMYFUNCTION("""COMPUTED_VALUE"""),"WAREHOUSE")</f>
        <v>WAREHOUSE</v>
      </c>
      <c r="P64" s="96" t="str">
        <f>IFERROR(__xludf.DUMMYFUNCTION("""COMPUTED_VALUE"""),"cash collected")</f>
        <v>cash collected</v>
      </c>
      <c r="Q64" s="99">
        <f>IFERROR(__xludf.DUMMYFUNCTION("""COMPUTED_VALUE"""),11600.0)</f>
        <v>11600</v>
      </c>
      <c r="R64" s="96" t="str">
        <f>IFERROR(__xludf.DUMMYFUNCTION("""COMPUTED_VALUE"""),"Petty Cash")</f>
        <v>Petty Cash</v>
      </c>
      <c r="S64" s="99">
        <f>IFERROR(__xludf.DUMMYFUNCTION("""COMPUTED_VALUE"""),0.0)</f>
        <v>0</v>
      </c>
      <c r="T64" s="99">
        <f>IFERROR(__xludf.DUMMYFUNCTION("""COMPUTED_VALUE"""),0.0)</f>
        <v>0</v>
      </c>
      <c r="U64" s="99">
        <f>IFERROR(__xludf.DUMMYFUNCTION("""COMPUTED_VALUE"""),0.0)</f>
        <v>0</v>
      </c>
      <c r="V64" s="99">
        <f>IFERROR(__xludf.DUMMYFUNCTION("""COMPUTED_VALUE"""),11600.0)</f>
        <v>11600</v>
      </c>
      <c r="W64" s="99">
        <f>IFERROR(__xludf.DUMMYFUNCTION("""COMPUTED_VALUE"""),0.0)</f>
        <v>0</v>
      </c>
    </row>
    <row r="65">
      <c r="N65" s="98">
        <f>IFERROR(__xludf.DUMMYFUNCTION("""COMPUTED_VALUE"""),44027.0)</f>
        <v>44027</v>
      </c>
      <c r="O65" s="96" t="str">
        <f>IFERROR(__xludf.DUMMYFUNCTION("""COMPUTED_VALUE"""),"WAREHOUSE")</f>
        <v>WAREHOUSE</v>
      </c>
      <c r="P65" s="96" t="str">
        <f>IFERROR(__xludf.DUMMYFUNCTION("""COMPUTED_VALUE"""),"cash-in")</f>
        <v>cash-in</v>
      </c>
      <c r="Q65" s="99">
        <f>IFERROR(__xludf.DUMMYFUNCTION("""COMPUTED_VALUE"""),5691600.0)</f>
        <v>5691600</v>
      </c>
      <c r="R65" s="96" t="str">
        <f>IFERROR(__xludf.DUMMYFUNCTION("""COMPUTED_VALUE"""),"From Bank")</f>
        <v>From Bank</v>
      </c>
      <c r="S65" s="99">
        <f>IFERROR(__xludf.DUMMYFUNCTION("""COMPUTED_VALUE"""),0.0)</f>
        <v>0</v>
      </c>
      <c r="T65" s="99">
        <f>IFERROR(__xludf.DUMMYFUNCTION("""COMPUTED_VALUE"""),0.0)</f>
        <v>0</v>
      </c>
      <c r="U65" s="99">
        <f>IFERROR(__xludf.DUMMYFUNCTION("""COMPUTED_VALUE"""),5696600.0)</f>
        <v>5696600</v>
      </c>
      <c r="V65" s="99">
        <f>IFERROR(__xludf.DUMMYFUNCTION("""COMPUTED_VALUE"""),0.0)</f>
        <v>0</v>
      </c>
      <c r="W65" s="99">
        <f>IFERROR(__xludf.DUMMYFUNCTION("""COMPUTED_VALUE"""),0.0)</f>
        <v>0</v>
      </c>
    </row>
    <row r="66">
      <c r="N66" s="98">
        <f>IFERROR(__xludf.DUMMYFUNCTION("""COMPUTED_VALUE"""),44028.0)</f>
        <v>44028</v>
      </c>
      <c r="O66" s="96" t="str">
        <f>IFERROR(__xludf.DUMMYFUNCTION("""COMPUTED_VALUE"""),"RECTOR W.")</f>
        <v>RECTOR W.</v>
      </c>
      <c r="P66" s="96" t="str">
        <f>IFERROR(__xludf.DUMMYFUNCTION("""COMPUTED_VALUE"""),"ADVANCE")</f>
        <v>ADVANCE</v>
      </c>
      <c r="Q66" s="99">
        <f>IFERROR(__xludf.DUMMYFUNCTION("""COMPUTED_VALUE"""),567000.0)</f>
        <v>567000</v>
      </c>
      <c r="R66" s="96" t="str">
        <f>IFERROR(__xludf.DUMMYFUNCTION("""COMPUTED_VALUE"""),"Prefinance")</f>
        <v>Prefinance</v>
      </c>
      <c r="S66" s="99">
        <f>IFERROR(__xludf.DUMMYFUNCTION("""COMPUTED_VALUE"""),0.0)</f>
        <v>0</v>
      </c>
      <c r="T66" s="99">
        <f>IFERROR(__xludf.DUMMYFUNCTION("""COMPUTED_VALUE"""),0.0)</f>
        <v>0</v>
      </c>
      <c r="U66" s="99">
        <f>IFERROR(__xludf.DUMMYFUNCTION("""COMPUTED_VALUE"""),0.0)</f>
        <v>0</v>
      </c>
      <c r="V66" s="99">
        <f>IFERROR(__xludf.DUMMYFUNCTION("""COMPUTED_VALUE"""),0.0)</f>
        <v>0</v>
      </c>
      <c r="W66" s="99">
        <f>IFERROR(__xludf.DUMMYFUNCTION("""COMPUTED_VALUE"""),0.0)</f>
        <v>0</v>
      </c>
    </row>
    <row r="67">
      <c r="N67" s="98">
        <f>IFERROR(__xludf.DUMMYFUNCTION("""COMPUTED_VALUE"""),44028.0)</f>
        <v>44028</v>
      </c>
      <c r="O67" s="96" t="str">
        <f>IFERROR(__xludf.DUMMYFUNCTION("""COMPUTED_VALUE"""),"RECTOR W.")</f>
        <v>RECTOR W.</v>
      </c>
      <c r="P67" s="96" t="str">
        <f>IFERROR(__xludf.DUMMYFUNCTION("""COMPUTED_VALUE"""),"Transportation")</f>
        <v>Transportation</v>
      </c>
      <c r="Q67" s="99">
        <f>IFERROR(__xludf.DUMMYFUNCTION("""COMPUTED_VALUE"""),50000.0)</f>
        <v>50000</v>
      </c>
      <c r="R67" s="96" t="str">
        <f>IFERROR(__xludf.DUMMYFUNCTION("""COMPUTED_VALUE"""),"Prefinance")</f>
        <v>Prefinance</v>
      </c>
      <c r="S67" s="99">
        <f>IFERROR(__xludf.DUMMYFUNCTION("""COMPUTED_VALUE"""),0.0)</f>
        <v>0</v>
      </c>
      <c r="T67" s="99">
        <f>IFERROR(__xludf.DUMMYFUNCTION("""COMPUTED_VALUE"""),0.0)</f>
        <v>0</v>
      </c>
      <c r="U67" s="99">
        <f>IFERROR(__xludf.DUMMYFUNCTION("""COMPUTED_VALUE"""),0.0)</f>
        <v>0</v>
      </c>
      <c r="V67" s="99">
        <f>IFERROR(__xludf.DUMMYFUNCTION("""COMPUTED_VALUE"""),0.0)</f>
        <v>0</v>
      </c>
      <c r="W67" s="99">
        <f>IFERROR(__xludf.DUMMYFUNCTION("""COMPUTED_VALUE"""),0.0)</f>
        <v>0</v>
      </c>
    </row>
    <row r="68">
      <c r="N68" s="98">
        <f>IFERROR(__xludf.DUMMYFUNCTION("""COMPUTED_VALUE"""),44028.0)</f>
        <v>44028</v>
      </c>
      <c r="O68" s="96" t="str">
        <f>IFERROR(__xludf.DUMMYFUNCTION("""COMPUTED_VALUE"""),"RECTOR W.")</f>
        <v>RECTOR W.</v>
      </c>
      <c r="P68" s="96" t="str">
        <f>IFERROR(__xludf.DUMMYFUNCTION("""COMPUTED_VALUE"""),"Transportation")</f>
        <v>Transportation</v>
      </c>
      <c r="Q68" s="99">
        <f>IFERROR(__xludf.DUMMYFUNCTION("""COMPUTED_VALUE"""),30000.0)</f>
        <v>30000</v>
      </c>
      <c r="R68" s="96" t="str">
        <f>IFERROR(__xludf.DUMMYFUNCTION("""COMPUTED_VALUE"""),"Prefinance")</f>
        <v>Prefinance</v>
      </c>
      <c r="S68" s="99">
        <f>IFERROR(__xludf.DUMMYFUNCTION("""COMPUTED_VALUE"""),0.0)</f>
        <v>0</v>
      </c>
      <c r="T68" s="99">
        <f>IFERROR(__xludf.DUMMYFUNCTION("""COMPUTED_VALUE"""),0.0)</f>
        <v>0</v>
      </c>
      <c r="U68" s="99">
        <f>IFERROR(__xludf.DUMMYFUNCTION("""COMPUTED_VALUE"""),0.0)</f>
        <v>0</v>
      </c>
      <c r="V68" s="99">
        <f>IFERROR(__xludf.DUMMYFUNCTION("""COMPUTED_VALUE"""),0.0)</f>
        <v>0</v>
      </c>
      <c r="W68" s="99">
        <f>IFERROR(__xludf.DUMMYFUNCTION("""COMPUTED_VALUE"""),0.0)</f>
        <v>0</v>
      </c>
    </row>
    <row r="69">
      <c r="N69" s="98">
        <f>IFERROR(__xludf.DUMMYFUNCTION("""COMPUTED_VALUE"""),44028.0)</f>
        <v>44028</v>
      </c>
      <c r="O69" s="96" t="str">
        <f>IFERROR(__xludf.DUMMYFUNCTION("""COMPUTED_VALUE"""),"RECTOR W.")</f>
        <v>RECTOR W.</v>
      </c>
      <c r="P69" s="96" t="str">
        <f>IFERROR(__xludf.DUMMYFUNCTION("""COMPUTED_VALUE"""),"up-keep")</f>
        <v>up-keep</v>
      </c>
      <c r="Q69" s="99">
        <f>IFERROR(__xludf.DUMMYFUNCTION("""COMPUTED_VALUE"""),5000.0)</f>
        <v>5000</v>
      </c>
      <c r="R69" s="96" t="str">
        <f>IFERROR(__xludf.DUMMYFUNCTION("""COMPUTED_VALUE"""),"Prefinance")</f>
        <v>Prefinance</v>
      </c>
      <c r="S69" s="99">
        <f>IFERROR(__xludf.DUMMYFUNCTION("""COMPUTED_VALUE"""),0.0)</f>
        <v>0</v>
      </c>
      <c r="T69" s="99">
        <f>IFERROR(__xludf.DUMMYFUNCTION("""COMPUTED_VALUE"""),0.0)</f>
        <v>0</v>
      </c>
      <c r="U69" s="99">
        <f>IFERROR(__xludf.DUMMYFUNCTION("""COMPUTED_VALUE"""),0.0)</f>
        <v>0</v>
      </c>
      <c r="V69" s="99">
        <f>IFERROR(__xludf.DUMMYFUNCTION("""COMPUTED_VALUE"""),0.0)</f>
        <v>0</v>
      </c>
      <c r="W69" s="99">
        <f>IFERROR(__xludf.DUMMYFUNCTION("""COMPUTED_VALUE"""),0.0)</f>
        <v>0</v>
      </c>
    </row>
    <row r="70">
      <c r="N70" s="98">
        <f>IFERROR(__xludf.DUMMYFUNCTION("""COMPUTED_VALUE"""),44029.0)</f>
        <v>44029</v>
      </c>
      <c r="O70" s="96" t="str">
        <f>IFERROR(__xludf.DUMMYFUNCTION("""COMPUTED_VALUE"""),"CORNWELL")</f>
        <v>CORNWELL</v>
      </c>
      <c r="P70" s="96" t="str">
        <f>IFERROR(__xludf.DUMMYFUNCTION("""COMPUTED_VALUE"""),"ADVANCE")</f>
        <v>ADVANCE</v>
      </c>
      <c r="Q70" s="99">
        <f>IFERROR(__xludf.DUMMYFUNCTION("""COMPUTED_VALUE"""),5000000.0)</f>
        <v>5000000</v>
      </c>
      <c r="R70" s="96" t="str">
        <f>IFERROR(__xludf.DUMMYFUNCTION("""COMPUTED_VALUE"""),"Prefinance")</f>
        <v>Prefinance</v>
      </c>
      <c r="S70" s="99">
        <f>IFERROR(__xludf.DUMMYFUNCTION("""COMPUTED_VALUE"""),0.0)</f>
        <v>0</v>
      </c>
      <c r="T70" s="99">
        <f>IFERROR(__xludf.DUMMYFUNCTION("""COMPUTED_VALUE"""),0.0)</f>
        <v>0</v>
      </c>
      <c r="U70" s="99">
        <f>IFERROR(__xludf.DUMMYFUNCTION("""COMPUTED_VALUE"""),0.0)</f>
        <v>0</v>
      </c>
      <c r="V70" s="99">
        <f>IFERROR(__xludf.DUMMYFUNCTION("""COMPUTED_VALUE"""),0.0)</f>
        <v>0</v>
      </c>
      <c r="W70" s="99">
        <f>IFERROR(__xludf.DUMMYFUNCTION("""COMPUTED_VALUE"""),0.0)</f>
        <v>0</v>
      </c>
    </row>
    <row r="71">
      <c r="N71" s="98">
        <f>IFERROR(__xludf.DUMMYFUNCTION("""COMPUTED_VALUE"""),44029.0)</f>
        <v>44029</v>
      </c>
      <c r="O71" s="96" t="str">
        <f>IFERROR(__xludf.DUMMYFUNCTION("""COMPUTED_VALUE"""),"NDOMA BODE I.D")</f>
        <v>NDOMA BODE I.D</v>
      </c>
      <c r="P71" s="96" t="str">
        <f>IFERROR(__xludf.DUMMYFUNCTION("""COMPUTED_VALUE"""),"ADVANCE")</f>
        <v>ADVANCE</v>
      </c>
      <c r="Q71" s="99">
        <f>IFERROR(__xludf.DUMMYFUNCTION("""COMPUTED_VALUE"""),200000.0)</f>
        <v>200000</v>
      </c>
      <c r="R71" s="96" t="str">
        <f>IFERROR(__xludf.DUMMYFUNCTION("""COMPUTED_VALUE"""),"Prefinance")</f>
        <v>Prefinance</v>
      </c>
      <c r="S71" s="99">
        <f>IFERROR(__xludf.DUMMYFUNCTION("""COMPUTED_VALUE"""),0.0)</f>
        <v>0</v>
      </c>
      <c r="T71" s="99">
        <f>IFERROR(__xludf.DUMMYFUNCTION("""COMPUTED_VALUE"""),0.0)</f>
        <v>0</v>
      </c>
      <c r="U71" s="99">
        <f>IFERROR(__xludf.DUMMYFUNCTION("""COMPUTED_VALUE"""),0.0)</f>
        <v>0</v>
      </c>
      <c r="V71" s="99">
        <f>IFERROR(__xludf.DUMMYFUNCTION("""COMPUTED_VALUE"""),0.0)</f>
        <v>0</v>
      </c>
      <c r="W71" s="99">
        <f>IFERROR(__xludf.DUMMYFUNCTION("""COMPUTED_VALUE"""),0.0)</f>
        <v>0</v>
      </c>
    </row>
    <row r="72">
      <c r="N72" s="98">
        <f>IFERROR(__xludf.DUMMYFUNCTION("""COMPUTED_VALUE"""),44029.0)</f>
        <v>44029</v>
      </c>
      <c r="O72" s="96" t="str">
        <f>IFERROR(__xludf.DUMMYFUNCTION("""COMPUTED_VALUE"""),"NDOMA BODE I.D")</f>
        <v>NDOMA BODE I.D</v>
      </c>
      <c r="P72" s="96" t="str">
        <f>IFERROR(__xludf.DUMMYFUNCTION("""COMPUTED_VALUE"""),"supply balance")</f>
        <v>supply balance</v>
      </c>
      <c r="Q72" s="99">
        <f>IFERROR(__xludf.DUMMYFUNCTION("""COMPUTED_VALUE"""),25550.0)</f>
        <v>25550</v>
      </c>
      <c r="R72" s="96" t="str">
        <f>IFERROR(__xludf.DUMMYFUNCTION("""COMPUTED_VALUE"""),"Prefinance")</f>
        <v>Prefinance</v>
      </c>
      <c r="S72" s="99">
        <f>IFERROR(__xludf.DUMMYFUNCTION("""COMPUTED_VALUE"""),0.0)</f>
        <v>0</v>
      </c>
      <c r="T72" s="99">
        <f>IFERROR(__xludf.DUMMYFUNCTION("""COMPUTED_VALUE"""),0.0)</f>
        <v>0</v>
      </c>
      <c r="U72" s="99">
        <f>IFERROR(__xludf.DUMMYFUNCTION("""COMPUTED_VALUE"""),0.0)</f>
        <v>0</v>
      </c>
      <c r="V72" s="99">
        <f>IFERROR(__xludf.DUMMYFUNCTION("""COMPUTED_VALUE"""),0.0)</f>
        <v>0</v>
      </c>
      <c r="W72" s="99">
        <f>IFERROR(__xludf.DUMMYFUNCTION("""COMPUTED_VALUE"""),0.0)</f>
        <v>0</v>
      </c>
    </row>
    <row r="73">
      <c r="N73" s="98">
        <f>IFERROR(__xludf.DUMMYFUNCTION("""COMPUTED_VALUE"""),44029.0)</f>
        <v>44029</v>
      </c>
      <c r="O73" s="96" t="str">
        <f>IFERROR(__xludf.DUMMYFUNCTION("""COMPUTED_VALUE"""),"LIVINUS")</f>
        <v>LIVINUS</v>
      </c>
      <c r="P73" s="96" t="str">
        <f>IFERROR(__xludf.DUMMYFUNCTION("""COMPUTED_VALUE"""),"ADVANCE")</f>
        <v>ADVANCE</v>
      </c>
      <c r="Q73" s="99">
        <f>IFERROR(__xludf.DUMMYFUNCTION("""COMPUTED_VALUE"""),300000.0)</f>
        <v>300000</v>
      </c>
      <c r="R73" s="96" t="str">
        <f>IFERROR(__xludf.DUMMYFUNCTION("""COMPUTED_VALUE"""),"Prefinance")</f>
        <v>Prefinance</v>
      </c>
      <c r="S73" s="99">
        <f>IFERROR(__xludf.DUMMYFUNCTION("""COMPUTED_VALUE"""),0.0)</f>
        <v>0</v>
      </c>
      <c r="T73" s="99">
        <f>IFERROR(__xludf.DUMMYFUNCTION("""COMPUTED_VALUE"""),0.0)</f>
        <v>0</v>
      </c>
      <c r="U73" s="99">
        <f>IFERROR(__xludf.DUMMYFUNCTION("""COMPUTED_VALUE"""),0.0)</f>
        <v>0</v>
      </c>
      <c r="V73" s="99">
        <f>IFERROR(__xludf.DUMMYFUNCTION("""COMPUTED_VALUE"""),0.0)</f>
        <v>0</v>
      </c>
      <c r="W73" s="99">
        <f>IFERROR(__xludf.DUMMYFUNCTION("""COMPUTED_VALUE"""),0.0)</f>
        <v>0</v>
      </c>
    </row>
    <row r="74">
      <c r="N74" s="98">
        <f>IFERROR(__xludf.DUMMYFUNCTION("""COMPUTED_VALUE"""),44028.0)</f>
        <v>44028</v>
      </c>
      <c r="O74" s="96" t="str">
        <f>IFERROR(__xludf.DUMMYFUNCTION("""COMPUTED_VALUE"""),"DIRECTOR")</f>
        <v>DIRECTOR</v>
      </c>
      <c r="P74" s="96" t="str">
        <f>IFERROR(__xludf.DUMMYFUNCTION("""COMPUTED_VALUE"""),"fuel")</f>
        <v>fuel</v>
      </c>
      <c r="Q74" s="99">
        <f>IFERROR(__xludf.DUMMYFUNCTION("""COMPUTED_VALUE"""),5000.0)</f>
        <v>5000</v>
      </c>
      <c r="R74" s="96" t="str">
        <f>IFERROR(__xludf.DUMMYFUNCTION("""COMPUTED_VALUE"""),"General Expenses")</f>
        <v>General Expenses</v>
      </c>
      <c r="S74" s="99">
        <f>IFERROR(__xludf.DUMMYFUNCTION("""COMPUTED_VALUE"""),0.0)</f>
        <v>0</v>
      </c>
      <c r="T74" s="99">
        <f>IFERROR(__xludf.DUMMYFUNCTION("""COMPUTED_VALUE"""),5000.0)</f>
        <v>5000</v>
      </c>
      <c r="U74" s="99">
        <f>IFERROR(__xludf.DUMMYFUNCTION("""COMPUTED_VALUE"""),0.0)</f>
        <v>0</v>
      </c>
      <c r="V74" s="99">
        <f>IFERROR(__xludf.DUMMYFUNCTION("""COMPUTED_VALUE"""),0.0)</f>
        <v>0</v>
      </c>
      <c r="W74" s="99">
        <f>IFERROR(__xludf.DUMMYFUNCTION("""COMPUTED_VALUE"""),0.0)</f>
        <v>0</v>
      </c>
    </row>
    <row r="75">
      <c r="N75" s="98">
        <f>IFERROR(__xludf.DUMMYFUNCTION("""COMPUTED_VALUE"""),44029.0)</f>
        <v>44029</v>
      </c>
      <c r="O75" s="96" t="str">
        <f>IFERROR(__xludf.DUMMYFUNCTION("""COMPUTED_VALUE"""),"DIRECTOR")</f>
        <v>DIRECTOR</v>
      </c>
      <c r="P75" s="96" t="str">
        <f>IFERROR(__xludf.DUMMYFUNCTION("""COMPUTED_VALUE"""),"personal use")</f>
        <v>personal use</v>
      </c>
      <c r="Q75" s="99">
        <f>IFERROR(__xludf.DUMMYFUNCTION("""COMPUTED_VALUE"""),50000.0)</f>
        <v>50000</v>
      </c>
      <c r="R75" s="96" t="str">
        <f>IFERROR(__xludf.DUMMYFUNCTION("""COMPUTED_VALUE"""),"General Expenses")</f>
        <v>General Expenses</v>
      </c>
      <c r="S75" s="99">
        <f>IFERROR(__xludf.DUMMYFUNCTION("""COMPUTED_VALUE"""),0.0)</f>
        <v>0</v>
      </c>
      <c r="T75" s="99">
        <f>IFERROR(__xludf.DUMMYFUNCTION("""COMPUTED_VALUE"""),50000.0)</f>
        <v>50000</v>
      </c>
      <c r="U75" s="99">
        <f>IFERROR(__xludf.DUMMYFUNCTION("""COMPUTED_VALUE"""),0.0)</f>
        <v>0</v>
      </c>
      <c r="V75" s="99">
        <f>IFERROR(__xludf.DUMMYFUNCTION("""COMPUTED_VALUE"""),0.0)</f>
        <v>0</v>
      </c>
      <c r="W75" s="99">
        <f>IFERROR(__xludf.DUMMYFUNCTION("""COMPUTED_VALUE"""),0.0)</f>
        <v>0</v>
      </c>
    </row>
    <row r="76">
      <c r="N76" s="98">
        <f>IFERROR(__xludf.DUMMYFUNCTION("""COMPUTED_VALUE"""),44029.0)</f>
        <v>44029</v>
      </c>
      <c r="O76" s="96" t="str">
        <f>IFERROR(__xludf.DUMMYFUNCTION("""COMPUTED_VALUE"""),"WAREHOUSE")</f>
        <v>WAREHOUSE</v>
      </c>
      <c r="P76" s="96" t="str">
        <f>IFERROR(__xludf.DUMMYFUNCTION("""COMPUTED_VALUE"""),"road expenses")</f>
        <v>road expenses</v>
      </c>
      <c r="Q76" s="99">
        <f>IFERROR(__xludf.DUMMYFUNCTION("""COMPUTED_VALUE"""),500.0)</f>
        <v>500</v>
      </c>
      <c r="R76" s="96" t="str">
        <f>IFERROR(__xludf.DUMMYFUNCTION("""COMPUTED_VALUE"""),"General Expenses")</f>
        <v>General Expenses</v>
      </c>
      <c r="S76" s="99">
        <f>IFERROR(__xludf.DUMMYFUNCTION("""COMPUTED_VALUE"""),0.0)</f>
        <v>0</v>
      </c>
      <c r="T76" s="99">
        <f>IFERROR(__xludf.DUMMYFUNCTION("""COMPUTED_VALUE"""),500.0)</f>
        <v>500</v>
      </c>
      <c r="U76" s="99">
        <f>IFERROR(__xludf.DUMMYFUNCTION("""COMPUTED_VALUE"""),0.0)</f>
        <v>0</v>
      </c>
      <c r="V76" s="99">
        <f>IFERROR(__xludf.DUMMYFUNCTION("""COMPUTED_VALUE"""),0.0)</f>
        <v>0</v>
      </c>
      <c r="W76" s="99">
        <f>IFERROR(__xludf.DUMMYFUNCTION("""COMPUTED_VALUE"""),0.0)</f>
        <v>0</v>
      </c>
    </row>
    <row r="77">
      <c r="N77" s="98">
        <f>IFERROR(__xludf.DUMMYFUNCTION("""COMPUTED_VALUE"""),44028.0)</f>
        <v>44028</v>
      </c>
      <c r="O77" s="96" t="str">
        <f>IFERROR(__xludf.DUMMYFUNCTION("""COMPUTED_VALUE"""),"DIRECTOR")</f>
        <v>DIRECTOR</v>
      </c>
      <c r="P77" s="96" t="str">
        <f>IFERROR(__xludf.DUMMYFUNCTION("""COMPUTED_VALUE"""),"cash collected")</f>
        <v>cash collected</v>
      </c>
      <c r="Q77" s="99">
        <f>IFERROR(__xludf.DUMMYFUNCTION("""COMPUTED_VALUE"""),5000.0)</f>
        <v>5000</v>
      </c>
      <c r="R77" s="96" t="str">
        <f>IFERROR(__xludf.DUMMYFUNCTION("""COMPUTED_VALUE"""),"Petty Cash")</f>
        <v>Petty Cash</v>
      </c>
      <c r="S77" s="99">
        <f>IFERROR(__xludf.DUMMYFUNCTION("""COMPUTED_VALUE"""),0.0)</f>
        <v>0</v>
      </c>
      <c r="T77" s="99">
        <f>IFERROR(__xludf.DUMMYFUNCTION("""COMPUTED_VALUE"""),0.0)</f>
        <v>0</v>
      </c>
      <c r="U77" s="99">
        <f>IFERROR(__xludf.DUMMYFUNCTION("""COMPUTED_VALUE"""),0.0)</f>
        <v>0</v>
      </c>
      <c r="V77" s="99">
        <f>IFERROR(__xludf.DUMMYFUNCTION("""COMPUTED_VALUE"""),5000.0)</f>
        <v>5000</v>
      </c>
      <c r="W77" s="99">
        <f>IFERROR(__xludf.DUMMYFUNCTION("""COMPUTED_VALUE"""),0.0)</f>
        <v>0</v>
      </c>
    </row>
    <row r="78">
      <c r="N78" s="98">
        <f>IFERROR(__xludf.DUMMYFUNCTION("""COMPUTED_VALUE"""),44028.0)</f>
        <v>44028</v>
      </c>
      <c r="O78" s="96" t="str">
        <f>IFERROR(__xludf.DUMMYFUNCTION("""COMPUTED_VALUE"""),"MANAGER")</f>
        <v>MANAGER</v>
      </c>
      <c r="P78" s="96" t="str">
        <f>IFERROR(__xludf.DUMMYFUNCTION("""COMPUTED_VALUE"""),"CASH-IN")</f>
        <v>CASH-IN</v>
      </c>
      <c r="Q78" s="99">
        <f>IFERROR(__xludf.DUMMYFUNCTION("""COMPUTED_VALUE"""),657000.0)</f>
        <v>657000</v>
      </c>
      <c r="R78" s="96" t="str">
        <f>IFERROR(__xludf.DUMMYFUNCTION("""COMPUTED_VALUE"""),"From Bank")</f>
        <v>From Bank</v>
      </c>
      <c r="S78" s="99">
        <f>IFERROR(__xludf.DUMMYFUNCTION("""COMPUTED_VALUE"""),0.0)</f>
        <v>0</v>
      </c>
      <c r="T78" s="99">
        <f>IFERROR(__xludf.DUMMYFUNCTION("""COMPUTED_VALUE"""),0.0)</f>
        <v>0</v>
      </c>
      <c r="U78" s="99">
        <f>IFERROR(__xludf.DUMMYFUNCTION("""COMPUTED_VALUE"""),657000.0)</f>
        <v>657000</v>
      </c>
      <c r="V78" s="99">
        <f>IFERROR(__xludf.DUMMYFUNCTION("""COMPUTED_VALUE"""),0.0)</f>
        <v>0</v>
      </c>
      <c r="W78" s="99">
        <f>IFERROR(__xludf.DUMMYFUNCTION("""COMPUTED_VALUE"""),0.0)</f>
        <v>0</v>
      </c>
    </row>
    <row r="79">
      <c r="N79" s="98">
        <f>IFERROR(__xludf.DUMMYFUNCTION("""COMPUTED_VALUE"""),44029.0)</f>
        <v>44029</v>
      </c>
      <c r="O79" s="96" t="str">
        <f>IFERROR(__xludf.DUMMYFUNCTION("""COMPUTED_VALUE"""),"BLESSING AYUK")</f>
        <v>BLESSING AYUK</v>
      </c>
      <c r="P79" s="96" t="str">
        <f>IFERROR(__xludf.DUMMYFUNCTION("""COMPUTED_VALUE"""),"CASH COLLECTED")</f>
        <v>CASH COLLECTED</v>
      </c>
      <c r="Q79" s="99">
        <f>IFERROR(__xludf.DUMMYFUNCTION("""COMPUTED_VALUE"""),54000.0)</f>
        <v>54000</v>
      </c>
      <c r="R79" s="96" t="str">
        <f>IFERROR(__xludf.DUMMYFUNCTION("""COMPUTED_VALUE"""),"Petty Cash")</f>
        <v>Petty Cash</v>
      </c>
      <c r="S79" s="99">
        <f>IFERROR(__xludf.DUMMYFUNCTION("""COMPUTED_VALUE"""),0.0)</f>
        <v>0</v>
      </c>
      <c r="T79" s="99">
        <f>IFERROR(__xludf.DUMMYFUNCTION("""COMPUTED_VALUE"""),0.0)</f>
        <v>0</v>
      </c>
      <c r="U79" s="99">
        <f>IFERROR(__xludf.DUMMYFUNCTION("""COMPUTED_VALUE"""),0.0)</f>
        <v>0</v>
      </c>
      <c r="V79" s="99">
        <f>IFERROR(__xludf.DUMMYFUNCTION("""COMPUTED_VALUE"""),54000.0)</f>
        <v>54000</v>
      </c>
      <c r="W79" s="99">
        <f>IFERROR(__xludf.DUMMYFUNCTION("""COMPUTED_VALUE"""),0.0)</f>
        <v>0</v>
      </c>
    </row>
    <row r="80">
      <c r="N80" s="98">
        <f>IFERROR(__xludf.DUMMYFUNCTION("""COMPUTED_VALUE"""),44029.0)</f>
        <v>44029</v>
      </c>
      <c r="O80" s="96" t="str">
        <f>IFERROR(__xludf.DUMMYFUNCTION("""COMPUTED_VALUE"""),"MANAGER")</f>
        <v>MANAGER</v>
      </c>
      <c r="P80" s="96" t="str">
        <f>IFERROR(__xludf.DUMMYFUNCTION("""COMPUTED_VALUE"""),"CASH-IN")</f>
        <v>CASH-IN</v>
      </c>
      <c r="Q80" s="99">
        <f>IFERROR(__xludf.DUMMYFUNCTION("""COMPUTED_VALUE"""),5650000.0)</f>
        <v>5650000</v>
      </c>
      <c r="R80" s="96" t="str">
        <f>IFERROR(__xludf.DUMMYFUNCTION("""COMPUTED_VALUE"""),"From Bank")</f>
        <v>From Bank</v>
      </c>
      <c r="S80" s="99">
        <f>IFERROR(__xludf.DUMMYFUNCTION("""COMPUTED_VALUE"""),0.0)</f>
        <v>0</v>
      </c>
      <c r="T80" s="99">
        <f>IFERROR(__xludf.DUMMYFUNCTION("""COMPUTED_VALUE"""),0.0)</f>
        <v>0</v>
      </c>
      <c r="U80" s="99">
        <f>IFERROR(__xludf.DUMMYFUNCTION("""COMPUTED_VALUE"""),5650000.0)</f>
        <v>5650000</v>
      </c>
      <c r="V80" s="99">
        <f>IFERROR(__xludf.DUMMYFUNCTION("""COMPUTED_VALUE"""),0.0)</f>
        <v>0</v>
      </c>
      <c r="W80" s="99">
        <f>IFERROR(__xludf.DUMMYFUNCTION("""COMPUTED_VALUE"""),0.0)</f>
        <v>0</v>
      </c>
    </row>
    <row r="81">
      <c r="N81" s="98">
        <f>IFERROR(__xludf.DUMMYFUNCTION("""COMPUTED_VALUE"""),44030.0)</f>
        <v>44030</v>
      </c>
      <c r="O81" s="96" t="str">
        <f>IFERROR(__xludf.DUMMYFUNCTION("""COMPUTED_VALUE"""),"CONNECT")</f>
        <v>CONNECT</v>
      </c>
      <c r="P81" s="96" t="str">
        <f>IFERROR(__xludf.DUMMYFUNCTION("""COMPUTED_VALUE"""),"ADVANCE")</f>
        <v>ADVANCE</v>
      </c>
      <c r="Q81" s="99">
        <f>IFERROR(__xludf.DUMMYFUNCTION("""COMPUTED_VALUE"""),300000.0)</f>
        <v>300000</v>
      </c>
      <c r="R81" s="96" t="str">
        <f>IFERROR(__xludf.DUMMYFUNCTION("""COMPUTED_VALUE"""),"Prefinance")</f>
        <v>Prefinance</v>
      </c>
      <c r="S81" s="99">
        <f>IFERROR(__xludf.DUMMYFUNCTION("""COMPUTED_VALUE"""),0.0)</f>
        <v>0</v>
      </c>
      <c r="T81" s="99">
        <f>IFERROR(__xludf.DUMMYFUNCTION("""COMPUTED_VALUE"""),0.0)</f>
        <v>0</v>
      </c>
      <c r="U81" s="99">
        <f>IFERROR(__xludf.DUMMYFUNCTION("""COMPUTED_VALUE"""),0.0)</f>
        <v>0</v>
      </c>
      <c r="V81" s="99">
        <f>IFERROR(__xludf.DUMMYFUNCTION("""COMPUTED_VALUE"""),0.0)</f>
        <v>0</v>
      </c>
      <c r="W81" s="99">
        <f>IFERROR(__xludf.DUMMYFUNCTION("""COMPUTED_VALUE"""),0.0)</f>
        <v>0</v>
      </c>
    </row>
    <row r="82">
      <c r="N82" s="98">
        <f>IFERROR(__xludf.DUMMYFUNCTION("""COMPUTED_VALUE"""),44030.0)</f>
        <v>44030</v>
      </c>
      <c r="O82" s="96" t="str">
        <f>IFERROR(__xludf.DUMMYFUNCTION("""COMPUTED_VALUE"""),"CONNECT")</f>
        <v>CONNECT</v>
      </c>
      <c r="P82" s="96" t="str">
        <f>IFERROR(__xludf.DUMMYFUNCTION("""COMPUTED_VALUE"""),"ADVANCE")</f>
        <v>ADVANCE</v>
      </c>
      <c r="Q82" s="99">
        <f>IFERROR(__xludf.DUMMYFUNCTION("""COMPUTED_VALUE"""),800000.0)</f>
        <v>800000</v>
      </c>
      <c r="R82" s="96" t="str">
        <f>IFERROR(__xludf.DUMMYFUNCTION("""COMPUTED_VALUE"""),"Prefinance")</f>
        <v>Prefinance</v>
      </c>
      <c r="S82" s="99">
        <f>IFERROR(__xludf.DUMMYFUNCTION("""COMPUTED_VALUE"""),0.0)</f>
        <v>0</v>
      </c>
      <c r="T82" s="99">
        <f>IFERROR(__xludf.DUMMYFUNCTION("""COMPUTED_VALUE"""),0.0)</f>
        <v>0</v>
      </c>
      <c r="U82" s="99">
        <f>IFERROR(__xludf.DUMMYFUNCTION("""COMPUTED_VALUE"""),0.0)</f>
        <v>0</v>
      </c>
      <c r="V82" s="99">
        <f>IFERROR(__xludf.DUMMYFUNCTION("""COMPUTED_VALUE"""),0.0)</f>
        <v>0</v>
      </c>
      <c r="W82" s="99">
        <f>IFERROR(__xludf.DUMMYFUNCTION("""COMPUTED_VALUE"""),0.0)</f>
        <v>0</v>
      </c>
    </row>
    <row r="83">
      <c r="N83" s="98">
        <f>IFERROR(__xludf.DUMMYFUNCTION("""COMPUTED_VALUE"""),44030.0)</f>
        <v>44030</v>
      </c>
      <c r="O83" s="96" t="str">
        <f>IFERROR(__xludf.DUMMYFUNCTION("""COMPUTED_VALUE"""),"KARIEN EBAN")</f>
        <v>KARIEN EBAN</v>
      </c>
      <c r="P83" s="96" t="str">
        <f>IFERROR(__xludf.DUMMYFUNCTION("""COMPUTED_VALUE"""),"ADVANCE")</f>
        <v>ADVANCE</v>
      </c>
      <c r="Q83" s="99">
        <f>IFERROR(__xludf.DUMMYFUNCTION("""COMPUTED_VALUE"""),100000.0)</f>
        <v>100000</v>
      </c>
      <c r="R83" s="96" t="str">
        <f>IFERROR(__xludf.DUMMYFUNCTION("""COMPUTED_VALUE"""),"Prefinance")</f>
        <v>Prefinance</v>
      </c>
      <c r="S83" s="99">
        <f>IFERROR(__xludf.DUMMYFUNCTION("""COMPUTED_VALUE"""),0.0)</f>
        <v>0</v>
      </c>
      <c r="T83" s="99">
        <f>IFERROR(__xludf.DUMMYFUNCTION("""COMPUTED_VALUE"""),0.0)</f>
        <v>0</v>
      </c>
      <c r="U83" s="99">
        <f>IFERROR(__xludf.DUMMYFUNCTION("""COMPUTED_VALUE"""),0.0)</f>
        <v>0</v>
      </c>
      <c r="V83" s="99">
        <f>IFERROR(__xludf.DUMMYFUNCTION("""COMPUTED_VALUE"""),0.0)</f>
        <v>0</v>
      </c>
      <c r="W83" s="99">
        <f>IFERROR(__xludf.DUMMYFUNCTION("""COMPUTED_VALUE"""),0.0)</f>
        <v>0</v>
      </c>
    </row>
    <row r="84">
      <c r="N84" s="98">
        <f>IFERROR(__xludf.DUMMYFUNCTION("""COMPUTED_VALUE"""),44030.0)</f>
        <v>44030</v>
      </c>
      <c r="O84" s="96" t="str">
        <f>IFERROR(__xludf.DUMMYFUNCTION("""COMPUTED_VALUE"""),"EDDY OKO")</f>
        <v>EDDY OKO</v>
      </c>
      <c r="P84" s="96" t="str">
        <f>IFERROR(__xludf.DUMMYFUNCTION("""COMPUTED_VALUE"""),"ADVANCE")</f>
        <v>ADVANCE</v>
      </c>
      <c r="Q84" s="99">
        <f>IFERROR(__xludf.DUMMYFUNCTION("""COMPUTED_VALUE"""),200000.0)</f>
        <v>200000</v>
      </c>
      <c r="R84" s="96" t="str">
        <f>IFERROR(__xludf.DUMMYFUNCTION("""COMPUTED_VALUE"""),"Prefinance")</f>
        <v>Prefinance</v>
      </c>
      <c r="S84" s="99">
        <f>IFERROR(__xludf.DUMMYFUNCTION("""COMPUTED_VALUE"""),0.0)</f>
        <v>0</v>
      </c>
      <c r="T84" s="99">
        <f>IFERROR(__xludf.DUMMYFUNCTION("""COMPUTED_VALUE"""),0.0)</f>
        <v>0</v>
      </c>
      <c r="U84" s="99">
        <f>IFERROR(__xludf.DUMMYFUNCTION("""COMPUTED_VALUE"""),0.0)</f>
        <v>0</v>
      </c>
      <c r="V84" s="99">
        <f>IFERROR(__xludf.DUMMYFUNCTION("""COMPUTED_VALUE"""),0.0)</f>
        <v>0</v>
      </c>
      <c r="W84" s="99">
        <f>IFERROR(__xludf.DUMMYFUNCTION("""COMPUTED_VALUE"""),0.0)</f>
        <v>0</v>
      </c>
    </row>
    <row r="85">
      <c r="N85" s="98">
        <f>IFERROR(__xludf.DUMMYFUNCTION("""COMPUTED_VALUE"""),44030.0)</f>
        <v>44030</v>
      </c>
      <c r="O85" s="96" t="str">
        <f>IFERROR(__xludf.DUMMYFUNCTION("""COMPUTED_VALUE"""),"LYDIA HNSON ")</f>
        <v>LYDIA HNSON </v>
      </c>
      <c r="P85" s="96" t="str">
        <f>IFERROR(__xludf.DUMMYFUNCTION("""COMPUTED_VALUE"""),"ADVANCE")</f>
        <v>ADVANCE</v>
      </c>
      <c r="Q85" s="99">
        <f>IFERROR(__xludf.DUMMYFUNCTION("""COMPUTED_VALUE"""),100000.0)</f>
        <v>100000</v>
      </c>
      <c r="R85" s="96" t="str">
        <f>IFERROR(__xludf.DUMMYFUNCTION("""COMPUTED_VALUE"""),"Prefinance")</f>
        <v>Prefinance</v>
      </c>
      <c r="S85" s="99">
        <f>IFERROR(__xludf.DUMMYFUNCTION("""COMPUTED_VALUE"""),0.0)</f>
        <v>0</v>
      </c>
      <c r="T85" s="99">
        <f>IFERROR(__xludf.DUMMYFUNCTION("""COMPUTED_VALUE"""),0.0)</f>
        <v>0</v>
      </c>
      <c r="U85" s="99">
        <f>IFERROR(__xludf.DUMMYFUNCTION("""COMPUTED_VALUE"""),0.0)</f>
        <v>0</v>
      </c>
      <c r="V85" s="99">
        <f>IFERROR(__xludf.DUMMYFUNCTION("""COMPUTED_VALUE"""),0.0)</f>
        <v>0</v>
      </c>
      <c r="W85" s="99">
        <f>IFERROR(__xludf.DUMMYFUNCTION("""COMPUTED_VALUE"""),0.0)</f>
        <v>0</v>
      </c>
    </row>
    <row r="86">
      <c r="N86" s="98">
        <f>IFERROR(__xludf.DUMMYFUNCTION("""COMPUTED_VALUE"""),44030.0)</f>
        <v>44030</v>
      </c>
      <c r="O86" s="96" t="str">
        <f>IFERROR(__xludf.DUMMYFUNCTION("""COMPUTED_VALUE"""),"LYDIA HNSON ")</f>
        <v>LYDIA HNSON </v>
      </c>
      <c r="P86" s="96" t="str">
        <f>IFERROR(__xludf.DUMMYFUNCTION("""COMPUTED_VALUE"""),"TRANSPORT")</f>
        <v>TRANSPORT</v>
      </c>
      <c r="Q86" s="99">
        <f>IFERROR(__xludf.DUMMYFUNCTION("""COMPUTED_VALUE"""),500.0)</f>
        <v>500</v>
      </c>
      <c r="R86" s="96" t="str">
        <f>IFERROR(__xludf.DUMMYFUNCTION("""COMPUTED_VALUE"""),"Prefinance")</f>
        <v>Prefinance</v>
      </c>
      <c r="S86" s="99">
        <f>IFERROR(__xludf.DUMMYFUNCTION("""COMPUTED_VALUE"""),0.0)</f>
        <v>0</v>
      </c>
      <c r="T86" s="99">
        <f>IFERROR(__xludf.DUMMYFUNCTION("""COMPUTED_VALUE"""),0.0)</f>
        <v>0</v>
      </c>
      <c r="U86" s="99">
        <f>IFERROR(__xludf.DUMMYFUNCTION("""COMPUTED_VALUE"""),0.0)</f>
        <v>0</v>
      </c>
      <c r="V86" s="99">
        <f>IFERROR(__xludf.DUMMYFUNCTION("""COMPUTED_VALUE"""),0.0)</f>
        <v>0</v>
      </c>
      <c r="W86" s="99">
        <f>IFERROR(__xludf.DUMMYFUNCTION("""COMPUTED_VALUE"""),0.0)</f>
        <v>0</v>
      </c>
    </row>
    <row r="87">
      <c r="N87" s="98">
        <f>IFERROR(__xludf.DUMMYFUNCTION("""COMPUTED_VALUE"""),44030.0)</f>
        <v>44030</v>
      </c>
      <c r="O87" s="96" t="str">
        <f>IFERROR(__xludf.DUMMYFUNCTION("""COMPUTED_VALUE""")," MAXWELL AGRO")</f>
        <v> MAXWELL AGRO</v>
      </c>
      <c r="P87" s="96" t="str">
        <f>IFERROR(__xludf.DUMMYFUNCTION("""COMPUTED_VALUE"""),"ADVANCE")</f>
        <v>ADVANCE</v>
      </c>
      <c r="Q87" s="99">
        <f>IFERROR(__xludf.DUMMYFUNCTION("""COMPUTED_VALUE"""),100000.0)</f>
        <v>100000</v>
      </c>
      <c r="R87" s="96" t="str">
        <f>IFERROR(__xludf.DUMMYFUNCTION("""COMPUTED_VALUE"""),"Prefinance")</f>
        <v>Prefinance</v>
      </c>
      <c r="S87" s="99">
        <f>IFERROR(__xludf.DUMMYFUNCTION("""COMPUTED_VALUE"""),0.0)</f>
        <v>0</v>
      </c>
      <c r="T87" s="99">
        <f>IFERROR(__xludf.DUMMYFUNCTION("""COMPUTED_VALUE"""),0.0)</f>
        <v>0</v>
      </c>
      <c r="U87" s="99">
        <f>IFERROR(__xludf.DUMMYFUNCTION("""COMPUTED_VALUE"""),0.0)</f>
        <v>0</v>
      </c>
      <c r="V87" s="99">
        <f>IFERROR(__xludf.DUMMYFUNCTION("""COMPUTED_VALUE"""),0.0)</f>
        <v>0</v>
      </c>
      <c r="W87" s="99">
        <f>IFERROR(__xludf.DUMMYFUNCTION("""COMPUTED_VALUE"""),0.0)</f>
        <v>0</v>
      </c>
    </row>
    <row r="88">
      <c r="N88" s="98">
        <f>IFERROR(__xludf.DUMMYFUNCTION("""COMPUTED_VALUE"""),44030.0)</f>
        <v>44030</v>
      </c>
      <c r="O88" s="96" t="str">
        <f>IFERROR(__xludf.DUMMYFUNCTION("""COMPUTED_VALUE"""),"OBI-DRIVER")</f>
        <v>OBI-DRIVER</v>
      </c>
      <c r="P88" s="96" t="str">
        <f>IFERROR(__xludf.DUMMYFUNCTION("""COMPUTED_VALUE"""),"FUEL")</f>
        <v>FUEL</v>
      </c>
      <c r="Q88" s="99">
        <f>IFERROR(__xludf.DUMMYFUNCTION("""COMPUTED_VALUE"""),5000.0)</f>
        <v>5000</v>
      </c>
      <c r="R88" s="96" t="str">
        <f>IFERROR(__xludf.DUMMYFUNCTION("""COMPUTED_VALUE"""),"General Expenses")</f>
        <v>General Expenses</v>
      </c>
      <c r="S88" s="99">
        <f>IFERROR(__xludf.DUMMYFUNCTION("""COMPUTED_VALUE"""),0.0)</f>
        <v>0</v>
      </c>
      <c r="T88" s="99">
        <f>IFERROR(__xludf.DUMMYFUNCTION("""COMPUTED_VALUE"""),5000.0)</f>
        <v>5000</v>
      </c>
      <c r="U88" s="99">
        <f>IFERROR(__xludf.DUMMYFUNCTION("""COMPUTED_VALUE"""),0.0)</f>
        <v>0</v>
      </c>
      <c r="V88" s="99">
        <f>IFERROR(__xludf.DUMMYFUNCTION("""COMPUTED_VALUE"""),0.0)</f>
        <v>0</v>
      </c>
      <c r="W88" s="99">
        <f>IFERROR(__xludf.DUMMYFUNCTION("""COMPUTED_VALUE"""),0.0)</f>
        <v>0</v>
      </c>
    </row>
    <row r="89">
      <c r="N89" s="98">
        <f>IFERROR(__xludf.DUMMYFUNCTION("""COMPUTED_VALUE"""),44030.0)</f>
        <v>44030</v>
      </c>
      <c r="O89" s="96" t="str">
        <f>IFERROR(__xludf.DUMMYFUNCTION("""COMPUTED_VALUE"""),"WAREHOUSE")</f>
        <v>WAREHOUSE</v>
      </c>
      <c r="P89" s="96" t="str">
        <f>IFERROR(__xludf.DUMMYFUNCTION("""COMPUTED_VALUE"""),"LABOUR")</f>
        <v>LABOUR</v>
      </c>
      <c r="Q89" s="99">
        <f>IFERROR(__xludf.DUMMYFUNCTION("""COMPUTED_VALUE"""),20000.0)</f>
        <v>20000</v>
      </c>
      <c r="R89" s="96" t="str">
        <f>IFERROR(__xludf.DUMMYFUNCTION("""COMPUTED_VALUE"""),"General Expenses")</f>
        <v>General Expenses</v>
      </c>
      <c r="S89" s="99">
        <f>IFERROR(__xludf.DUMMYFUNCTION("""COMPUTED_VALUE"""),0.0)</f>
        <v>0</v>
      </c>
      <c r="T89" s="99">
        <f>IFERROR(__xludf.DUMMYFUNCTION("""COMPUTED_VALUE"""),20000.0)</f>
        <v>20000</v>
      </c>
      <c r="U89" s="99">
        <f>IFERROR(__xludf.DUMMYFUNCTION("""COMPUTED_VALUE"""),0.0)</f>
        <v>0</v>
      </c>
      <c r="V89" s="99">
        <f>IFERROR(__xludf.DUMMYFUNCTION("""COMPUTED_VALUE"""),0.0)</f>
        <v>0</v>
      </c>
      <c r="W89" s="99">
        <f>IFERROR(__xludf.DUMMYFUNCTION("""COMPUTED_VALUE"""),0.0)</f>
        <v>0</v>
      </c>
    </row>
    <row r="90">
      <c r="N90" s="98">
        <f>IFERROR(__xludf.DUMMYFUNCTION("""COMPUTED_VALUE"""),44030.0)</f>
        <v>44030</v>
      </c>
      <c r="O90" s="96" t="str">
        <f>IFERROR(__xludf.DUMMYFUNCTION("""COMPUTED_VALUE"""),"AYUK BLESSING")</f>
        <v>AYUK BLESSING</v>
      </c>
      <c r="P90" s="96" t="str">
        <f>IFERROR(__xludf.DUMMYFUNCTION("""COMPUTED_VALUE"""),"CASH COLLECTED")</f>
        <v>CASH COLLECTED</v>
      </c>
      <c r="Q90" s="99">
        <f>IFERROR(__xludf.DUMMYFUNCTION("""COMPUTED_VALUE"""),70300.0)</f>
        <v>70300</v>
      </c>
      <c r="R90" s="96" t="str">
        <f>IFERROR(__xludf.DUMMYFUNCTION("""COMPUTED_VALUE"""),"Petty Cash")</f>
        <v>Petty Cash</v>
      </c>
      <c r="S90" s="99">
        <f>IFERROR(__xludf.DUMMYFUNCTION("""COMPUTED_VALUE"""),0.0)</f>
        <v>0</v>
      </c>
      <c r="T90" s="99">
        <f>IFERROR(__xludf.DUMMYFUNCTION("""COMPUTED_VALUE"""),0.0)</f>
        <v>0</v>
      </c>
      <c r="U90" s="99">
        <f>IFERROR(__xludf.DUMMYFUNCTION("""COMPUTED_VALUE"""),0.0)</f>
        <v>0</v>
      </c>
      <c r="V90" s="99">
        <f>IFERROR(__xludf.DUMMYFUNCTION("""COMPUTED_VALUE"""),70300.0)</f>
        <v>70300</v>
      </c>
      <c r="W90" s="99">
        <f>IFERROR(__xludf.DUMMYFUNCTION("""COMPUTED_VALUE"""),0.0)</f>
        <v>0</v>
      </c>
    </row>
    <row r="91">
      <c r="N91" s="98">
        <f>IFERROR(__xludf.DUMMYFUNCTION("""COMPUTED_VALUE"""),44030.0)</f>
        <v>44030</v>
      </c>
      <c r="O91" s="96" t="str">
        <f>IFERROR(__xludf.DUMMYFUNCTION("""COMPUTED_VALUE"""),"MANAGER")</f>
        <v>MANAGER</v>
      </c>
      <c r="P91" s="96" t="str">
        <f>IFERROR(__xludf.DUMMYFUNCTION("""COMPUTED_VALUE"""),"CASH-IN")</f>
        <v>CASH-IN</v>
      </c>
      <c r="Q91" s="99">
        <f>IFERROR(__xludf.DUMMYFUNCTION("""COMPUTED_VALUE"""),1600500.0)</f>
        <v>1600500</v>
      </c>
      <c r="R91" s="96" t="str">
        <f>IFERROR(__xludf.DUMMYFUNCTION("""COMPUTED_VALUE"""),"From Bank")</f>
        <v>From Bank</v>
      </c>
      <c r="S91" s="99">
        <f>IFERROR(__xludf.DUMMYFUNCTION("""COMPUTED_VALUE"""),0.0)</f>
        <v>0</v>
      </c>
      <c r="T91" s="99">
        <f>IFERROR(__xludf.DUMMYFUNCTION("""COMPUTED_VALUE"""),0.0)</f>
        <v>0</v>
      </c>
      <c r="U91" s="99">
        <f>IFERROR(__xludf.DUMMYFUNCTION("""COMPUTED_VALUE"""),1600500.0)</f>
        <v>1600500</v>
      </c>
      <c r="V91" s="99">
        <f>IFERROR(__xludf.DUMMYFUNCTION("""COMPUTED_VALUE"""),0.0)</f>
        <v>0</v>
      </c>
      <c r="W91" s="99">
        <f>IFERROR(__xludf.DUMMYFUNCTION("""COMPUTED_VALUE"""),0.0)</f>
        <v>0</v>
      </c>
    </row>
    <row r="92">
      <c r="N92" s="98">
        <f>IFERROR(__xludf.DUMMYFUNCTION("""COMPUTED_VALUE"""),44032.0)</f>
        <v>44032</v>
      </c>
      <c r="O92" s="96" t="str">
        <f>IFERROR(__xludf.DUMMYFUNCTION("""COMPUTED_VALUE"""),"ANDRDEW GREAT")</f>
        <v>ANDRDEW GREAT</v>
      </c>
      <c r="P92" s="96" t="str">
        <f>IFERROR(__xludf.DUMMYFUNCTION("""COMPUTED_VALUE"""),"ADVANCE")</f>
        <v>ADVANCE</v>
      </c>
      <c r="Q92" s="99">
        <f>IFERROR(__xludf.DUMMYFUNCTION("""COMPUTED_VALUE"""),300000.0)</f>
        <v>300000</v>
      </c>
      <c r="R92" s="96" t="str">
        <f>IFERROR(__xludf.DUMMYFUNCTION("""COMPUTED_VALUE"""),"Prefinance")</f>
        <v>Prefinance</v>
      </c>
      <c r="S92" s="99">
        <f>IFERROR(__xludf.DUMMYFUNCTION("""COMPUTED_VALUE"""),0.0)</f>
        <v>0</v>
      </c>
      <c r="T92" s="99">
        <f>IFERROR(__xludf.DUMMYFUNCTION("""COMPUTED_VALUE"""),0.0)</f>
        <v>0</v>
      </c>
      <c r="U92" s="99">
        <f>IFERROR(__xludf.DUMMYFUNCTION("""COMPUTED_VALUE"""),0.0)</f>
        <v>0</v>
      </c>
      <c r="V92" s="99">
        <f>IFERROR(__xludf.DUMMYFUNCTION("""COMPUTED_VALUE"""),0.0)</f>
        <v>0</v>
      </c>
      <c r="W92" s="99">
        <f>IFERROR(__xludf.DUMMYFUNCTION("""COMPUTED_VALUE"""),0.0)</f>
        <v>0</v>
      </c>
    </row>
    <row r="93">
      <c r="N93" s="98">
        <f>IFERROR(__xludf.DUMMYFUNCTION("""COMPUTED_VALUE"""),44032.0)</f>
        <v>44032</v>
      </c>
      <c r="O93" s="96" t="str">
        <f>IFERROR(__xludf.DUMMYFUNCTION("""COMPUTED_VALUE"""),"MATIAT REINA")</f>
        <v>MATIAT REINA</v>
      </c>
      <c r="P93" s="96" t="str">
        <f>IFERROR(__xludf.DUMMYFUNCTION("""COMPUTED_VALUE"""),"ADVANCE")</f>
        <v>ADVANCE</v>
      </c>
      <c r="Q93" s="99">
        <f>IFERROR(__xludf.DUMMYFUNCTION("""COMPUTED_VALUE"""),200000.0)</f>
        <v>200000</v>
      </c>
      <c r="R93" s="96" t="str">
        <f>IFERROR(__xludf.DUMMYFUNCTION("""COMPUTED_VALUE"""),"Prefinance")</f>
        <v>Prefinance</v>
      </c>
      <c r="S93" s="99">
        <f>IFERROR(__xludf.DUMMYFUNCTION("""COMPUTED_VALUE"""),0.0)</f>
        <v>0</v>
      </c>
      <c r="T93" s="99">
        <f>IFERROR(__xludf.DUMMYFUNCTION("""COMPUTED_VALUE"""),0.0)</f>
        <v>0</v>
      </c>
      <c r="U93" s="99">
        <f>IFERROR(__xludf.DUMMYFUNCTION("""COMPUTED_VALUE"""),0.0)</f>
        <v>0</v>
      </c>
      <c r="V93" s="99">
        <f>IFERROR(__xludf.DUMMYFUNCTION("""COMPUTED_VALUE"""),0.0)</f>
        <v>0</v>
      </c>
      <c r="W93" s="99">
        <f>IFERROR(__xludf.DUMMYFUNCTION("""COMPUTED_VALUE"""),0.0)</f>
        <v>0</v>
      </c>
    </row>
    <row r="94">
      <c r="N94" s="98">
        <f>IFERROR(__xludf.DUMMYFUNCTION("""COMPUTED_VALUE"""),44032.0)</f>
        <v>44032</v>
      </c>
      <c r="O94" s="96" t="str">
        <f>IFERROR(__xludf.DUMMYFUNCTION("""COMPUTED_VALUE"""),"ASMAN")</f>
        <v>ASMAN</v>
      </c>
      <c r="P94" s="96" t="str">
        <f>IFERROR(__xludf.DUMMYFUNCTION("""COMPUTED_VALUE"""),"ADVANCE")</f>
        <v>ADVANCE</v>
      </c>
      <c r="Q94" s="99">
        <f>IFERROR(__xludf.DUMMYFUNCTION("""COMPUTED_VALUE"""),200000.0)</f>
        <v>200000</v>
      </c>
      <c r="R94" s="96" t="str">
        <f>IFERROR(__xludf.DUMMYFUNCTION("""COMPUTED_VALUE"""),"Prefinance")</f>
        <v>Prefinance</v>
      </c>
      <c r="S94" s="99">
        <f>IFERROR(__xludf.DUMMYFUNCTION("""COMPUTED_VALUE"""),0.0)</f>
        <v>0</v>
      </c>
      <c r="T94" s="99">
        <f>IFERROR(__xludf.DUMMYFUNCTION("""COMPUTED_VALUE"""),0.0)</f>
        <v>0</v>
      </c>
      <c r="U94" s="99">
        <f>IFERROR(__xludf.DUMMYFUNCTION("""COMPUTED_VALUE"""),0.0)</f>
        <v>0</v>
      </c>
      <c r="V94" s="99">
        <f>IFERROR(__xludf.DUMMYFUNCTION("""COMPUTED_VALUE"""),0.0)</f>
        <v>0</v>
      </c>
      <c r="W94" s="99">
        <f>IFERROR(__xludf.DUMMYFUNCTION("""COMPUTED_VALUE"""),0.0)</f>
        <v>0</v>
      </c>
    </row>
    <row r="95">
      <c r="N95" s="98">
        <f>IFERROR(__xludf.DUMMYFUNCTION("""COMPUTED_VALUE"""),44032.0)</f>
        <v>44032</v>
      </c>
      <c r="O95" s="96" t="str">
        <f>IFERROR(__xludf.DUMMYFUNCTION("""COMPUTED_VALUE"""),"JAMES AKAN")</f>
        <v>JAMES AKAN</v>
      </c>
      <c r="P95" s="96" t="str">
        <f>IFERROR(__xludf.DUMMYFUNCTION("""COMPUTED_VALUE"""),"ADVANCE")</f>
        <v>ADVANCE</v>
      </c>
      <c r="Q95" s="99">
        <f>IFERROR(__xludf.DUMMYFUNCTION("""COMPUTED_VALUE"""),300000.0)</f>
        <v>300000</v>
      </c>
      <c r="R95" s="96" t="str">
        <f>IFERROR(__xludf.DUMMYFUNCTION("""COMPUTED_VALUE"""),"Prefinance")</f>
        <v>Prefinance</v>
      </c>
      <c r="S95" s="99">
        <f>IFERROR(__xludf.DUMMYFUNCTION("""COMPUTED_VALUE"""),0.0)</f>
        <v>0</v>
      </c>
      <c r="T95" s="99">
        <f>IFERROR(__xludf.DUMMYFUNCTION("""COMPUTED_VALUE"""),0.0)</f>
        <v>0</v>
      </c>
      <c r="U95" s="99">
        <f>IFERROR(__xludf.DUMMYFUNCTION("""COMPUTED_VALUE"""),0.0)</f>
        <v>0</v>
      </c>
      <c r="V95" s="99">
        <f>IFERROR(__xludf.DUMMYFUNCTION("""COMPUTED_VALUE"""),0.0)</f>
        <v>0</v>
      </c>
      <c r="W95" s="99">
        <f>IFERROR(__xludf.DUMMYFUNCTION("""COMPUTED_VALUE"""),0.0)</f>
        <v>0</v>
      </c>
    </row>
    <row r="96">
      <c r="N96" s="98">
        <f>IFERROR(__xludf.DUMMYFUNCTION("""COMPUTED_VALUE"""),44032.0)</f>
        <v>44032</v>
      </c>
      <c r="O96" s="96" t="str">
        <f>IFERROR(__xludf.DUMMYFUNCTION("""COMPUTED_VALUE"""),"LYDIA HNSON ")</f>
        <v>LYDIA HNSON </v>
      </c>
      <c r="P96" s="96" t="str">
        <f>IFERROR(__xludf.DUMMYFUNCTION("""COMPUTED_VALUE"""),"ADVANCE")</f>
        <v>ADVANCE</v>
      </c>
      <c r="Q96" s="99">
        <f>IFERROR(__xludf.DUMMYFUNCTION("""COMPUTED_VALUE"""),300000.0)</f>
        <v>300000</v>
      </c>
      <c r="R96" s="96" t="str">
        <f>IFERROR(__xludf.DUMMYFUNCTION("""COMPUTED_VALUE"""),"Prefinance")</f>
        <v>Prefinance</v>
      </c>
      <c r="S96" s="99">
        <f>IFERROR(__xludf.DUMMYFUNCTION("""COMPUTED_VALUE"""),0.0)</f>
        <v>0</v>
      </c>
      <c r="T96" s="99">
        <f>IFERROR(__xludf.DUMMYFUNCTION("""COMPUTED_VALUE"""),0.0)</f>
        <v>0</v>
      </c>
      <c r="U96" s="99">
        <f>IFERROR(__xludf.DUMMYFUNCTION("""COMPUTED_VALUE"""),0.0)</f>
        <v>0</v>
      </c>
      <c r="V96" s="99">
        <f>IFERROR(__xludf.DUMMYFUNCTION("""COMPUTED_VALUE"""),0.0)</f>
        <v>0</v>
      </c>
      <c r="W96" s="99">
        <f>IFERROR(__xludf.DUMMYFUNCTION("""COMPUTED_VALUE"""),0.0)</f>
        <v>0</v>
      </c>
    </row>
    <row r="97">
      <c r="N97" s="98">
        <f>IFERROR(__xludf.DUMMYFUNCTION("""COMPUTED_VALUE"""),44032.0)</f>
        <v>44032</v>
      </c>
      <c r="O97" s="96" t="str">
        <f>IFERROR(__xludf.DUMMYFUNCTION("""COMPUTED_VALUE""")," MAXWELL AGRO")</f>
        <v> MAXWELL AGRO</v>
      </c>
      <c r="P97" s="96" t="str">
        <f>IFERROR(__xludf.DUMMYFUNCTION("""COMPUTED_VALUE"""),"ADVANCE")</f>
        <v>ADVANCE</v>
      </c>
      <c r="Q97" s="99">
        <f>IFERROR(__xludf.DUMMYFUNCTION("""COMPUTED_VALUE"""),140000.0)</f>
        <v>140000</v>
      </c>
      <c r="R97" s="96" t="str">
        <f>IFERROR(__xludf.DUMMYFUNCTION("""COMPUTED_VALUE"""),"Prefinance")</f>
        <v>Prefinance</v>
      </c>
      <c r="S97" s="99">
        <f>IFERROR(__xludf.DUMMYFUNCTION("""COMPUTED_VALUE"""),0.0)</f>
        <v>0</v>
      </c>
      <c r="T97" s="99">
        <f>IFERROR(__xludf.DUMMYFUNCTION("""COMPUTED_VALUE"""),0.0)</f>
        <v>0</v>
      </c>
      <c r="U97" s="99">
        <f>IFERROR(__xludf.DUMMYFUNCTION("""COMPUTED_VALUE"""),0.0)</f>
        <v>0</v>
      </c>
      <c r="V97" s="99">
        <f>IFERROR(__xludf.DUMMYFUNCTION("""COMPUTED_VALUE"""),0.0)</f>
        <v>0</v>
      </c>
      <c r="W97" s="99">
        <f>IFERROR(__xludf.DUMMYFUNCTION("""COMPUTED_VALUE"""),0.0)</f>
        <v>0</v>
      </c>
    </row>
    <row r="98">
      <c r="N98" s="98">
        <f>IFERROR(__xludf.DUMMYFUNCTION("""COMPUTED_VALUE"""),44032.0)</f>
        <v>44032</v>
      </c>
      <c r="O98" s="96" t="str">
        <f>IFERROR(__xludf.DUMMYFUNCTION("""COMPUTED_VALUE"""),"MANAGER")</f>
        <v>MANAGER</v>
      </c>
      <c r="P98" s="96" t="str">
        <f>IFERROR(__xludf.DUMMYFUNCTION("""COMPUTED_VALUE"""),"Grading paper")</f>
        <v>Grading paper</v>
      </c>
      <c r="Q98" s="99">
        <f>IFERROR(__xludf.DUMMYFUNCTION("""COMPUTED_VALUE"""),4000.0)</f>
        <v>4000</v>
      </c>
      <c r="R98" s="96" t="str">
        <f>IFERROR(__xludf.DUMMYFUNCTION("""COMPUTED_VALUE"""),"General Expenses")</f>
        <v>General Expenses</v>
      </c>
      <c r="S98" s="99">
        <f>IFERROR(__xludf.DUMMYFUNCTION("""COMPUTED_VALUE"""),0.0)</f>
        <v>0</v>
      </c>
      <c r="T98" s="99">
        <f>IFERROR(__xludf.DUMMYFUNCTION("""COMPUTED_VALUE"""),4000.0)</f>
        <v>4000</v>
      </c>
      <c r="U98" s="99">
        <f>IFERROR(__xludf.DUMMYFUNCTION("""COMPUTED_VALUE"""),0.0)</f>
        <v>0</v>
      </c>
      <c r="V98" s="99">
        <f>IFERROR(__xludf.DUMMYFUNCTION("""COMPUTED_VALUE"""),0.0)</f>
        <v>0</v>
      </c>
      <c r="W98" s="99">
        <f>IFERROR(__xludf.DUMMYFUNCTION("""COMPUTED_VALUE"""),0.0)</f>
        <v>0</v>
      </c>
    </row>
    <row r="99">
      <c r="N99" s="98">
        <f>IFERROR(__xludf.DUMMYFUNCTION("""COMPUTED_VALUE"""),44032.0)</f>
        <v>44032</v>
      </c>
      <c r="O99" s="96" t="str">
        <f>IFERROR(__xludf.DUMMYFUNCTION("""COMPUTED_VALUE"""),"driver")</f>
        <v>driver</v>
      </c>
      <c r="P99" s="96" t="str">
        <f>IFERROR(__xludf.DUMMYFUNCTION("""COMPUTED_VALUE"""),"Tulip")</f>
        <v>Tulip</v>
      </c>
      <c r="Q99" s="99">
        <f>IFERROR(__xludf.DUMMYFUNCTION("""COMPUTED_VALUE"""),500.0)</f>
        <v>500</v>
      </c>
      <c r="R99" s="96" t="str">
        <f>IFERROR(__xludf.DUMMYFUNCTION("""COMPUTED_VALUE"""),"General Expenses")</f>
        <v>General Expenses</v>
      </c>
      <c r="S99" s="99">
        <f>IFERROR(__xludf.DUMMYFUNCTION("""COMPUTED_VALUE"""),0.0)</f>
        <v>0</v>
      </c>
      <c r="T99" s="99">
        <f>IFERROR(__xludf.DUMMYFUNCTION("""COMPUTED_VALUE"""),500.0)</f>
        <v>500</v>
      </c>
      <c r="U99" s="99">
        <f>IFERROR(__xludf.DUMMYFUNCTION("""COMPUTED_VALUE"""),0.0)</f>
        <v>0</v>
      </c>
      <c r="V99" s="99">
        <f>IFERROR(__xludf.DUMMYFUNCTION("""COMPUTED_VALUE"""),0.0)</f>
        <v>0</v>
      </c>
      <c r="W99" s="99">
        <f>IFERROR(__xludf.DUMMYFUNCTION("""COMPUTED_VALUE"""),0.0)</f>
        <v>0</v>
      </c>
    </row>
    <row r="100">
      <c r="N100" s="98">
        <f>IFERROR(__xludf.DUMMYFUNCTION("""COMPUTED_VALUE"""),44032.0)</f>
        <v>44032</v>
      </c>
      <c r="O100" s="96" t="str">
        <f>IFERROR(__xludf.DUMMYFUNCTION("""COMPUTED_VALUE"""),"MANAGER")</f>
        <v>MANAGER</v>
      </c>
      <c r="P100" s="96" t="str">
        <f>IFERROR(__xludf.DUMMYFUNCTION("""COMPUTED_VALUE"""),"Stationery")</f>
        <v>Stationery</v>
      </c>
      <c r="Q100" s="99">
        <f>IFERROR(__xludf.DUMMYFUNCTION("""COMPUTED_VALUE"""),500.0)</f>
        <v>500</v>
      </c>
      <c r="R100" s="96" t="str">
        <f>IFERROR(__xludf.DUMMYFUNCTION("""COMPUTED_VALUE"""),"General Expenses")</f>
        <v>General Expenses</v>
      </c>
      <c r="S100" s="99">
        <f>IFERROR(__xludf.DUMMYFUNCTION("""COMPUTED_VALUE"""),0.0)</f>
        <v>0</v>
      </c>
      <c r="T100" s="99">
        <f>IFERROR(__xludf.DUMMYFUNCTION("""COMPUTED_VALUE"""),500.0)</f>
        <v>500</v>
      </c>
      <c r="U100" s="99">
        <f>IFERROR(__xludf.DUMMYFUNCTION("""COMPUTED_VALUE"""),0.0)</f>
        <v>0</v>
      </c>
      <c r="V100" s="99">
        <f>IFERROR(__xludf.DUMMYFUNCTION("""COMPUTED_VALUE"""),0.0)</f>
        <v>0</v>
      </c>
      <c r="W100" s="99">
        <f>IFERROR(__xludf.DUMMYFUNCTION("""COMPUTED_VALUE"""),0.0)</f>
        <v>0</v>
      </c>
    </row>
    <row r="101">
      <c r="N101" s="98">
        <f>IFERROR(__xludf.DUMMYFUNCTION("""COMPUTED_VALUE"""),44032.0)</f>
        <v>44032</v>
      </c>
      <c r="O101" s="96" t="str">
        <f>IFERROR(__xludf.DUMMYFUNCTION("""COMPUTED_VALUE"""),"Andy")</f>
        <v>Andy</v>
      </c>
      <c r="P101" s="96" t="str">
        <f>IFERROR(__xludf.DUMMYFUNCTION("""COMPUTED_VALUE"""),"Installation")</f>
        <v>Installation</v>
      </c>
      <c r="Q101" s="99">
        <f>IFERROR(__xludf.DUMMYFUNCTION("""COMPUTED_VALUE"""),1000.0)</f>
        <v>1000</v>
      </c>
      <c r="R101" s="96" t="str">
        <f>IFERROR(__xludf.DUMMYFUNCTION("""COMPUTED_VALUE"""),"General Expenses")</f>
        <v>General Expenses</v>
      </c>
      <c r="S101" s="99">
        <f>IFERROR(__xludf.DUMMYFUNCTION("""COMPUTED_VALUE"""),0.0)</f>
        <v>0</v>
      </c>
      <c r="T101" s="99">
        <f>IFERROR(__xludf.DUMMYFUNCTION("""COMPUTED_VALUE"""),1000.0)</f>
        <v>1000</v>
      </c>
      <c r="U101" s="99">
        <f>IFERROR(__xludf.DUMMYFUNCTION("""COMPUTED_VALUE"""),0.0)</f>
        <v>0</v>
      </c>
      <c r="V101" s="99">
        <f>IFERROR(__xludf.DUMMYFUNCTION("""COMPUTED_VALUE"""),0.0)</f>
        <v>0</v>
      </c>
      <c r="W101" s="99">
        <f>IFERROR(__xludf.DUMMYFUNCTION("""COMPUTED_VALUE"""),0.0)</f>
        <v>0</v>
      </c>
    </row>
    <row r="102">
      <c r="N102" s="98">
        <f>IFERROR(__xludf.DUMMYFUNCTION("""COMPUTED_VALUE"""),44032.0)</f>
        <v>44032</v>
      </c>
      <c r="O102" s="96" t="str">
        <f>IFERROR(__xludf.DUMMYFUNCTION("""COMPUTED_VALUE"""),"LYDIA HNSON ")</f>
        <v>LYDIA HNSON </v>
      </c>
      <c r="P102" s="96" t="str">
        <f>IFERROR(__xludf.DUMMYFUNCTION("""COMPUTED_VALUE"""),"Director Chemical")</f>
        <v>Director Chemical</v>
      </c>
      <c r="Q102" s="99">
        <f>IFERROR(__xludf.DUMMYFUNCTION("""COMPUTED_VALUE"""),43000.0)</f>
        <v>43000</v>
      </c>
      <c r="R102" s="96" t="str">
        <f>IFERROR(__xludf.DUMMYFUNCTION("""COMPUTED_VALUE"""),"General Expenses")</f>
        <v>General Expenses</v>
      </c>
      <c r="S102" s="99">
        <f>IFERROR(__xludf.DUMMYFUNCTION("""COMPUTED_VALUE"""),0.0)</f>
        <v>0</v>
      </c>
      <c r="T102" s="99">
        <f>IFERROR(__xludf.DUMMYFUNCTION("""COMPUTED_VALUE"""),43000.0)</f>
        <v>43000</v>
      </c>
      <c r="U102" s="99">
        <f>IFERROR(__xludf.DUMMYFUNCTION("""COMPUTED_VALUE"""),0.0)</f>
        <v>0</v>
      </c>
      <c r="V102" s="99">
        <f>IFERROR(__xludf.DUMMYFUNCTION("""COMPUTED_VALUE"""),0.0)</f>
        <v>0</v>
      </c>
      <c r="W102" s="99">
        <f>IFERROR(__xludf.DUMMYFUNCTION("""COMPUTED_VALUE"""),0.0)</f>
        <v>0</v>
      </c>
    </row>
    <row r="103">
      <c r="N103" s="98">
        <f>IFERROR(__xludf.DUMMYFUNCTION("""COMPUTED_VALUE"""),44032.0)</f>
        <v>44032</v>
      </c>
      <c r="O103" s="96" t="str">
        <f>IFERROR(__xludf.DUMMYFUNCTION("""COMPUTED_VALUE"""),"BLESSING CHAPMAN")</f>
        <v>BLESSING CHAPMAN</v>
      </c>
      <c r="P103" s="96" t="str">
        <f>IFERROR(__xludf.DUMMYFUNCTION("""COMPUTED_VALUE"""),"CASL COLLECTED")</f>
        <v>CASL COLLECTED</v>
      </c>
      <c r="Q103" s="99">
        <f>IFERROR(__xludf.DUMMYFUNCTION("""COMPUTED_VALUE"""),490400.0)</f>
        <v>490400</v>
      </c>
      <c r="R103" s="96" t="str">
        <f>IFERROR(__xludf.DUMMYFUNCTION("""COMPUTED_VALUE"""),"Petty Cash")</f>
        <v>Petty Cash</v>
      </c>
      <c r="S103" s="99">
        <f>IFERROR(__xludf.DUMMYFUNCTION("""COMPUTED_VALUE"""),0.0)</f>
        <v>0</v>
      </c>
      <c r="T103" s="99">
        <f>IFERROR(__xludf.DUMMYFUNCTION("""COMPUTED_VALUE"""),0.0)</f>
        <v>0</v>
      </c>
      <c r="U103" s="99">
        <f>IFERROR(__xludf.DUMMYFUNCTION("""COMPUTED_VALUE"""),0.0)</f>
        <v>0</v>
      </c>
      <c r="V103" s="99">
        <f>IFERROR(__xludf.DUMMYFUNCTION("""COMPUTED_VALUE"""),490400.0)</f>
        <v>490400</v>
      </c>
      <c r="W103" s="99">
        <f>IFERROR(__xludf.DUMMYFUNCTION("""COMPUTED_VALUE"""),0.0)</f>
        <v>0</v>
      </c>
    </row>
    <row r="104">
      <c r="N104" s="98">
        <f>IFERROR(__xludf.DUMMYFUNCTION("""COMPUTED_VALUE"""),44032.0)</f>
        <v>44032</v>
      </c>
      <c r="O104" s="96" t="str">
        <f>IFERROR(__xludf.DUMMYFUNCTION("""COMPUTED_VALUE"""),"MANAGER")</f>
        <v>MANAGER</v>
      </c>
      <c r="P104" s="96" t="str">
        <f>IFERROR(__xludf.DUMMYFUNCTION("""COMPUTED_VALUE"""),"CASH-IN")</f>
        <v>CASH-IN</v>
      </c>
      <c r="Q104" s="99">
        <f>IFERROR(__xludf.DUMMYFUNCTION("""COMPUTED_VALUE"""),2000000.0)</f>
        <v>2000000</v>
      </c>
      <c r="R104" s="96" t="str">
        <f>IFERROR(__xludf.DUMMYFUNCTION("""COMPUTED_VALUE"""),"From Bank")</f>
        <v>From Bank</v>
      </c>
      <c r="S104" s="99">
        <f>IFERROR(__xludf.DUMMYFUNCTION("""COMPUTED_VALUE"""),0.0)</f>
        <v>0</v>
      </c>
      <c r="T104" s="99">
        <f>IFERROR(__xludf.DUMMYFUNCTION("""COMPUTED_VALUE"""),0.0)</f>
        <v>0</v>
      </c>
      <c r="U104" s="99">
        <f>IFERROR(__xludf.DUMMYFUNCTION("""COMPUTED_VALUE"""),2000000.0)</f>
        <v>2000000</v>
      </c>
      <c r="V104" s="99">
        <f>IFERROR(__xludf.DUMMYFUNCTION("""COMPUTED_VALUE"""),0.0)</f>
        <v>0</v>
      </c>
      <c r="W104" s="99">
        <f>IFERROR(__xludf.DUMMYFUNCTION("""COMPUTED_VALUE"""),0.0)</f>
        <v>0</v>
      </c>
    </row>
    <row r="105">
      <c r="N105" s="98">
        <f>IFERROR(__xludf.DUMMYFUNCTION("""COMPUTED_VALUE"""),44033.0)</f>
        <v>44033</v>
      </c>
      <c r="O105" s="96" t="str">
        <f>IFERROR(__xludf.DUMMYFUNCTION("""COMPUTED_VALUE"""),"LYDIA HNSON ")</f>
        <v>LYDIA HNSON </v>
      </c>
      <c r="P105" s="96" t="str">
        <f>IFERROR(__xludf.DUMMYFUNCTION("""COMPUTED_VALUE"""),"advance")</f>
        <v>advance</v>
      </c>
      <c r="Q105" s="99">
        <f>IFERROR(__xludf.DUMMYFUNCTION("""COMPUTED_VALUE"""),50000.0)</f>
        <v>50000</v>
      </c>
      <c r="R105" s="96" t="str">
        <f>IFERROR(__xludf.DUMMYFUNCTION("""COMPUTED_VALUE"""),"Prefinance")</f>
        <v>Prefinance</v>
      </c>
      <c r="S105" s="99">
        <f>IFERROR(__xludf.DUMMYFUNCTION("""COMPUTED_VALUE"""),0.0)</f>
        <v>0</v>
      </c>
      <c r="T105" s="99">
        <f>IFERROR(__xludf.DUMMYFUNCTION("""COMPUTED_VALUE"""),0.0)</f>
        <v>0</v>
      </c>
      <c r="U105" s="99">
        <f>IFERROR(__xludf.DUMMYFUNCTION("""COMPUTED_VALUE"""),0.0)</f>
        <v>0</v>
      </c>
      <c r="V105" s="99">
        <f>IFERROR(__xludf.DUMMYFUNCTION("""COMPUTED_VALUE"""),0.0)</f>
        <v>0</v>
      </c>
      <c r="W105" s="99">
        <f>IFERROR(__xludf.DUMMYFUNCTION("""COMPUTED_VALUE"""),0.0)</f>
        <v>0</v>
      </c>
    </row>
    <row r="106">
      <c r="N106" s="98">
        <f>IFERROR(__xludf.DUMMYFUNCTION("""COMPUTED_VALUE"""),44033.0)</f>
        <v>44033</v>
      </c>
      <c r="O106" s="96" t="str">
        <f>IFERROR(__xludf.DUMMYFUNCTION("""COMPUTED_VALUE"""),"OTU KOKO KEIBO")</f>
        <v>OTU KOKO KEIBO</v>
      </c>
      <c r="P106" s="96" t="str">
        <f>IFERROR(__xludf.DUMMYFUNCTION("""COMPUTED_VALUE"""),"advance")</f>
        <v>advance</v>
      </c>
      <c r="Q106" s="99">
        <f>IFERROR(__xludf.DUMMYFUNCTION("""COMPUTED_VALUE"""),2.3E7)</f>
        <v>23000000</v>
      </c>
      <c r="R106" s="96" t="str">
        <f>IFERROR(__xludf.DUMMYFUNCTION("""COMPUTED_VALUE"""),"Prefinance")</f>
        <v>Prefinance</v>
      </c>
      <c r="S106" s="99">
        <f>IFERROR(__xludf.DUMMYFUNCTION("""COMPUTED_VALUE"""),0.0)</f>
        <v>0</v>
      </c>
      <c r="T106" s="99">
        <f>IFERROR(__xludf.DUMMYFUNCTION("""COMPUTED_VALUE"""),0.0)</f>
        <v>0</v>
      </c>
      <c r="U106" s="99">
        <f>IFERROR(__xludf.DUMMYFUNCTION("""COMPUTED_VALUE"""),0.0)</f>
        <v>0</v>
      </c>
      <c r="V106" s="99">
        <f>IFERROR(__xludf.DUMMYFUNCTION("""COMPUTED_VALUE"""),0.0)</f>
        <v>0</v>
      </c>
      <c r="W106" s="99">
        <f>IFERROR(__xludf.DUMMYFUNCTION("""COMPUTED_VALUE"""),0.0)</f>
        <v>0</v>
      </c>
    </row>
    <row r="107">
      <c r="N107" s="98">
        <f>IFERROR(__xludf.DUMMYFUNCTION("""COMPUTED_VALUE"""),44033.0)</f>
        <v>44033</v>
      </c>
      <c r="O107" s="96" t="str">
        <f>IFERROR(__xludf.DUMMYFUNCTION("""COMPUTED_VALUE"""),"LIVINUS")</f>
        <v>LIVINUS</v>
      </c>
      <c r="P107" s="96" t="str">
        <f>IFERROR(__xludf.DUMMYFUNCTION("""COMPUTED_VALUE"""),"advance")</f>
        <v>advance</v>
      </c>
      <c r="Q107" s="99">
        <f>IFERROR(__xludf.DUMMYFUNCTION("""COMPUTED_VALUE"""),1680000.0)</f>
        <v>1680000</v>
      </c>
      <c r="R107" s="96" t="str">
        <f>IFERROR(__xludf.DUMMYFUNCTION("""COMPUTED_VALUE"""),"Prefinance")</f>
        <v>Prefinance</v>
      </c>
      <c r="S107" s="99">
        <f>IFERROR(__xludf.DUMMYFUNCTION("""COMPUTED_VALUE"""),0.0)</f>
        <v>0</v>
      </c>
      <c r="T107" s="99">
        <f>IFERROR(__xludf.DUMMYFUNCTION("""COMPUTED_VALUE"""),0.0)</f>
        <v>0</v>
      </c>
      <c r="U107" s="99">
        <f>IFERROR(__xludf.DUMMYFUNCTION("""COMPUTED_VALUE"""),0.0)</f>
        <v>0</v>
      </c>
      <c r="V107" s="99">
        <f>IFERROR(__xludf.DUMMYFUNCTION("""COMPUTED_VALUE"""),0.0)</f>
        <v>0</v>
      </c>
      <c r="W107" s="99">
        <f>IFERROR(__xludf.DUMMYFUNCTION("""COMPUTED_VALUE"""),0.0)</f>
        <v>0</v>
      </c>
    </row>
    <row r="108">
      <c r="N108" s="98">
        <f>IFERROR(__xludf.DUMMYFUNCTION("""COMPUTED_VALUE"""),44033.0)</f>
        <v>44033</v>
      </c>
      <c r="O108" s="96" t="str">
        <f>IFERROR(__xludf.DUMMYFUNCTION("""COMPUTED_VALUE"""),"NDOMA PETER")</f>
        <v>NDOMA PETER</v>
      </c>
      <c r="P108" s="96" t="str">
        <f>IFERROR(__xludf.DUMMYFUNCTION("""COMPUTED_VALUE"""),"advance")</f>
        <v>advance</v>
      </c>
      <c r="Q108" s="99">
        <f>IFERROR(__xludf.DUMMYFUNCTION("""COMPUTED_VALUE"""),400000.0)</f>
        <v>400000</v>
      </c>
      <c r="R108" s="96" t="str">
        <f>IFERROR(__xludf.DUMMYFUNCTION("""COMPUTED_VALUE"""),"Prefinance")</f>
        <v>Prefinance</v>
      </c>
      <c r="S108" s="99">
        <f>IFERROR(__xludf.DUMMYFUNCTION("""COMPUTED_VALUE"""),0.0)</f>
        <v>0</v>
      </c>
      <c r="T108" s="99">
        <f>IFERROR(__xludf.DUMMYFUNCTION("""COMPUTED_VALUE"""),0.0)</f>
        <v>0</v>
      </c>
      <c r="U108" s="99">
        <f>IFERROR(__xludf.DUMMYFUNCTION("""COMPUTED_VALUE"""),0.0)</f>
        <v>0</v>
      </c>
      <c r="V108" s="99">
        <f>IFERROR(__xludf.DUMMYFUNCTION("""COMPUTED_VALUE"""),0.0)</f>
        <v>0</v>
      </c>
      <c r="W108" s="99">
        <f>IFERROR(__xludf.DUMMYFUNCTION("""COMPUTED_VALUE"""),0.0)</f>
        <v>0</v>
      </c>
    </row>
    <row r="109">
      <c r="N109" s="98">
        <f>IFERROR(__xludf.DUMMYFUNCTION("""COMPUTED_VALUE"""),44032.0)</f>
        <v>44032</v>
      </c>
      <c r="O109" s="96" t="str">
        <f>IFERROR(__xludf.DUMMYFUNCTION("""COMPUTED_VALUE"""),"JAMES AKAN")</f>
        <v>JAMES AKAN</v>
      </c>
      <c r="P109" s="96" t="str">
        <f>IFERROR(__xludf.DUMMYFUNCTION("""COMPUTED_VALUE"""),"SUPPLIED")</f>
        <v>SUPPLIED</v>
      </c>
      <c r="Q109" s="99">
        <f>IFERROR(__xludf.DUMMYFUNCTION("""COMPUTED_VALUE"""),-145000.0)</f>
        <v>-145000</v>
      </c>
      <c r="R109" s="96" t="str">
        <f>IFERROR(__xludf.DUMMYFUNCTION("""COMPUTED_VALUE"""),"Prefinance")</f>
        <v>Prefinance</v>
      </c>
      <c r="S109" s="99">
        <f>IFERROR(__xludf.DUMMYFUNCTION("""COMPUTED_VALUE"""),0.0)</f>
        <v>0</v>
      </c>
      <c r="T109" s="99">
        <f>IFERROR(__xludf.DUMMYFUNCTION("""COMPUTED_VALUE"""),0.0)</f>
        <v>0</v>
      </c>
      <c r="U109" s="99">
        <f>IFERROR(__xludf.DUMMYFUNCTION("""COMPUTED_VALUE"""),0.0)</f>
        <v>0</v>
      </c>
      <c r="V109" s="99">
        <f>IFERROR(__xludf.DUMMYFUNCTION("""COMPUTED_VALUE"""),0.0)</f>
        <v>0</v>
      </c>
      <c r="W109" s="99">
        <f>IFERROR(__xludf.DUMMYFUNCTION("""COMPUTED_VALUE"""),0.0)</f>
        <v>0</v>
      </c>
    </row>
    <row r="110">
      <c r="N110" s="98">
        <f>IFERROR(__xludf.DUMMYFUNCTION("""COMPUTED_VALUE"""),44033.0)</f>
        <v>44033</v>
      </c>
      <c r="O110" s="96" t="str">
        <f>IFERROR(__xludf.DUMMYFUNCTION("""COMPUTED_VALUE"""),"ADA")</f>
        <v>ADA</v>
      </c>
      <c r="P110" s="96" t="str">
        <f>IFERROR(__xludf.DUMMYFUNCTION("""COMPUTED_VALUE"""),"Transport")</f>
        <v>Transport</v>
      </c>
      <c r="Q110" s="99">
        <f>IFERROR(__xludf.DUMMYFUNCTION("""COMPUTED_VALUE"""),100.0)</f>
        <v>100</v>
      </c>
      <c r="R110" s="96" t="str">
        <f>IFERROR(__xludf.DUMMYFUNCTION("""COMPUTED_VALUE"""),"General Expenses")</f>
        <v>General Expenses</v>
      </c>
      <c r="S110" s="99">
        <f>IFERROR(__xludf.DUMMYFUNCTION("""COMPUTED_VALUE"""),0.0)</f>
        <v>0</v>
      </c>
      <c r="T110" s="99">
        <f>IFERROR(__xludf.DUMMYFUNCTION("""COMPUTED_VALUE"""),100.0)</f>
        <v>100</v>
      </c>
      <c r="U110" s="99">
        <f>IFERROR(__xludf.DUMMYFUNCTION("""COMPUTED_VALUE"""),0.0)</f>
        <v>0</v>
      </c>
      <c r="V110" s="99">
        <f>IFERROR(__xludf.DUMMYFUNCTION("""COMPUTED_VALUE"""),0.0)</f>
        <v>0</v>
      </c>
      <c r="W110" s="99">
        <f>IFERROR(__xludf.DUMMYFUNCTION("""COMPUTED_VALUE"""),0.0)</f>
        <v>0</v>
      </c>
    </row>
    <row r="111">
      <c r="N111" s="98">
        <f>IFERROR(__xludf.DUMMYFUNCTION("""COMPUTED_VALUE"""),44033.0)</f>
        <v>44033</v>
      </c>
      <c r="O111" s="96" t="str">
        <f>IFERROR(__xludf.DUMMYFUNCTION("""COMPUTED_VALUE"""),"Diamond")</f>
        <v>Diamond</v>
      </c>
      <c r="P111" s="96" t="str">
        <f>IFERROR(__xludf.DUMMYFUNCTION("""COMPUTED_VALUE"""),"tyre")</f>
        <v>tyre</v>
      </c>
      <c r="Q111" s="99">
        <f>IFERROR(__xludf.DUMMYFUNCTION("""COMPUTED_VALUE"""),19000.0)</f>
        <v>19000</v>
      </c>
      <c r="R111" s="96" t="str">
        <f>IFERROR(__xludf.DUMMYFUNCTION("""COMPUTED_VALUE"""),"General Expenses")</f>
        <v>General Expenses</v>
      </c>
      <c r="S111" s="99">
        <f>IFERROR(__xludf.DUMMYFUNCTION("""COMPUTED_VALUE"""),0.0)</f>
        <v>0</v>
      </c>
      <c r="T111" s="99">
        <f>IFERROR(__xludf.DUMMYFUNCTION("""COMPUTED_VALUE"""),19000.0)</f>
        <v>19000</v>
      </c>
      <c r="U111" s="99">
        <f>IFERROR(__xludf.DUMMYFUNCTION("""COMPUTED_VALUE"""),0.0)</f>
        <v>0</v>
      </c>
      <c r="V111" s="99">
        <f>IFERROR(__xludf.DUMMYFUNCTION("""COMPUTED_VALUE"""),0.0)</f>
        <v>0</v>
      </c>
      <c r="W111" s="99">
        <f>IFERROR(__xludf.DUMMYFUNCTION("""COMPUTED_VALUE"""),0.0)</f>
        <v>0</v>
      </c>
    </row>
    <row r="112">
      <c r="N112" s="98">
        <f>IFERROR(__xludf.DUMMYFUNCTION("""COMPUTED_VALUE"""),44033.0)</f>
        <v>44033</v>
      </c>
      <c r="O112" s="96" t="str">
        <f>IFERROR(__xludf.DUMMYFUNCTION("""COMPUTED_VALUE"""),"BLESSING AYUK")</f>
        <v>BLESSING AYUK</v>
      </c>
      <c r="P112" s="96" t="str">
        <f>IFERROR(__xludf.DUMMYFUNCTION("""COMPUTED_VALUE"""),"stationery")</f>
        <v>stationery</v>
      </c>
      <c r="Q112" s="99">
        <f>IFERROR(__xludf.DUMMYFUNCTION("""COMPUTED_VALUE"""),150.0)</f>
        <v>150</v>
      </c>
      <c r="R112" s="96" t="str">
        <f>IFERROR(__xludf.DUMMYFUNCTION("""COMPUTED_VALUE"""),"General Expenses")</f>
        <v>General Expenses</v>
      </c>
      <c r="S112" s="99">
        <f>IFERROR(__xludf.DUMMYFUNCTION("""COMPUTED_VALUE"""),0.0)</f>
        <v>0</v>
      </c>
      <c r="T112" s="99">
        <f>IFERROR(__xludf.DUMMYFUNCTION("""COMPUTED_VALUE"""),150.0)</f>
        <v>150</v>
      </c>
      <c r="U112" s="99">
        <f>IFERROR(__xludf.DUMMYFUNCTION("""COMPUTED_VALUE"""),0.0)</f>
        <v>0</v>
      </c>
      <c r="V112" s="99">
        <f>IFERROR(__xludf.DUMMYFUNCTION("""COMPUTED_VALUE"""),0.0)</f>
        <v>0</v>
      </c>
      <c r="W112" s="99">
        <f>IFERROR(__xludf.DUMMYFUNCTION("""COMPUTED_VALUE"""),0.0)</f>
        <v>0</v>
      </c>
    </row>
    <row r="113">
      <c r="N113" s="98">
        <f>IFERROR(__xludf.DUMMYFUNCTION("""COMPUTED_VALUE"""),44029.0)</f>
        <v>44029</v>
      </c>
      <c r="O113" s="96" t="str">
        <f>IFERROR(__xludf.DUMMYFUNCTION("""COMPUTED_VALUE"""),"ZULU &amp; NDOMA")</f>
        <v>ZULU &amp; NDOMA</v>
      </c>
      <c r="P113" s="96" t="str">
        <f>IFERROR(__xludf.DUMMYFUNCTION("""COMPUTED_VALUE"""),"Chemicals")</f>
        <v>Chemicals</v>
      </c>
      <c r="Q113" s="99">
        <f>IFERROR(__xludf.DUMMYFUNCTION("""COMPUTED_VALUE"""),29000.0)</f>
        <v>29000</v>
      </c>
      <c r="R113" s="96" t="str">
        <f>IFERROR(__xludf.DUMMYFUNCTION("""COMPUTED_VALUE"""),"Prefinance")</f>
        <v>Prefinance</v>
      </c>
      <c r="S113" s="99">
        <f>IFERROR(__xludf.DUMMYFUNCTION("""COMPUTED_VALUE"""),0.0)</f>
        <v>0</v>
      </c>
      <c r="T113" s="99">
        <f>IFERROR(__xludf.DUMMYFUNCTION("""COMPUTED_VALUE"""),0.0)</f>
        <v>0</v>
      </c>
      <c r="U113" s="99">
        <f>IFERROR(__xludf.DUMMYFUNCTION("""COMPUTED_VALUE"""),0.0)</f>
        <v>0</v>
      </c>
      <c r="V113" s="99">
        <f>IFERROR(__xludf.DUMMYFUNCTION("""COMPUTED_VALUE"""),0.0)</f>
        <v>0</v>
      </c>
      <c r="W113" s="99">
        <f>IFERROR(__xludf.DUMMYFUNCTION("""COMPUTED_VALUE"""),0.0)</f>
        <v>0</v>
      </c>
    </row>
    <row r="114">
      <c r="N114" s="98">
        <f>IFERROR(__xludf.DUMMYFUNCTION("""COMPUTED_VALUE"""),44033.0)</f>
        <v>44033</v>
      </c>
      <c r="O114" s="96" t="str">
        <f>IFERROR(__xludf.DUMMYFUNCTION("""COMPUTED_VALUE"""),"BLESSING CHAPMAN")</f>
        <v>BLESSING CHAPMAN</v>
      </c>
      <c r="P114" s="96" t="str">
        <f>IFERROR(__xludf.DUMMYFUNCTION("""COMPUTED_VALUE"""),"CASH COLLECTED")</f>
        <v>CASH COLLECTED</v>
      </c>
      <c r="Q114" s="99">
        <f>IFERROR(__xludf.DUMMYFUNCTION("""COMPUTED_VALUE"""),19250.0)</f>
        <v>19250</v>
      </c>
      <c r="R114" s="96" t="str">
        <f>IFERROR(__xludf.DUMMYFUNCTION("""COMPUTED_VALUE"""),"Petty Cash")</f>
        <v>Petty Cash</v>
      </c>
      <c r="S114" s="99">
        <f>IFERROR(__xludf.DUMMYFUNCTION("""COMPUTED_VALUE"""),0.0)</f>
        <v>0</v>
      </c>
      <c r="T114" s="99">
        <f>IFERROR(__xludf.DUMMYFUNCTION("""COMPUTED_VALUE"""),0.0)</f>
        <v>0</v>
      </c>
      <c r="U114" s="99">
        <f>IFERROR(__xludf.DUMMYFUNCTION("""COMPUTED_VALUE"""),0.0)</f>
        <v>0</v>
      </c>
      <c r="V114" s="99">
        <f>IFERROR(__xludf.DUMMYFUNCTION("""COMPUTED_VALUE"""),19250.0)</f>
        <v>19250</v>
      </c>
      <c r="W114" s="99">
        <f>IFERROR(__xludf.DUMMYFUNCTION("""COMPUTED_VALUE"""),0.0)</f>
        <v>0</v>
      </c>
    </row>
    <row r="115">
      <c r="N115" s="98">
        <f>IFERROR(__xludf.DUMMYFUNCTION("""COMPUTED_VALUE"""),44033.0)</f>
        <v>44033</v>
      </c>
      <c r="O115" s="96" t="str">
        <f>IFERROR(__xludf.DUMMYFUNCTION("""COMPUTED_VALUE"""),"DIRECTOR")</f>
        <v>DIRECTOR</v>
      </c>
      <c r="P115" s="96" t="str">
        <f>IFERROR(__xludf.DUMMYFUNCTION("""COMPUTED_VALUE"""),"CASH-IN")</f>
        <v>CASH-IN</v>
      </c>
      <c r="Q115" s="99">
        <f>IFERROR(__xludf.DUMMYFUNCTION("""COMPUTED_VALUE"""),2.508E7)</f>
        <v>25080000</v>
      </c>
      <c r="R115" s="96" t="str">
        <f>IFERROR(__xludf.DUMMYFUNCTION("""COMPUTED_VALUE"""),"From Bank")</f>
        <v>From Bank</v>
      </c>
      <c r="S115" s="99">
        <f>IFERROR(__xludf.DUMMYFUNCTION("""COMPUTED_VALUE"""),0.0)</f>
        <v>0</v>
      </c>
      <c r="T115" s="99">
        <f>IFERROR(__xludf.DUMMYFUNCTION("""COMPUTED_VALUE"""),0.0)</f>
        <v>0</v>
      </c>
      <c r="U115" s="99">
        <f>IFERROR(__xludf.DUMMYFUNCTION("""COMPUTED_VALUE"""),2.508E7)</f>
        <v>25080000</v>
      </c>
      <c r="V115" s="99">
        <f>IFERROR(__xludf.DUMMYFUNCTION("""COMPUTED_VALUE"""),0.0)</f>
        <v>0</v>
      </c>
      <c r="W115" s="99">
        <f>IFERROR(__xludf.DUMMYFUNCTION("""COMPUTED_VALUE"""),0.0)</f>
        <v>0</v>
      </c>
    </row>
    <row r="116">
      <c r="N116" s="98">
        <f>IFERROR(__xludf.DUMMYFUNCTION("""COMPUTED_VALUE"""),44030.0)</f>
        <v>44030</v>
      </c>
      <c r="O116" s="96" t="str">
        <f>IFERROR(__xludf.DUMMYFUNCTION("""COMPUTED_VALUE"""),"LIVINUS")</f>
        <v>LIVINUS</v>
      </c>
      <c r="P116" s="96" t="str">
        <f>IFERROR(__xludf.DUMMYFUNCTION("""COMPUTED_VALUE"""),"SUPPLIED")</f>
        <v>SUPPLIED</v>
      </c>
      <c r="Q116" s="99">
        <f>IFERROR(__xludf.DUMMYFUNCTION("""COMPUTED_VALUE"""),112080.0)</f>
        <v>112080</v>
      </c>
      <c r="R116" s="96" t="str">
        <f>IFERROR(__xludf.DUMMYFUNCTION("""COMPUTED_VALUE"""),"Prefinance")</f>
        <v>Prefinance</v>
      </c>
      <c r="S116" s="99">
        <f>IFERROR(__xludf.DUMMYFUNCTION("""COMPUTED_VALUE"""),0.0)</f>
        <v>0</v>
      </c>
      <c r="T116" s="99">
        <f>IFERROR(__xludf.DUMMYFUNCTION("""COMPUTED_VALUE"""),0.0)</f>
        <v>0</v>
      </c>
      <c r="U116" s="99">
        <f>IFERROR(__xludf.DUMMYFUNCTION("""COMPUTED_VALUE"""),0.0)</f>
        <v>0</v>
      </c>
      <c r="V116" s="99">
        <f>IFERROR(__xludf.DUMMYFUNCTION("""COMPUTED_VALUE"""),0.0)</f>
        <v>0</v>
      </c>
      <c r="W116" s="99">
        <f>IFERROR(__xludf.DUMMYFUNCTION("""COMPUTED_VALUE"""),0.0)</f>
        <v>0</v>
      </c>
    </row>
    <row r="117">
      <c r="N117" s="98">
        <f>IFERROR(__xludf.DUMMYFUNCTION("""COMPUTED_VALUE"""),44033.0)</f>
        <v>44033</v>
      </c>
      <c r="O117" s="96" t="str">
        <f>IFERROR(__xludf.DUMMYFUNCTION("""COMPUTED_VALUE"""),"LIVINUS")</f>
        <v>LIVINUS</v>
      </c>
      <c r="P117" s="96" t="str">
        <f>IFERROR(__xludf.DUMMYFUNCTION("""COMPUTED_VALUE"""),"SUPPLIED")</f>
        <v>SUPPLIED</v>
      </c>
      <c r="Q117" s="99">
        <f>IFERROR(__xludf.DUMMYFUNCTION("""COMPUTED_VALUE"""),884520.0)</f>
        <v>884520</v>
      </c>
      <c r="R117" s="96" t="str">
        <f>IFERROR(__xludf.DUMMYFUNCTION("""COMPUTED_VALUE"""),"Prefinance")</f>
        <v>Prefinance</v>
      </c>
      <c r="S117" s="99">
        <f>IFERROR(__xludf.DUMMYFUNCTION("""COMPUTED_VALUE"""),0.0)</f>
        <v>0</v>
      </c>
      <c r="T117" s="99">
        <f>IFERROR(__xludf.DUMMYFUNCTION("""COMPUTED_VALUE"""),0.0)</f>
        <v>0</v>
      </c>
      <c r="U117" s="99">
        <f>IFERROR(__xludf.DUMMYFUNCTION("""COMPUTED_VALUE"""),0.0)</f>
        <v>0</v>
      </c>
      <c r="V117" s="99">
        <f>IFERROR(__xludf.DUMMYFUNCTION("""COMPUTED_VALUE"""),0.0)</f>
        <v>0</v>
      </c>
      <c r="W117" s="99">
        <f>IFERROR(__xludf.DUMMYFUNCTION("""COMPUTED_VALUE"""),0.0)</f>
        <v>0</v>
      </c>
    </row>
    <row r="118">
      <c r="N118" s="98">
        <f>IFERROR(__xludf.DUMMYFUNCTION("""COMPUTED_VALUE"""),44030.0)</f>
        <v>44030</v>
      </c>
      <c r="O118" s="96" t="str">
        <f>IFERROR(__xludf.DUMMYFUNCTION("""COMPUTED_VALUE"""),"CONNECT")</f>
        <v>CONNECT</v>
      </c>
      <c r="P118" s="96" t="str">
        <f>IFERROR(__xludf.DUMMYFUNCTION("""COMPUTED_VALUE"""),"Transport")</f>
        <v>Transport</v>
      </c>
      <c r="Q118" s="99">
        <f>IFERROR(__xludf.DUMMYFUNCTION("""COMPUTED_VALUE"""),-5000.0)</f>
        <v>-5000</v>
      </c>
      <c r="R118" s="96" t="str">
        <f>IFERROR(__xludf.DUMMYFUNCTION("""COMPUTED_VALUE"""),"Prefinance")</f>
        <v>Prefinance</v>
      </c>
      <c r="S118" s="99">
        <f>IFERROR(__xludf.DUMMYFUNCTION("""COMPUTED_VALUE"""),0.0)</f>
        <v>0</v>
      </c>
      <c r="T118" s="99">
        <f>IFERROR(__xludf.DUMMYFUNCTION("""COMPUTED_VALUE"""),0.0)</f>
        <v>0</v>
      </c>
      <c r="U118" s="99">
        <f>IFERROR(__xludf.DUMMYFUNCTION("""COMPUTED_VALUE"""),0.0)</f>
        <v>0</v>
      </c>
      <c r="V118" s="99">
        <f>IFERROR(__xludf.DUMMYFUNCTION("""COMPUTED_VALUE"""),0.0)</f>
        <v>0</v>
      </c>
      <c r="W118" s="99">
        <f>IFERROR(__xludf.DUMMYFUNCTION("""COMPUTED_VALUE"""),0.0)</f>
        <v>0</v>
      </c>
    </row>
    <row r="119">
      <c r="N119" s="98">
        <f>IFERROR(__xludf.DUMMYFUNCTION("""COMPUTED_VALUE"""),44030.0)</f>
        <v>44030</v>
      </c>
      <c r="O119" s="96" t="str">
        <f>IFERROR(__xludf.DUMMYFUNCTION("""COMPUTED_VALUE"""),"CONNECT")</f>
        <v>CONNECT</v>
      </c>
      <c r="P119" s="96" t="str">
        <f>IFERROR(__xludf.DUMMYFUNCTION("""COMPUTED_VALUE"""),"SUPPLIED")</f>
        <v>SUPPLIED</v>
      </c>
      <c r="Q119" s="99">
        <f>IFERROR(__xludf.DUMMYFUNCTION("""COMPUTED_VALUE"""),-23920.0)</f>
        <v>-23920</v>
      </c>
      <c r="R119" s="96" t="str">
        <f>IFERROR(__xludf.DUMMYFUNCTION("""COMPUTED_VALUE"""),"Prefinance")</f>
        <v>Prefinance</v>
      </c>
      <c r="S119" s="99">
        <f>IFERROR(__xludf.DUMMYFUNCTION("""COMPUTED_VALUE"""),0.0)</f>
        <v>0</v>
      </c>
      <c r="T119" s="99">
        <f>IFERROR(__xludf.DUMMYFUNCTION("""COMPUTED_VALUE"""),0.0)</f>
        <v>0</v>
      </c>
      <c r="U119" s="99">
        <f>IFERROR(__xludf.DUMMYFUNCTION("""COMPUTED_VALUE"""),0.0)</f>
        <v>0</v>
      </c>
      <c r="V119" s="99">
        <f>IFERROR(__xludf.DUMMYFUNCTION("""COMPUTED_VALUE"""),0.0)</f>
        <v>0</v>
      </c>
      <c r="W119" s="99">
        <f>IFERROR(__xludf.DUMMYFUNCTION("""COMPUTED_VALUE"""),0.0)</f>
        <v>0</v>
      </c>
    </row>
    <row r="120">
      <c r="N120" s="98">
        <f>IFERROR(__xludf.DUMMYFUNCTION("""COMPUTED_VALUE"""),44034.0)</f>
        <v>44034</v>
      </c>
      <c r="O120" s="96" t="str">
        <f>IFERROR(__xludf.DUMMYFUNCTION("""COMPUTED_VALUE"""),"ZULU &amp; NDOMA")</f>
        <v>ZULU &amp; NDOMA</v>
      </c>
      <c r="P120" s="96" t="str">
        <f>IFERROR(__xludf.DUMMYFUNCTION("""COMPUTED_VALUE"""),"Chemical")</f>
        <v>Chemical</v>
      </c>
      <c r="Q120" s="99">
        <f>IFERROR(__xludf.DUMMYFUNCTION("""COMPUTED_VALUE"""),9000.0)</f>
        <v>9000</v>
      </c>
      <c r="R120" s="96" t="str">
        <f>IFERROR(__xludf.DUMMYFUNCTION("""COMPUTED_VALUE"""),"Prefinance")</f>
        <v>Prefinance</v>
      </c>
      <c r="S120" s="99">
        <f>IFERROR(__xludf.DUMMYFUNCTION("""COMPUTED_VALUE"""),0.0)</f>
        <v>0</v>
      </c>
      <c r="T120" s="99">
        <f>IFERROR(__xludf.DUMMYFUNCTION("""COMPUTED_VALUE"""),0.0)</f>
        <v>0</v>
      </c>
      <c r="U120" s="99">
        <f>IFERROR(__xludf.DUMMYFUNCTION("""COMPUTED_VALUE"""),0.0)</f>
        <v>0</v>
      </c>
      <c r="V120" s="99">
        <f>IFERROR(__xludf.DUMMYFUNCTION("""COMPUTED_VALUE"""),0.0)</f>
        <v>0</v>
      </c>
      <c r="W120" s="99">
        <f>IFERROR(__xludf.DUMMYFUNCTION("""COMPUTED_VALUE"""),0.0)</f>
        <v>0</v>
      </c>
    </row>
    <row r="121">
      <c r="N121" s="98">
        <f>IFERROR(__xludf.DUMMYFUNCTION("""COMPUTED_VALUE"""),44034.0)</f>
        <v>44034</v>
      </c>
      <c r="O121" s="96" t="str">
        <f>IFERROR(__xludf.DUMMYFUNCTION("""COMPUTED_VALUE"""),"CORNWELL")</f>
        <v>CORNWELL</v>
      </c>
      <c r="P121" s="96" t="str">
        <f>IFERROR(__xludf.DUMMYFUNCTION("""COMPUTED_VALUE"""),"Advance")</f>
        <v>Advance</v>
      </c>
      <c r="Q121" s="99">
        <f>IFERROR(__xludf.DUMMYFUNCTION("""COMPUTED_VALUE"""),3725000.0)</f>
        <v>3725000</v>
      </c>
      <c r="R121" s="96" t="str">
        <f>IFERROR(__xludf.DUMMYFUNCTION("""COMPUTED_VALUE"""),"Prefinance")</f>
        <v>Prefinance</v>
      </c>
      <c r="S121" s="99">
        <f>IFERROR(__xludf.DUMMYFUNCTION("""COMPUTED_VALUE"""),0.0)</f>
        <v>0</v>
      </c>
      <c r="T121" s="99">
        <f>IFERROR(__xludf.DUMMYFUNCTION("""COMPUTED_VALUE"""),0.0)</f>
        <v>0</v>
      </c>
      <c r="U121" s="99">
        <f>IFERROR(__xludf.DUMMYFUNCTION("""COMPUTED_VALUE"""),0.0)</f>
        <v>0</v>
      </c>
      <c r="V121" s="99">
        <f>IFERROR(__xludf.DUMMYFUNCTION("""COMPUTED_VALUE"""),0.0)</f>
        <v>0</v>
      </c>
      <c r="W121" s="99">
        <f>IFERROR(__xludf.DUMMYFUNCTION("""COMPUTED_VALUE"""),0.0)</f>
        <v>0</v>
      </c>
    </row>
    <row r="122">
      <c r="N122" s="98">
        <f>IFERROR(__xludf.DUMMYFUNCTION("""COMPUTED_VALUE"""),44034.0)</f>
        <v>44034</v>
      </c>
      <c r="O122" s="96" t="str">
        <f>IFERROR(__xludf.DUMMYFUNCTION("""COMPUTED_VALUE"""),"CONNECT")</f>
        <v>CONNECT</v>
      </c>
      <c r="P122" s="96" t="str">
        <f>IFERROR(__xludf.DUMMYFUNCTION("""COMPUTED_VALUE"""),"Advance")</f>
        <v>Advance</v>
      </c>
      <c r="Q122" s="99">
        <f>IFERROR(__xludf.DUMMYFUNCTION("""COMPUTED_VALUE"""),700000.0)</f>
        <v>700000</v>
      </c>
      <c r="R122" s="96" t="str">
        <f>IFERROR(__xludf.DUMMYFUNCTION("""COMPUTED_VALUE"""),"Prefinance")</f>
        <v>Prefinance</v>
      </c>
      <c r="S122" s="99">
        <f>IFERROR(__xludf.DUMMYFUNCTION("""COMPUTED_VALUE"""),0.0)</f>
        <v>0</v>
      </c>
      <c r="T122" s="99">
        <f>IFERROR(__xludf.DUMMYFUNCTION("""COMPUTED_VALUE"""),0.0)</f>
        <v>0</v>
      </c>
      <c r="U122" s="99">
        <f>IFERROR(__xludf.DUMMYFUNCTION("""COMPUTED_VALUE"""),0.0)</f>
        <v>0</v>
      </c>
      <c r="V122" s="99">
        <f>IFERROR(__xludf.DUMMYFUNCTION("""COMPUTED_VALUE"""),0.0)</f>
        <v>0</v>
      </c>
      <c r="W122" s="99">
        <f>IFERROR(__xludf.DUMMYFUNCTION("""COMPUTED_VALUE"""),0.0)</f>
        <v>0</v>
      </c>
    </row>
    <row r="123">
      <c r="N123" s="98">
        <f>IFERROR(__xludf.DUMMYFUNCTION("""COMPUTED_VALUE"""),44034.0)</f>
        <v>44034</v>
      </c>
      <c r="O123" s="96" t="str">
        <f>IFERROR(__xludf.DUMMYFUNCTION("""COMPUTED_VALUE"""),"ANDRDEW GREAT")</f>
        <v>ANDRDEW GREAT</v>
      </c>
      <c r="P123" s="96" t="str">
        <f>IFERROR(__xludf.DUMMYFUNCTION("""COMPUTED_VALUE"""),"Advance")</f>
        <v>Advance</v>
      </c>
      <c r="Q123" s="99">
        <f>IFERROR(__xludf.DUMMYFUNCTION("""COMPUTED_VALUE"""),200000.0)</f>
        <v>200000</v>
      </c>
      <c r="R123" s="96" t="str">
        <f>IFERROR(__xludf.DUMMYFUNCTION("""COMPUTED_VALUE"""),"Prefinance")</f>
        <v>Prefinance</v>
      </c>
      <c r="S123" s="99">
        <f>IFERROR(__xludf.DUMMYFUNCTION("""COMPUTED_VALUE"""),0.0)</f>
        <v>0</v>
      </c>
      <c r="T123" s="99">
        <f>IFERROR(__xludf.DUMMYFUNCTION("""COMPUTED_VALUE"""),0.0)</f>
        <v>0</v>
      </c>
      <c r="U123" s="99">
        <f>IFERROR(__xludf.DUMMYFUNCTION("""COMPUTED_VALUE"""),0.0)</f>
        <v>0</v>
      </c>
      <c r="V123" s="99">
        <f>IFERROR(__xludf.DUMMYFUNCTION("""COMPUTED_VALUE"""),0.0)</f>
        <v>0</v>
      </c>
      <c r="W123" s="99">
        <f>IFERROR(__xludf.DUMMYFUNCTION("""COMPUTED_VALUE"""),0.0)</f>
        <v>0</v>
      </c>
    </row>
    <row r="124">
      <c r="N124" s="98">
        <f>IFERROR(__xludf.DUMMYFUNCTION("""COMPUTED_VALUE"""),44034.0)</f>
        <v>44034</v>
      </c>
      <c r="O124" s="96" t="str">
        <f>IFERROR(__xludf.DUMMYFUNCTION("""COMPUTED_VALUE"""),"ALFRED ALABI")</f>
        <v>ALFRED ALABI</v>
      </c>
      <c r="P124" s="96" t="str">
        <f>IFERROR(__xludf.DUMMYFUNCTION("""COMPUTED_VALUE"""),"Advance")</f>
        <v>Advance</v>
      </c>
      <c r="Q124" s="99">
        <f>IFERROR(__xludf.DUMMYFUNCTION("""COMPUTED_VALUE"""),480000.0)</f>
        <v>480000</v>
      </c>
      <c r="R124" s="96" t="str">
        <f>IFERROR(__xludf.DUMMYFUNCTION("""COMPUTED_VALUE"""),"Prefinance")</f>
        <v>Prefinance</v>
      </c>
      <c r="S124" s="99">
        <f>IFERROR(__xludf.DUMMYFUNCTION("""COMPUTED_VALUE"""),0.0)</f>
        <v>0</v>
      </c>
      <c r="T124" s="99">
        <f>IFERROR(__xludf.DUMMYFUNCTION("""COMPUTED_VALUE"""),0.0)</f>
        <v>0</v>
      </c>
      <c r="U124" s="99">
        <f>IFERROR(__xludf.DUMMYFUNCTION("""COMPUTED_VALUE"""),0.0)</f>
        <v>0</v>
      </c>
      <c r="V124" s="99">
        <f>IFERROR(__xludf.DUMMYFUNCTION("""COMPUTED_VALUE"""),0.0)</f>
        <v>0</v>
      </c>
      <c r="W124" s="99">
        <f>IFERROR(__xludf.DUMMYFUNCTION("""COMPUTED_VALUE"""),0.0)</f>
        <v>0</v>
      </c>
    </row>
    <row r="125">
      <c r="N125" s="98">
        <f>IFERROR(__xludf.DUMMYFUNCTION("""COMPUTED_VALUE"""),44034.0)</f>
        <v>44034</v>
      </c>
      <c r="O125" s="96" t="str">
        <f>IFERROR(__xludf.DUMMYFUNCTION("""COMPUTED_VALUE"""),"EDWARD OKO")</f>
        <v>EDWARD OKO</v>
      </c>
      <c r="P125" s="96" t="str">
        <f>IFERROR(__xludf.DUMMYFUNCTION("""COMPUTED_VALUE"""),"Advance")</f>
        <v>Advance</v>
      </c>
      <c r="Q125" s="99">
        <f>IFERROR(__xludf.DUMMYFUNCTION("""COMPUTED_VALUE"""),1000000.0)</f>
        <v>1000000</v>
      </c>
      <c r="R125" s="96" t="str">
        <f>IFERROR(__xludf.DUMMYFUNCTION("""COMPUTED_VALUE"""),"Prefinance")</f>
        <v>Prefinance</v>
      </c>
      <c r="S125" s="99">
        <f>IFERROR(__xludf.DUMMYFUNCTION("""COMPUTED_VALUE"""),0.0)</f>
        <v>0</v>
      </c>
      <c r="T125" s="99">
        <f>IFERROR(__xludf.DUMMYFUNCTION("""COMPUTED_VALUE"""),0.0)</f>
        <v>0</v>
      </c>
      <c r="U125" s="99">
        <f>IFERROR(__xludf.DUMMYFUNCTION("""COMPUTED_VALUE"""),0.0)</f>
        <v>0</v>
      </c>
      <c r="V125" s="99">
        <f>IFERROR(__xludf.DUMMYFUNCTION("""COMPUTED_VALUE"""),0.0)</f>
        <v>0</v>
      </c>
      <c r="W125" s="99">
        <f>IFERROR(__xludf.DUMMYFUNCTION("""COMPUTED_VALUE"""),0.0)</f>
        <v>0</v>
      </c>
    </row>
    <row r="126">
      <c r="N126" s="98">
        <f>IFERROR(__xludf.DUMMYFUNCTION("""COMPUTED_VALUE"""),44034.0)</f>
        <v>44034</v>
      </c>
      <c r="O126" s="96" t="str">
        <f>IFERROR(__xludf.DUMMYFUNCTION("""COMPUTED_VALUE"""),"RECTOR W.")</f>
        <v>RECTOR W.</v>
      </c>
      <c r="P126" s="96" t="str">
        <f>IFERROR(__xludf.DUMMYFUNCTION("""COMPUTED_VALUE"""),"Advance")</f>
        <v>Advance</v>
      </c>
      <c r="Q126" s="99">
        <f>IFERROR(__xludf.DUMMYFUNCTION("""COMPUTED_VALUE"""),2500000.0)</f>
        <v>2500000</v>
      </c>
      <c r="R126" s="96" t="str">
        <f>IFERROR(__xludf.DUMMYFUNCTION("""COMPUTED_VALUE"""),"Prefinance")</f>
        <v>Prefinance</v>
      </c>
      <c r="S126" s="99">
        <f>IFERROR(__xludf.DUMMYFUNCTION("""COMPUTED_VALUE"""),0.0)</f>
        <v>0</v>
      </c>
      <c r="T126" s="99">
        <f>IFERROR(__xludf.DUMMYFUNCTION("""COMPUTED_VALUE"""),0.0)</f>
        <v>0</v>
      </c>
      <c r="U126" s="99">
        <f>IFERROR(__xludf.DUMMYFUNCTION("""COMPUTED_VALUE"""),0.0)</f>
        <v>0</v>
      </c>
      <c r="V126" s="99">
        <f>IFERROR(__xludf.DUMMYFUNCTION("""COMPUTED_VALUE"""),0.0)</f>
        <v>0</v>
      </c>
      <c r="W126" s="99">
        <f>IFERROR(__xludf.DUMMYFUNCTION("""COMPUTED_VALUE"""),0.0)</f>
        <v>0</v>
      </c>
    </row>
    <row r="127">
      <c r="N127" s="98">
        <f>IFERROR(__xludf.DUMMYFUNCTION("""COMPUTED_VALUE"""),44034.0)</f>
        <v>44034</v>
      </c>
      <c r="O127" s="96" t="str">
        <f>IFERROR(__xludf.DUMMYFUNCTION("""COMPUTED_VALUE"""),"NDOMA BODE I.D")</f>
        <v>NDOMA BODE I.D</v>
      </c>
      <c r="P127" s="96" t="str">
        <f>IFERROR(__xludf.DUMMYFUNCTION("""COMPUTED_VALUE"""),"Advance")</f>
        <v>Advance</v>
      </c>
      <c r="Q127" s="99">
        <f>IFERROR(__xludf.DUMMYFUNCTION("""COMPUTED_VALUE"""),500000.0)</f>
        <v>500000</v>
      </c>
      <c r="R127" s="96" t="str">
        <f>IFERROR(__xludf.DUMMYFUNCTION("""COMPUTED_VALUE"""),"Prefinance")</f>
        <v>Prefinance</v>
      </c>
      <c r="S127" s="99">
        <f>IFERROR(__xludf.DUMMYFUNCTION("""COMPUTED_VALUE"""),0.0)</f>
        <v>0</v>
      </c>
      <c r="T127" s="99">
        <f>IFERROR(__xludf.DUMMYFUNCTION("""COMPUTED_VALUE"""),0.0)</f>
        <v>0</v>
      </c>
      <c r="U127" s="99">
        <f>IFERROR(__xludf.DUMMYFUNCTION("""COMPUTED_VALUE"""),0.0)</f>
        <v>0</v>
      </c>
      <c r="V127" s="99">
        <f>IFERROR(__xludf.DUMMYFUNCTION("""COMPUTED_VALUE"""),0.0)</f>
        <v>0</v>
      </c>
      <c r="W127" s="99">
        <f>IFERROR(__xludf.DUMMYFUNCTION("""COMPUTED_VALUE"""),0.0)</f>
        <v>0</v>
      </c>
    </row>
    <row r="128">
      <c r="N128" s="98">
        <f>IFERROR(__xludf.DUMMYFUNCTION("""COMPUTED_VALUE"""),44034.0)</f>
        <v>44034</v>
      </c>
      <c r="O128" s="96" t="str">
        <f>IFERROR(__xludf.DUMMYFUNCTION("""COMPUTED_VALUE"""),"OBINNA CHIELO")</f>
        <v>OBINNA CHIELO</v>
      </c>
      <c r="P128" s="96" t="str">
        <f>IFERROR(__xludf.DUMMYFUNCTION("""COMPUTED_VALUE"""),"Advance")</f>
        <v>Advance</v>
      </c>
      <c r="Q128" s="99">
        <f>IFERROR(__xludf.DUMMYFUNCTION("""COMPUTED_VALUE"""),480000.0)</f>
        <v>480000</v>
      </c>
      <c r="R128" s="96" t="str">
        <f>IFERROR(__xludf.DUMMYFUNCTION("""COMPUTED_VALUE"""),"Prefinance")</f>
        <v>Prefinance</v>
      </c>
      <c r="S128" s="99">
        <f>IFERROR(__xludf.DUMMYFUNCTION("""COMPUTED_VALUE"""),0.0)</f>
        <v>0</v>
      </c>
      <c r="T128" s="99">
        <f>IFERROR(__xludf.DUMMYFUNCTION("""COMPUTED_VALUE"""),0.0)</f>
        <v>0</v>
      </c>
      <c r="U128" s="99">
        <f>IFERROR(__xludf.DUMMYFUNCTION("""COMPUTED_VALUE"""),0.0)</f>
        <v>0</v>
      </c>
      <c r="V128" s="99">
        <f>IFERROR(__xludf.DUMMYFUNCTION("""COMPUTED_VALUE"""),0.0)</f>
        <v>0</v>
      </c>
      <c r="W128" s="99">
        <f>IFERROR(__xludf.DUMMYFUNCTION("""COMPUTED_VALUE"""),0.0)</f>
        <v>0</v>
      </c>
    </row>
    <row r="129">
      <c r="N129" s="98">
        <f>IFERROR(__xludf.DUMMYFUNCTION("""COMPUTED_VALUE"""),44034.0)</f>
        <v>44034</v>
      </c>
      <c r="O129" s="96" t="str">
        <f>IFERROR(__xludf.DUMMYFUNCTION("""COMPUTED_VALUE""")," MAXWELL AGRO")</f>
        <v> MAXWELL AGRO</v>
      </c>
      <c r="P129" s="96" t="str">
        <f>IFERROR(__xludf.DUMMYFUNCTION("""COMPUTED_VALUE"""),"Advance")</f>
        <v>Advance</v>
      </c>
      <c r="Q129" s="99">
        <f>IFERROR(__xludf.DUMMYFUNCTION("""COMPUTED_VALUE"""),240000.0)</f>
        <v>240000</v>
      </c>
      <c r="R129" s="96" t="str">
        <f>IFERROR(__xludf.DUMMYFUNCTION("""COMPUTED_VALUE"""),"Prefinance")</f>
        <v>Prefinance</v>
      </c>
      <c r="S129" s="99">
        <f>IFERROR(__xludf.DUMMYFUNCTION("""COMPUTED_VALUE"""),0.0)</f>
        <v>0</v>
      </c>
      <c r="T129" s="99">
        <f>IFERROR(__xludf.DUMMYFUNCTION("""COMPUTED_VALUE"""),0.0)</f>
        <v>0</v>
      </c>
      <c r="U129" s="99">
        <f>IFERROR(__xludf.DUMMYFUNCTION("""COMPUTED_VALUE"""),0.0)</f>
        <v>0</v>
      </c>
      <c r="V129" s="99">
        <f>IFERROR(__xludf.DUMMYFUNCTION("""COMPUTED_VALUE"""),0.0)</f>
        <v>0</v>
      </c>
      <c r="W129" s="99">
        <f>IFERROR(__xludf.DUMMYFUNCTION("""COMPUTED_VALUE"""),0.0)</f>
        <v>0</v>
      </c>
    </row>
    <row r="130">
      <c r="N130" s="98">
        <f>IFERROR(__xludf.DUMMYFUNCTION("""COMPUTED_VALUE"""),44034.0)</f>
        <v>44034</v>
      </c>
      <c r="O130" s="96" t="str">
        <f>IFERROR(__xludf.DUMMYFUNCTION("""COMPUTED_VALUE"""),"EMMANUEL OKO ")</f>
        <v>EMMANUEL OKO </v>
      </c>
      <c r="P130" s="96" t="str">
        <f>IFERROR(__xludf.DUMMYFUNCTION("""COMPUTED_VALUE"""),"Advance")</f>
        <v>Advance</v>
      </c>
      <c r="Q130" s="99">
        <f>IFERROR(__xludf.DUMMYFUNCTION("""COMPUTED_VALUE"""),235000.0)</f>
        <v>235000</v>
      </c>
      <c r="R130" s="96" t="str">
        <f>IFERROR(__xludf.DUMMYFUNCTION("""COMPUTED_VALUE"""),"Prefinance")</f>
        <v>Prefinance</v>
      </c>
      <c r="S130" s="99">
        <f>IFERROR(__xludf.DUMMYFUNCTION("""COMPUTED_VALUE"""),0.0)</f>
        <v>0</v>
      </c>
      <c r="T130" s="99">
        <f>IFERROR(__xludf.DUMMYFUNCTION("""COMPUTED_VALUE"""),0.0)</f>
        <v>0</v>
      </c>
      <c r="U130" s="99">
        <f>IFERROR(__xludf.DUMMYFUNCTION("""COMPUTED_VALUE"""),0.0)</f>
        <v>0</v>
      </c>
      <c r="V130" s="99">
        <f>IFERROR(__xludf.DUMMYFUNCTION("""COMPUTED_VALUE"""),0.0)</f>
        <v>0</v>
      </c>
      <c r="W130" s="99">
        <f>IFERROR(__xludf.DUMMYFUNCTION("""COMPUTED_VALUE"""),0.0)</f>
        <v>0</v>
      </c>
    </row>
    <row r="131">
      <c r="N131" s="98">
        <f>IFERROR(__xludf.DUMMYFUNCTION("""COMPUTED_VALUE"""),44034.0)</f>
        <v>44034</v>
      </c>
      <c r="O131" s="96" t="str">
        <f>IFERROR(__xludf.DUMMYFUNCTION("""COMPUTED_VALUE"""),"ETUK EFFI")</f>
        <v>ETUK EFFI</v>
      </c>
      <c r="P131" s="96" t="str">
        <f>IFERROR(__xludf.DUMMYFUNCTION("""COMPUTED_VALUE"""),"Advance")</f>
        <v>Advance</v>
      </c>
      <c r="Q131" s="99">
        <f>IFERROR(__xludf.DUMMYFUNCTION("""COMPUTED_VALUE"""),500000.0)</f>
        <v>500000</v>
      </c>
      <c r="R131" s="96" t="str">
        <f>IFERROR(__xludf.DUMMYFUNCTION("""COMPUTED_VALUE"""),"Prefinance")</f>
        <v>Prefinance</v>
      </c>
      <c r="S131" s="99">
        <f>IFERROR(__xludf.DUMMYFUNCTION("""COMPUTED_VALUE"""),0.0)</f>
        <v>0</v>
      </c>
      <c r="T131" s="99">
        <f>IFERROR(__xludf.DUMMYFUNCTION("""COMPUTED_VALUE"""),0.0)</f>
        <v>0</v>
      </c>
      <c r="U131" s="99">
        <f>IFERROR(__xludf.DUMMYFUNCTION("""COMPUTED_VALUE"""),0.0)</f>
        <v>0</v>
      </c>
      <c r="V131" s="99">
        <f>IFERROR(__xludf.DUMMYFUNCTION("""COMPUTED_VALUE"""),0.0)</f>
        <v>0</v>
      </c>
      <c r="W131" s="99">
        <f>IFERROR(__xludf.DUMMYFUNCTION("""COMPUTED_VALUE"""),0.0)</f>
        <v>0</v>
      </c>
    </row>
    <row r="132">
      <c r="N132" s="98">
        <f>IFERROR(__xludf.DUMMYFUNCTION("""COMPUTED_VALUE"""),44034.0)</f>
        <v>44034</v>
      </c>
      <c r="O132" s="96" t="str">
        <f>IFERROR(__xludf.DUMMYFUNCTION("""COMPUTED_VALUE"""),"RECTOR W.")</f>
        <v>RECTOR W.</v>
      </c>
      <c r="P132" s="96" t="str">
        <f>IFERROR(__xludf.DUMMYFUNCTION("""COMPUTED_VALUE"""),"SUPPLY ")</f>
        <v>SUPPLY </v>
      </c>
      <c r="Q132" s="99">
        <f>IFERROR(__xludf.DUMMYFUNCTION("""COMPUTED_VALUE"""),358880.0)</f>
        <v>358880</v>
      </c>
      <c r="R132" s="96" t="str">
        <f>IFERROR(__xludf.DUMMYFUNCTION("""COMPUTED_VALUE"""),"Prefinance")</f>
        <v>Prefinance</v>
      </c>
      <c r="S132" s="99">
        <f>IFERROR(__xludf.DUMMYFUNCTION("""COMPUTED_VALUE"""),0.0)</f>
        <v>0</v>
      </c>
      <c r="T132" s="99">
        <f>IFERROR(__xludf.DUMMYFUNCTION("""COMPUTED_VALUE"""),0.0)</f>
        <v>0</v>
      </c>
      <c r="U132" s="99">
        <f>IFERROR(__xludf.DUMMYFUNCTION("""COMPUTED_VALUE"""),0.0)</f>
        <v>0</v>
      </c>
      <c r="V132" s="99">
        <f>IFERROR(__xludf.DUMMYFUNCTION("""COMPUTED_VALUE"""),0.0)</f>
        <v>0</v>
      </c>
      <c r="W132" s="99">
        <f>IFERROR(__xludf.DUMMYFUNCTION("""COMPUTED_VALUE"""),0.0)</f>
        <v>0</v>
      </c>
    </row>
    <row r="133">
      <c r="N133" s="98">
        <f>IFERROR(__xludf.DUMMYFUNCTION("""COMPUTED_VALUE"""),44034.0)</f>
        <v>44034</v>
      </c>
      <c r="O133" s="96" t="str">
        <f>IFERROR(__xludf.DUMMYFUNCTION("""COMPUTED_VALUE"""),"RECTOR W.")</f>
        <v>RECTOR W.</v>
      </c>
      <c r="P133" s="96" t="str">
        <f>IFERROR(__xludf.DUMMYFUNCTION("""COMPUTED_VALUE"""),"BALANCE FOR SUPPLY")</f>
        <v>BALANCE FOR SUPPLY</v>
      </c>
      <c r="Q133" s="99">
        <f>IFERROR(__xludf.DUMMYFUNCTION("""COMPUTED_VALUE"""),39920.0)</f>
        <v>39920</v>
      </c>
      <c r="R133" s="96" t="str">
        <f>IFERROR(__xludf.DUMMYFUNCTION("""COMPUTED_VALUE"""),"General Expenses")</f>
        <v>General Expenses</v>
      </c>
      <c r="S133" s="99">
        <f>IFERROR(__xludf.DUMMYFUNCTION("""COMPUTED_VALUE"""),0.0)</f>
        <v>0</v>
      </c>
      <c r="T133" s="99">
        <f>IFERROR(__xludf.DUMMYFUNCTION("""COMPUTED_VALUE"""),39920.0)</f>
        <v>39920</v>
      </c>
      <c r="U133" s="99">
        <f>IFERROR(__xludf.DUMMYFUNCTION("""COMPUTED_VALUE"""),0.0)</f>
        <v>0</v>
      </c>
      <c r="V133" s="99">
        <f>IFERROR(__xludf.DUMMYFUNCTION("""COMPUTED_VALUE"""),0.0)</f>
        <v>0</v>
      </c>
      <c r="W133" s="99">
        <f>IFERROR(__xludf.DUMMYFUNCTION("""COMPUTED_VALUE"""),0.0)</f>
        <v>0</v>
      </c>
    </row>
    <row r="134">
      <c r="N134" s="98">
        <f>IFERROR(__xludf.DUMMYFUNCTION("""COMPUTED_VALUE"""),44034.0)</f>
        <v>44034</v>
      </c>
      <c r="O134" s="96" t="str">
        <f>IFERROR(__xludf.DUMMYFUNCTION("""COMPUTED_VALUE"""),"CONNECT")</f>
        <v>CONNECT</v>
      </c>
      <c r="P134" s="96" t="str">
        <f>IFERROR(__xludf.DUMMYFUNCTION("""COMPUTED_VALUE"""),"BALANCE FOR SUPPLY")</f>
        <v>BALANCE FOR SUPPLY</v>
      </c>
      <c r="Q134" s="99">
        <f>IFERROR(__xludf.DUMMYFUNCTION("""COMPUTED_VALUE"""),3800.0)</f>
        <v>3800</v>
      </c>
      <c r="R134" s="96" t="str">
        <f>IFERROR(__xludf.DUMMYFUNCTION("""COMPUTED_VALUE"""),"General Expenses")</f>
        <v>General Expenses</v>
      </c>
      <c r="S134" s="99">
        <f>IFERROR(__xludf.DUMMYFUNCTION("""COMPUTED_VALUE"""),0.0)</f>
        <v>0</v>
      </c>
      <c r="T134" s="99">
        <f>IFERROR(__xludf.DUMMYFUNCTION("""COMPUTED_VALUE"""),3800.0)</f>
        <v>3800</v>
      </c>
      <c r="U134" s="99">
        <f>IFERROR(__xludf.DUMMYFUNCTION("""COMPUTED_VALUE"""),0.0)</f>
        <v>0</v>
      </c>
      <c r="V134" s="99">
        <f>IFERROR(__xludf.DUMMYFUNCTION("""COMPUTED_VALUE"""),0.0)</f>
        <v>0</v>
      </c>
      <c r="W134" s="99">
        <f>IFERROR(__xludf.DUMMYFUNCTION("""COMPUTED_VALUE"""),0.0)</f>
        <v>0</v>
      </c>
    </row>
    <row r="135">
      <c r="N135" s="98">
        <f>IFERROR(__xludf.DUMMYFUNCTION("""COMPUTED_VALUE"""),44034.0)</f>
        <v>44034</v>
      </c>
      <c r="O135" s="96" t="str">
        <f>IFERROR(__xludf.DUMMYFUNCTION("""COMPUTED_VALUE"""),"DIRECTOR")</f>
        <v>DIRECTOR</v>
      </c>
      <c r="P135" s="96" t="str">
        <f>IFERROR(__xludf.DUMMYFUNCTION("""COMPUTED_VALUE"""),"PERSONAN USE")</f>
        <v>PERSONAN USE</v>
      </c>
      <c r="Q135" s="99">
        <f>IFERROR(__xludf.DUMMYFUNCTION("""COMPUTED_VALUE"""),500.0)</f>
        <v>500</v>
      </c>
      <c r="R135" s="96" t="str">
        <f>IFERROR(__xludf.DUMMYFUNCTION("""COMPUTED_VALUE"""),"General Expenses")</f>
        <v>General Expenses</v>
      </c>
      <c r="S135" s="99">
        <f>IFERROR(__xludf.DUMMYFUNCTION("""COMPUTED_VALUE"""),0.0)</f>
        <v>0</v>
      </c>
      <c r="T135" s="99">
        <f>IFERROR(__xludf.DUMMYFUNCTION("""COMPUTED_VALUE"""),500.0)</f>
        <v>500</v>
      </c>
      <c r="U135" s="99">
        <f>IFERROR(__xludf.DUMMYFUNCTION("""COMPUTED_VALUE"""),0.0)</f>
        <v>0</v>
      </c>
      <c r="V135" s="99">
        <f>IFERROR(__xludf.DUMMYFUNCTION("""COMPUTED_VALUE"""),0.0)</f>
        <v>0</v>
      </c>
      <c r="W135" s="99">
        <f>IFERROR(__xludf.DUMMYFUNCTION("""COMPUTED_VALUE"""),0.0)</f>
        <v>0</v>
      </c>
    </row>
    <row r="136">
      <c r="N136" s="98">
        <f>IFERROR(__xludf.DUMMYFUNCTION("""COMPUTED_VALUE"""),44034.0)</f>
        <v>44034</v>
      </c>
      <c r="O136" s="96" t="str">
        <f>IFERROR(__xludf.DUMMYFUNCTION("""COMPUTED_VALUE"""),"BLESSING CHAPMAN")</f>
        <v>BLESSING CHAPMAN</v>
      </c>
      <c r="P136" s="96" t="str">
        <f>IFERROR(__xludf.DUMMYFUNCTION("""COMPUTED_VALUE"""),"CASH COLLECTED")</f>
        <v>CASH COLLECTED</v>
      </c>
      <c r="Q136" s="99">
        <f>IFERROR(__xludf.DUMMYFUNCTION("""COMPUTED_VALUE"""),418500.0)</f>
        <v>418500</v>
      </c>
      <c r="R136" s="96" t="str">
        <f>IFERROR(__xludf.DUMMYFUNCTION("""COMPUTED_VALUE"""),"Petty Cash")</f>
        <v>Petty Cash</v>
      </c>
      <c r="S136" s="99">
        <f>IFERROR(__xludf.DUMMYFUNCTION("""COMPUTED_VALUE"""),0.0)</f>
        <v>0</v>
      </c>
      <c r="T136" s="99">
        <f>IFERROR(__xludf.DUMMYFUNCTION("""COMPUTED_VALUE"""),0.0)</f>
        <v>0</v>
      </c>
      <c r="U136" s="99">
        <f>IFERROR(__xludf.DUMMYFUNCTION("""COMPUTED_VALUE"""),0.0)</f>
        <v>0</v>
      </c>
      <c r="V136" s="99">
        <f>IFERROR(__xludf.DUMMYFUNCTION("""COMPUTED_VALUE"""),418500.0)</f>
        <v>418500</v>
      </c>
      <c r="W136" s="99">
        <f>IFERROR(__xludf.DUMMYFUNCTION("""COMPUTED_VALUE"""),0.0)</f>
        <v>0</v>
      </c>
    </row>
    <row r="137">
      <c r="N137" s="98">
        <f>IFERROR(__xludf.DUMMYFUNCTION("""COMPUTED_VALUE"""),44034.0)</f>
        <v>44034</v>
      </c>
      <c r="O137" s="96" t="str">
        <f>IFERROR(__xludf.DUMMYFUNCTION("""COMPUTED_VALUE"""),"MANAGER")</f>
        <v>MANAGER</v>
      </c>
      <c r="P137" s="96" t="str">
        <f>IFERROR(__xludf.DUMMYFUNCTION("""COMPUTED_VALUE"""),"CASH-IN")</f>
        <v>CASH-IN</v>
      </c>
      <c r="Q137" s="99">
        <f>IFERROR(__xludf.DUMMYFUNCTION("""COMPUTED_VALUE"""),1.134828E7)</f>
        <v>11348280</v>
      </c>
      <c r="R137" s="96" t="str">
        <f>IFERROR(__xludf.DUMMYFUNCTION("""COMPUTED_VALUE"""),"From Bank")</f>
        <v>From Bank</v>
      </c>
      <c r="S137" s="99">
        <f>IFERROR(__xludf.DUMMYFUNCTION("""COMPUTED_VALUE"""),0.0)</f>
        <v>0</v>
      </c>
      <c r="T137" s="99">
        <f>IFERROR(__xludf.DUMMYFUNCTION("""COMPUTED_VALUE"""),0.0)</f>
        <v>0</v>
      </c>
      <c r="U137" s="99">
        <f>IFERROR(__xludf.DUMMYFUNCTION("""COMPUTED_VALUE"""),1.134828E7)</f>
        <v>11348280</v>
      </c>
      <c r="V137" s="99">
        <f>IFERROR(__xludf.DUMMYFUNCTION("""COMPUTED_VALUE"""),0.0)</f>
        <v>0</v>
      </c>
      <c r="W137" s="99">
        <f>IFERROR(__xludf.DUMMYFUNCTION("""COMPUTED_VALUE"""),0.0)</f>
        <v>0</v>
      </c>
    </row>
    <row r="138">
      <c r="N138" s="98">
        <f>IFERROR(__xludf.DUMMYFUNCTION("""COMPUTED_VALUE"""),44029.0)</f>
        <v>44029</v>
      </c>
      <c r="O138" s="96" t="str">
        <f>IFERROR(__xludf.DUMMYFUNCTION("""COMPUTED_VALUE"""),"MANAGER")</f>
        <v>MANAGER</v>
      </c>
      <c r="P138" s="96" t="str">
        <f>IFERROR(__xludf.DUMMYFUNCTION("""COMPUTED_VALUE"""),"CASH-IN")</f>
        <v>CASH-IN</v>
      </c>
      <c r="Q138" s="99">
        <f>IFERROR(__xludf.DUMMYFUNCTION("""COMPUTED_VALUE"""),29000.0)</f>
        <v>29000</v>
      </c>
      <c r="R138" s="96" t="str">
        <f>IFERROR(__xludf.DUMMYFUNCTION("""COMPUTED_VALUE"""),"From Bank")</f>
        <v>From Bank</v>
      </c>
      <c r="S138" s="99">
        <f>IFERROR(__xludf.DUMMYFUNCTION("""COMPUTED_VALUE"""),0.0)</f>
        <v>0</v>
      </c>
      <c r="T138" s="99">
        <f>IFERROR(__xludf.DUMMYFUNCTION("""COMPUTED_VALUE"""),0.0)</f>
        <v>0</v>
      </c>
      <c r="U138" s="99">
        <f>IFERROR(__xludf.DUMMYFUNCTION("""COMPUTED_VALUE"""),29000.0)</f>
        <v>29000</v>
      </c>
      <c r="V138" s="99">
        <f>IFERROR(__xludf.DUMMYFUNCTION("""COMPUTED_VALUE"""),0.0)</f>
        <v>0</v>
      </c>
      <c r="W138" s="99">
        <f>IFERROR(__xludf.DUMMYFUNCTION("""COMPUTED_VALUE"""),0.0)</f>
        <v>0</v>
      </c>
    </row>
    <row r="139">
      <c r="N139" s="98">
        <f>IFERROR(__xludf.DUMMYFUNCTION("""COMPUTED_VALUE"""),44030.0)</f>
        <v>44030</v>
      </c>
      <c r="O139" s="96" t="str">
        <f>IFERROR(__xludf.DUMMYFUNCTION("""COMPUTED_VALUE"""),"MANAGER")</f>
        <v>MANAGER</v>
      </c>
      <c r="P139" s="96" t="str">
        <f>IFERROR(__xludf.DUMMYFUNCTION("""COMPUTED_VALUE"""),"CASH-IN")</f>
        <v>CASH-IN</v>
      </c>
      <c r="Q139" s="99">
        <f>IFERROR(__xludf.DUMMYFUNCTION("""COMPUTED_VALUE"""),83160.0)</f>
        <v>83160</v>
      </c>
      <c r="R139" s="96" t="str">
        <f>IFERROR(__xludf.DUMMYFUNCTION("""COMPUTED_VALUE"""),"From Bank")</f>
        <v>From Bank</v>
      </c>
      <c r="S139" s="99">
        <f>IFERROR(__xludf.DUMMYFUNCTION("""COMPUTED_VALUE"""),0.0)</f>
        <v>0</v>
      </c>
      <c r="T139" s="99">
        <f>IFERROR(__xludf.DUMMYFUNCTION("""COMPUTED_VALUE"""),0.0)</f>
        <v>0</v>
      </c>
      <c r="U139" s="99">
        <f>IFERROR(__xludf.DUMMYFUNCTION("""COMPUTED_VALUE"""),83160.0)</f>
        <v>83160</v>
      </c>
      <c r="V139" s="99">
        <f>IFERROR(__xludf.DUMMYFUNCTION("""COMPUTED_VALUE"""),0.0)</f>
        <v>0</v>
      </c>
      <c r="W139" s="99">
        <f>IFERROR(__xludf.DUMMYFUNCTION("""COMPUTED_VALUE"""),0.0)</f>
        <v>0</v>
      </c>
    </row>
    <row r="140">
      <c r="N140" s="98">
        <f>IFERROR(__xludf.DUMMYFUNCTION("""COMPUTED_VALUE"""),44032.0)</f>
        <v>44032</v>
      </c>
      <c r="O140" s="96" t="str">
        <f>IFERROR(__xludf.DUMMYFUNCTION("""COMPUTED_VALUE"""),"BLESSING AYUK")</f>
        <v>BLESSING AYUK</v>
      </c>
      <c r="P140" s="96" t="str">
        <f>IFERROR(__xludf.DUMMYFUNCTION("""COMPUTED_VALUE"""),"CASH COLLECTED")</f>
        <v>CASH COLLECTED</v>
      </c>
      <c r="Q140" s="99">
        <f>IFERROR(__xludf.DUMMYFUNCTION("""COMPUTED_VALUE"""),145000.0)</f>
        <v>145000</v>
      </c>
      <c r="R140" s="96" t="str">
        <f>IFERROR(__xludf.DUMMYFUNCTION("""COMPUTED_VALUE"""),"General Expenses")</f>
        <v>General Expenses</v>
      </c>
      <c r="S140" s="99">
        <f>IFERROR(__xludf.DUMMYFUNCTION("""COMPUTED_VALUE"""),0.0)</f>
        <v>0</v>
      </c>
      <c r="T140" s="99">
        <f>IFERROR(__xludf.DUMMYFUNCTION("""COMPUTED_VALUE"""),145000.0)</f>
        <v>145000</v>
      </c>
      <c r="U140" s="99">
        <f>IFERROR(__xludf.DUMMYFUNCTION("""COMPUTED_VALUE"""),0.0)</f>
        <v>0</v>
      </c>
      <c r="V140" s="99">
        <f>IFERROR(__xludf.DUMMYFUNCTION("""COMPUTED_VALUE"""),0.0)</f>
        <v>0</v>
      </c>
      <c r="W140" s="99">
        <f>IFERROR(__xludf.DUMMYFUNCTION("""COMPUTED_VALUE"""),0.0)</f>
        <v>0</v>
      </c>
    </row>
    <row r="141">
      <c r="N141" s="98">
        <f>IFERROR(__xludf.DUMMYFUNCTION("""COMPUTED_VALUE"""),44033.0)</f>
        <v>44033</v>
      </c>
      <c r="O141" s="96" t="str">
        <f>IFERROR(__xludf.DUMMYFUNCTION("""COMPUTED_VALUE"""),"MANAGER")</f>
        <v>MANAGER</v>
      </c>
      <c r="P141" s="96" t="str">
        <f>IFERROR(__xludf.DUMMYFUNCTION("""COMPUTED_VALUE"""),"CASH-IN")</f>
        <v>CASH-IN</v>
      </c>
      <c r="Q141" s="99">
        <f>IFERROR(__xludf.DUMMYFUNCTION("""COMPUTED_VALUE"""),884520.0)</f>
        <v>884520</v>
      </c>
      <c r="R141" s="96" t="str">
        <f>IFERROR(__xludf.DUMMYFUNCTION("""COMPUTED_VALUE"""),"From Bank")</f>
        <v>From Bank</v>
      </c>
      <c r="S141" s="99">
        <f>IFERROR(__xludf.DUMMYFUNCTION("""COMPUTED_VALUE"""),0.0)</f>
        <v>0</v>
      </c>
      <c r="T141" s="99">
        <f>IFERROR(__xludf.DUMMYFUNCTION("""COMPUTED_VALUE"""),0.0)</f>
        <v>0</v>
      </c>
      <c r="U141" s="99">
        <f>IFERROR(__xludf.DUMMYFUNCTION("""COMPUTED_VALUE"""),884520.0)</f>
        <v>884520</v>
      </c>
      <c r="V141" s="99">
        <f>IFERROR(__xludf.DUMMYFUNCTION("""COMPUTED_VALUE"""),0.0)</f>
        <v>0</v>
      </c>
      <c r="W141" s="99">
        <f>IFERROR(__xludf.DUMMYFUNCTION("""COMPUTED_VALUE"""),0.0)</f>
        <v>0</v>
      </c>
    </row>
    <row r="142">
      <c r="N142" s="98">
        <f>IFERROR(__xludf.DUMMYFUNCTION("""COMPUTED_VALUE"""),44032.0)</f>
        <v>44032</v>
      </c>
      <c r="O142" s="96" t="str">
        <f>IFERROR(__xludf.DUMMYFUNCTION("""COMPUTED_VALUE"""),"BLESSING AYUK")</f>
        <v>BLESSING AYUK</v>
      </c>
      <c r="P142" s="96" t="str">
        <f>IFERROR(__xludf.DUMMYFUNCTION("""COMPUTED_VALUE"""),"CASH COLLECTED")</f>
        <v>CASH COLLECTED</v>
      </c>
      <c r="Q142" s="99">
        <f>IFERROR(__xludf.DUMMYFUNCTION("""COMPUTED_VALUE"""),145000.0)</f>
        <v>145000</v>
      </c>
      <c r="R142" s="96" t="str">
        <f>IFERROR(__xludf.DUMMYFUNCTION("""COMPUTED_VALUE"""),"Petty Cash")</f>
        <v>Petty Cash</v>
      </c>
      <c r="S142" s="99">
        <f>IFERROR(__xludf.DUMMYFUNCTION("""COMPUTED_VALUE"""),0.0)</f>
        <v>0</v>
      </c>
      <c r="T142" s="99">
        <f>IFERROR(__xludf.DUMMYFUNCTION("""COMPUTED_VALUE"""),0.0)</f>
        <v>0</v>
      </c>
      <c r="U142" s="99">
        <f>IFERROR(__xludf.DUMMYFUNCTION("""COMPUTED_VALUE"""),0.0)</f>
        <v>0</v>
      </c>
      <c r="V142" s="99">
        <f>IFERROR(__xludf.DUMMYFUNCTION("""COMPUTED_VALUE"""),145000.0)</f>
        <v>145000</v>
      </c>
      <c r="W142" s="99">
        <f>IFERROR(__xludf.DUMMYFUNCTION("""COMPUTED_VALUE"""),0.0)</f>
        <v>0</v>
      </c>
    </row>
    <row r="143">
      <c r="N143" s="98">
        <f>IFERROR(__xludf.DUMMYFUNCTION("""COMPUTED_VALUE"""),44035.0)</f>
        <v>44035</v>
      </c>
      <c r="O143" s="96" t="str">
        <f>IFERROR(__xludf.DUMMYFUNCTION("""COMPUTED_VALUE"""),"OTU KOKO KEIBO")</f>
        <v>OTU KOKO KEIBO</v>
      </c>
      <c r="P143" s="96" t="str">
        <f>IFERROR(__xludf.DUMMYFUNCTION("""COMPUTED_VALUE"""),"Transportation")</f>
        <v>Transportation</v>
      </c>
      <c r="Q143" s="99">
        <f>IFERROR(__xludf.DUMMYFUNCTION("""COMPUTED_VALUE"""),600000.0)</f>
        <v>600000</v>
      </c>
      <c r="R143" s="96" t="str">
        <f>IFERROR(__xludf.DUMMYFUNCTION("""COMPUTED_VALUE"""),"Prefinance")</f>
        <v>Prefinance</v>
      </c>
      <c r="S143" s="99">
        <f>IFERROR(__xludf.DUMMYFUNCTION("""COMPUTED_VALUE"""),0.0)</f>
        <v>0</v>
      </c>
      <c r="T143" s="99">
        <f>IFERROR(__xludf.DUMMYFUNCTION("""COMPUTED_VALUE"""),0.0)</f>
        <v>0</v>
      </c>
      <c r="U143" s="99">
        <f>IFERROR(__xludf.DUMMYFUNCTION("""COMPUTED_VALUE"""),0.0)</f>
        <v>0</v>
      </c>
      <c r="V143" s="99">
        <f>IFERROR(__xludf.DUMMYFUNCTION("""COMPUTED_VALUE"""),0.0)</f>
        <v>0</v>
      </c>
      <c r="W143" s="99">
        <f>IFERROR(__xludf.DUMMYFUNCTION("""COMPUTED_VALUE"""),0.0)</f>
        <v>0</v>
      </c>
    </row>
    <row r="144">
      <c r="N144" s="98">
        <f>IFERROR(__xludf.DUMMYFUNCTION("""COMPUTED_VALUE"""),44035.0)</f>
        <v>44035</v>
      </c>
      <c r="O144" s="96" t="str">
        <f>IFERROR(__xludf.DUMMYFUNCTION("""COMPUTED_VALUE"""),"REIMON ALABA")</f>
        <v>REIMON ALABA</v>
      </c>
      <c r="P144" s="96" t="str">
        <f>IFERROR(__xludf.DUMMYFUNCTION("""COMPUTED_VALUE"""),"ADVANCE")</f>
        <v>ADVANCE</v>
      </c>
      <c r="Q144" s="99">
        <f>IFERROR(__xludf.DUMMYFUNCTION("""COMPUTED_VALUE"""),150000.0)</f>
        <v>150000</v>
      </c>
      <c r="R144" s="96" t="str">
        <f>IFERROR(__xludf.DUMMYFUNCTION("""COMPUTED_VALUE"""),"Prefinance")</f>
        <v>Prefinance</v>
      </c>
      <c r="S144" s="99">
        <f>IFERROR(__xludf.DUMMYFUNCTION("""COMPUTED_VALUE"""),0.0)</f>
        <v>0</v>
      </c>
      <c r="T144" s="99">
        <f>IFERROR(__xludf.DUMMYFUNCTION("""COMPUTED_VALUE"""),0.0)</f>
        <v>0</v>
      </c>
      <c r="U144" s="99">
        <f>IFERROR(__xludf.DUMMYFUNCTION("""COMPUTED_VALUE"""),0.0)</f>
        <v>0</v>
      </c>
      <c r="V144" s="99">
        <f>IFERROR(__xludf.DUMMYFUNCTION("""COMPUTED_VALUE"""),0.0)</f>
        <v>0</v>
      </c>
      <c r="W144" s="99">
        <f>IFERROR(__xludf.DUMMYFUNCTION("""COMPUTED_VALUE"""),0.0)</f>
        <v>0</v>
      </c>
    </row>
    <row r="145">
      <c r="N145" s="98">
        <f>IFERROR(__xludf.DUMMYFUNCTION("""COMPUTED_VALUE"""),44035.0)</f>
        <v>44035</v>
      </c>
      <c r="O145" s="96" t="str">
        <f>IFERROR(__xludf.DUMMYFUNCTION("""COMPUTED_VALUE"""),"LABOUR  BOY")</f>
        <v>LABOUR  BOY</v>
      </c>
      <c r="P145" s="96" t="str">
        <f>IFERROR(__xludf.DUMMYFUNCTION("""COMPUTED_VALUE"""),"UPKEEP")</f>
        <v>UPKEEP</v>
      </c>
      <c r="Q145" s="99">
        <f>IFERROR(__xludf.DUMMYFUNCTION("""COMPUTED_VALUE"""),1500.0)</f>
        <v>1500</v>
      </c>
      <c r="R145" s="96" t="str">
        <f>IFERROR(__xludf.DUMMYFUNCTION("""COMPUTED_VALUE"""),"General Expenses")</f>
        <v>General Expenses</v>
      </c>
      <c r="S145" s="99">
        <f>IFERROR(__xludf.DUMMYFUNCTION("""COMPUTED_VALUE"""),0.0)</f>
        <v>0</v>
      </c>
      <c r="T145" s="99">
        <f>IFERROR(__xludf.DUMMYFUNCTION("""COMPUTED_VALUE"""),1500.0)</f>
        <v>1500</v>
      </c>
      <c r="U145" s="99">
        <f>IFERROR(__xludf.DUMMYFUNCTION("""COMPUTED_VALUE"""),0.0)</f>
        <v>0</v>
      </c>
      <c r="V145" s="99">
        <f>IFERROR(__xludf.DUMMYFUNCTION("""COMPUTED_VALUE"""),0.0)</f>
        <v>0</v>
      </c>
      <c r="W145" s="99">
        <f>IFERROR(__xludf.DUMMYFUNCTION("""COMPUTED_VALUE"""),0.0)</f>
        <v>0</v>
      </c>
    </row>
    <row r="146">
      <c r="N146" s="98">
        <f>IFERROR(__xludf.DUMMYFUNCTION("""COMPUTED_VALUE"""),44035.0)</f>
        <v>44035</v>
      </c>
      <c r="O146" s="96" t="str">
        <f>IFERROR(__xludf.DUMMYFUNCTION("""COMPUTED_VALUE"""),"MANAGER")</f>
        <v>MANAGER</v>
      </c>
      <c r="P146" s="96" t="str">
        <f>IFERROR(__xludf.DUMMYFUNCTION("""COMPUTED_VALUE"""),"UPKEEP")</f>
        <v>UPKEEP</v>
      </c>
      <c r="Q146" s="99">
        <f>IFERROR(__xludf.DUMMYFUNCTION("""COMPUTED_VALUE"""),1500.0)</f>
        <v>1500</v>
      </c>
      <c r="R146" s="96" t="str">
        <f>IFERROR(__xludf.DUMMYFUNCTION("""COMPUTED_VALUE"""),"General Expenses")</f>
        <v>General Expenses</v>
      </c>
      <c r="S146" s="99">
        <f>IFERROR(__xludf.DUMMYFUNCTION("""COMPUTED_VALUE"""),0.0)</f>
        <v>0</v>
      </c>
      <c r="T146" s="99">
        <f>IFERROR(__xludf.DUMMYFUNCTION("""COMPUTED_VALUE"""),1500.0)</f>
        <v>1500</v>
      </c>
      <c r="U146" s="99">
        <f>IFERROR(__xludf.DUMMYFUNCTION("""COMPUTED_VALUE"""),0.0)</f>
        <v>0</v>
      </c>
      <c r="V146" s="99">
        <f>IFERROR(__xludf.DUMMYFUNCTION("""COMPUTED_VALUE"""),0.0)</f>
        <v>0</v>
      </c>
      <c r="W146" s="99">
        <f>IFERROR(__xludf.DUMMYFUNCTION("""COMPUTED_VALUE"""),0.0)</f>
        <v>0</v>
      </c>
    </row>
    <row r="147">
      <c r="N147" s="98">
        <f>IFERROR(__xludf.DUMMYFUNCTION("""COMPUTED_VALUE"""),44035.0)</f>
        <v>44035</v>
      </c>
      <c r="O147" s="96" t="str">
        <f>IFERROR(__xludf.DUMMYFUNCTION("""COMPUTED_VALUE"""),"OLATUNDE STAFF")</f>
        <v>OLATUNDE STAFF</v>
      </c>
      <c r="P147" s="96" t="str">
        <f>IFERROR(__xludf.DUMMYFUNCTION("""COMPUTED_VALUE"""),"DIRECTOR ORDER")</f>
        <v>DIRECTOR ORDER</v>
      </c>
      <c r="Q147" s="99">
        <f>IFERROR(__xludf.DUMMYFUNCTION("""COMPUTED_VALUE"""),10000.0)</f>
        <v>10000</v>
      </c>
      <c r="R147" s="96" t="str">
        <f>IFERROR(__xludf.DUMMYFUNCTION("""COMPUTED_VALUE"""),"General Expenses")</f>
        <v>General Expenses</v>
      </c>
      <c r="S147" s="99">
        <f>IFERROR(__xludf.DUMMYFUNCTION("""COMPUTED_VALUE"""),0.0)</f>
        <v>0</v>
      </c>
      <c r="T147" s="99">
        <f>IFERROR(__xludf.DUMMYFUNCTION("""COMPUTED_VALUE"""),10000.0)</f>
        <v>10000</v>
      </c>
      <c r="U147" s="99">
        <f>IFERROR(__xludf.DUMMYFUNCTION("""COMPUTED_VALUE"""),0.0)</f>
        <v>0</v>
      </c>
      <c r="V147" s="99">
        <f>IFERROR(__xludf.DUMMYFUNCTION("""COMPUTED_VALUE"""),0.0)</f>
        <v>0</v>
      </c>
      <c r="W147" s="99">
        <f>IFERROR(__xludf.DUMMYFUNCTION("""COMPUTED_VALUE"""),0.0)</f>
        <v>0</v>
      </c>
    </row>
    <row r="148">
      <c r="N148" s="98">
        <f>IFERROR(__xludf.DUMMYFUNCTION("""COMPUTED_VALUE"""),44035.0)</f>
        <v>44035</v>
      </c>
      <c r="O148" s="96" t="str">
        <f>IFERROR(__xludf.DUMMYFUNCTION("""COMPUTED_VALUE"""),"DIRECTOR DAD")</f>
        <v>DIRECTOR DAD</v>
      </c>
      <c r="P148" s="96" t="str">
        <f>IFERROR(__xludf.DUMMYFUNCTION("""COMPUTED_VALUE"""),"SMALL SCALE PAYMENT")</f>
        <v>SMALL SCALE PAYMENT</v>
      </c>
      <c r="Q148" s="99">
        <f>IFERROR(__xludf.DUMMYFUNCTION("""COMPUTED_VALUE"""),161000.0)</f>
        <v>161000</v>
      </c>
      <c r="R148" s="96" t="str">
        <f>IFERROR(__xludf.DUMMYFUNCTION("""COMPUTED_VALUE"""),"General Expenses")</f>
        <v>General Expenses</v>
      </c>
      <c r="S148" s="99">
        <f>IFERROR(__xludf.DUMMYFUNCTION("""COMPUTED_VALUE"""),0.0)</f>
        <v>0</v>
      </c>
      <c r="T148" s="99">
        <f>IFERROR(__xludf.DUMMYFUNCTION("""COMPUTED_VALUE"""),161000.0)</f>
        <v>161000</v>
      </c>
      <c r="U148" s="99">
        <f>IFERROR(__xludf.DUMMYFUNCTION("""COMPUTED_VALUE"""),0.0)</f>
        <v>0</v>
      </c>
      <c r="V148" s="99">
        <f>IFERROR(__xludf.DUMMYFUNCTION("""COMPUTED_VALUE"""),0.0)</f>
        <v>0</v>
      </c>
      <c r="W148" s="99">
        <f>IFERROR(__xludf.DUMMYFUNCTION("""COMPUTED_VALUE"""),0.0)</f>
        <v>0</v>
      </c>
    </row>
    <row r="149">
      <c r="N149" s="98">
        <f>IFERROR(__xludf.DUMMYFUNCTION("""COMPUTED_VALUE"""),44035.0)</f>
        <v>44035</v>
      </c>
      <c r="O149" s="96" t="str">
        <f>IFERROR(__xludf.DUMMYFUNCTION("""COMPUTED_VALUE"""),"BLESSING CHAPMAN")</f>
        <v>BLESSING CHAPMAN</v>
      </c>
      <c r="P149" s="96" t="str">
        <f>IFERROR(__xludf.DUMMYFUNCTION("""COMPUTED_VALUE"""),"CASH COLLECTED")</f>
        <v>CASH COLLECTED</v>
      </c>
      <c r="Q149" s="99">
        <f>IFERROR(__xludf.DUMMYFUNCTION("""COMPUTED_VALUE"""),174000.0)</f>
        <v>174000</v>
      </c>
      <c r="R149" s="96" t="str">
        <f>IFERROR(__xludf.DUMMYFUNCTION("""COMPUTED_VALUE"""),"Petty Cash")</f>
        <v>Petty Cash</v>
      </c>
      <c r="S149" s="99">
        <f>IFERROR(__xludf.DUMMYFUNCTION("""COMPUTED_VALUE"""),0.0)</f>
        <v>0</v>
      </c>
      <c r="T149" s="99">
        <f>IFERROR(__xludf.DUMMYFUNCTION("""COMPUTED_VALUE"""),0.0)</f>
        <v>0</v>
      </c>
      <c r="U149" s="99">
        <f>IFERROR(__xludf.DUMMYFUNCTION("""COMPUTED_VALUE"""),0.0)</f>
        <v>0</v>
      </c>
      <c r="V149" s="99">
        <f>IFERROR(__xludf.DUMMYFUNCTION("""COMPUTED_VALUE"""),174000.0)</f>
        <v>174000</v>
      </c>
      <c r="W149" s="99">
        <f>IFERROR(__xludf.DUMMYFUNCTION("""COMPUTED_VALUE"""),0.0)</f>
        <v>0</v>
      </c>
    </row>
    <row r="150">
      <c r="N150" s="98">
        <f>IFERROR(__xludf.DUMMYFUNCTION("""COMPUTED_VALUE"""),44035.0)</f>
        <v>44035</v>
      </c>
      <c r="O150" s="96" t="str">
        <f>IFERROR(__xludf.DUMMYFUNCTION("""COMPUTED_VALUE"""),"MANAGER")</f>
        <v>MANAGER</v>
      </c>
      <c r="P150" s="96" t="str">
        <f>IFERROR(__xludf.DUMMYFUNCTION("""COMPUTED_VALUE"""),"CASH-IN")</f>
        <v>CASH-IN</v>
      </c>
      <c r="Q150" s="99">
        <f>IFERROR(__xludf.DUMMYFUNCTION("""COMPUTED_VALUE"""),1000000.0)</f>
        <v>1000000</v>
      </c>
      <c r="R150" s="96" t="str">
        <f>IFERROR(__xludf.DUMMYFUNCTION("""COMPUTED_VALUE"""),"From Bank")</f>
        <v>From Bank</v>
      </c>
      <c r="S150" s="99">
        <f>IFERROR(__xludf.DUMMYFUNCTION("""COMPUTED_VALUE"""),0.0)</f>
        <v>0</v>
      </c>
      <c r="T150" s="99">
        <f>IFERROR(__xludf.DUMMYFUNCTION("""COMPUTED_VALUE"""),0.0)</f>
        <v>0</v>
      </c>
      <c r="U150" s="99">
        <f>IFERROR(__xludf.DUMMYFUNCTION("""COMPUTED_VALUE"""),1000000.0)</f>
        <v>1000000</v>
      </c>
      <c r="V150" s="99">
        <f>IFERROR(__xludf.DUMMYFUNCTION("""COMPUTED_VALUE"""),0.0)</f>
        <v>0</v>
      </c>
      <c r="W150" s="99">
        <f>IFERROR(__xludf.DUMMYFUNCTION("""COMPUTED_VALUE"""),0.0)</f>
        <v>0</v>
      </c>
    </row>
    <row r="151">
      <c r="N151" s="98">
        <f>IFERROR(__xludf.DUMMYFUNCTION("""COMPUTED_VALUE"""),44036.0)</f>
        <v>44036</v>
      </c>
      <c r="O151" s="96" t="str">
        <f>IFERROR(__xludf.DUMMYFUNCTION("""COMPUTED_VALUE"""),"LYDIA HNSON ")</f>
        <v>LYDIA HNSON </v>
      </c>
      <c r="P151" s="96" t="str">
        <f>IFERROR(__xludf.DUMMYFUNCTION("""COMPUTED_VALUE"""),"advance")</f>
        <v>advance</v>
      </c>
      <c r="Q151" s="99">
        <f>IFERROR(__xludf.DUMMYFUNCTION("""COMPUTED_VALUE"""),500000.0)</f>
        <v>500000</v>
      </c>
      <c r="R151" s="96" t="str">
        <f>IFERROR(__xludf.DUMMYFUNCTION("""COMPUTED_VALUE"""),"Prefinance")</f>
        <v>Prefinance</v>
      </c>
      <c r="S151" s="99">
        <f>IFERROR(__xludf.DUMMYFUNCTION("""COMPUTED_VALUE"""),0.0)</f>
        <v>0</v>
      </c>
      <c r="T151" s="99">
        <f>IFERROR(__xludf.DUMMYFUNCTION("""COMPUTED_VALUE"""),0.0)</f>
        <v>0</v>
      </c>
      <c r="U151" s="99">
        <f>IFERROR(__xludf.DUMMYFUNCTION("""COMPUTED_VALUE"""),0.0)</f>
        <v>0</v>
      </c>
      <c r="V151" s="99">
        <f>IFERROR(__xludf.DUMMYFUNCTION("""COMPUTED_VALUE"""),0.0)</f>
        <v>0</v>
      </c>
      <c r="W151" s="99">
        <f>IFERROR(__xludf.DUMMYFUNCTION("""COMPUTED_VALUE"""),0.0)</f>
        <v>0</v>
      </c>
    </row>
    <row r="152">
      <c r="N152" s="98">
        <f>IFERROR(__xludf.DUMMYFUNCTION("""COMPUTED_VALUE"""),44036.0)</f>
        <v>44036</v>
      </c>
      <c r="O152" s="96" t="str">
        <f>IFERROR(__xludf.DUMMYFUNCTION("""COMPUTED_VALUE"""),"DIRECTOR")</f>
        <v>DIRECTOR</v>
      </c>
      <c r="P152" s="96" t="str">
        <f>IFERROR(__xludf.DUMMYFUNCTION("""COMPUTED_VALUE"""),"Personal Use")</f>
        <v>Personal Use</v>
      </c>
      <c r="Q152" s="99">
        <f>IFERROR(__xludf.DUMMYFUNCTION("""COMPUTED_VALUE"""),20000.0)</f>
        <v>20000</v>
      </c>
      <c r="R152" s="96" t="str">
        <f>IFERROR(__xludf.DUMMYFUNCTION("""COMPUTED_VALUE"""),"General Expenses")</f>
        <v>General Expenses</v>
      </c>
      <c r="S152" s="99">
        <f>IFERROR(__xludf.DUMMYFUNCTION("""COMPUTED_VALUE"""),0.0)</f>
        <v>0</v>
      </c>
      <c r="T152" s="99">
        <f>IFERROR(__xludf.DUMMYFUNCTION("""COMPUTED_VALUE"""),20000.0)</f>
        <v>20000</v>
      </c>
      <c r="U152" s="99">
        <f>IFERROR(__xludf.DUMMYFUNCTION("""COMPUTED_VALUE"""),0.0)</f>
        <v>0</v>
      </c>
      <c r="V152" s="99">
        <f>IFERROR(__xludf.DUMMYFUNCTION("""COMPUTED_VALUE"""),0.0)</f>
        <v>0</v>
      </c>
      <c r="W152" s="99">
        <f>IFERROR(__xludf.DUMMYFUNCTION("""COMPUTED_VALUE"""),0.0)</f>
        <v>0</v>
      </c>
    </row>
    <row r="153">
      <c r="N153" s="98">
        <f>IFERROR(__xludf.DUMMYFUNCTION("""COMPUTED_VALUE"""),44036.0)</f>
        <v>44036</v>
      </c>
      <c r="O153" s="96" t="str">
        <f>IFERROR(__xludf.DUMMYFUNCTION("""COMPUTED_VALUE"""),"MANAGER")</f>
        <v>MANAGER</v>
      </c>
      <c r="P153" s="96" t="str">
        <f>IFERROR(__xludf.DUMMYFUNCTION("""COMPUTED_VALUE"""),"FUEL")</f>
        <v>FUEL</v>
      </c>
      <c r="Q153" s="99">
        <f>IFERROR(__xludf.DUMMYFUNCTION("""COMPUTED_VALUE"""),1000.0)</f>
        <v>1000</v>
      </c>
      <c r="R153" s="96" t="str">
        <f>IFERROR(__xludf.DUMMYFUNCTION("""COMPUTED_VALUE"""),"General Expenses")</f>
        <v>General Expenses</v>
      </c>
      <c r="S153" s="99">
        <f>IFERROR(__xludf.DUMMYFUNCTION("""COMPUTED_VALUE"""),0.0)</f>
        <v>0</v>
      </c>
      <c r="T153" s="99">
        <f>IFERROR(__xludf.DUMMYFUNCTION("""COMPUTED_VALUE"""),1000.0)</f>
        <v>1000</v>
      </c>
      <c r="U153" s="99">
        <f>IFERROR(__xludf.DUMMYFUNCTION("""COMPUTED_VALUE"""),0.0)</f>
        <v>0</v>
      </c>
      <c r="V153" s="99">
        <f>IFERROR(__xludf.DUMMYFUNCTION("""COMPUTED_VALUE"""),0.0)</f>
        <v>0</v>
      </c>
      <c r="W153" s="99">
        <f>IFERROR(__xludf.DUMMYFUNCTION("""COMPUTED_VALUE"""),0.0)</f>
        <v>0</v>
      </c>
    </row>
    <row r="154">
      <c r="N154" s="98">
        <f>IFERROR(__xludf.DUMMYFUNCTION("""COMPUTED_VALUE"""),44036.0)</f>
        <v>44036</v>
      </c>
      <c r="O154" s="96" t="str">
        <f>IFERROR(__xludf.DUMMYFUNCTION("""COMPUTED_VALUE"""),"BLESSING CHAPMAN")</f>
        <v>BLESSING CHAPMAN</v>
      </c>
      <c r="P154" s="96" t="str">
        <f>IFERROR(__xludf.DUMMYFUNCTION("""COMPUTED_VALUE"""),"STATIONERIES")</f>
        <v>STATIONERIES</v>
      </c>
      <c r="Q154" s="99">
        <f>IFERROR(__xludf.DUMMYFUNCTION("""COMPUTED_VALUE"""),6000.0)</f>
        <v>6000</v>
      </c>
      <c r="R154" s="96" t="str">
        <f>IFERROR(__xludf.DUMMYFUNCTION("""COMPUTED_VALUE"""),"General Expenses")</f>
        <v>General Expenses</v>
      </c>
      <c r="S154" s="99">
        <f>IFERROR(__xludf.DUMMYFUNCTION("""COMPUTED_VALUE"""),0.0)</f>
        <v>0</v>
      </c>
      <c r="T154" s="99">
        <f>IFERROR(__xludf.DUMMYFUNCTION("""COMPUTED_VALUE"""),6000.0)</f>
        <v>6000</v>
      </c>
      <c r="U154" s="99">
        <f>IFERROR(__xludf.DUMMYFUNCTION("""COMPUTED_VALUE"""),0.0)</f>
        <v>0</v>
      </c>
      <c r="V154" s="99">
        <f>IFERROR(__xludf.DUMMYFUNCTION("""COMPUTED_VALUE"""),0.0)</f>
        <v>0</v>
      </c>
      <c r="W154" s="99">
        <f>IFERROR(__xludf.DUMMYFUNCTION("""COMPUTED_VALUE"""),0.0)</f>
        <v>0</v>
      </c>
    </row>
    <row r="155">
      <c r="N155" s="98">
        <f>IFERROR(__xludf.DUMMYFUNCTION("""COMPUTED_VALUE"""),44036.0)</f>
        <v>44036</v>
      </c>
      <c r="O155" s="96" t="str">
        <f>IFERROR(__xludf.DUMMYFUNCTION("""COMPUTED_VALUE"""),"OBI-DRIVER")</f>
        <v>OBI-DRIVER</v>
      </c>
      <c r="P155" s="96" t="str">
        <f>IFERROR(__xludf.DUMMYFUNCTION("""COMPUTED_VALUE"""),"Fuel")</f>
        <v>Fuel</v>
      </c>
      <c r="Q155" s="99">
        <f>IFERROR(__xludf.DUMMYFUNCTION("""COMPUTED_VALUE"""),4000.0)</f>
        <v>4000</v>
      </c>
      <c r="R155" s="96" t="str">
        <f>IFERROR(__xludf.DUMMYFUNCTION("""COMPUTED_VALUE"""),"General Expenses")</f>
        <v>General Expenses</v>
      </c>
      <c r="S155" s="99">
        <f>IFERROR(__xludf.DUMMYFUNCTION("""COMPUTED_VALUE"""),0.0)</f>
        <v>0</v>
      </c>
      <c r="T155" s="99">
        <f>IFERROR(__xludf.DUMMYFUNCTION("""COMPUTED_VALUE"""),4000.0)</f>
        <v>4000</v>
      </c>
      <c r="U155" s="99">
        <f>IFERROR(__xludf.DUMMYFUNCTION("""COMPUTED_VALUE"""),0.0)</f>
        <v>0</v>
      </c>
      <c r="V155" s="99">
        <f>IFERROR(__xludf.DUMMYFUNCTION("""COMPUTED_VALUE"""),0.0)</f>
        <v>0</v>
      </c>
      <c r="W155" s="99">
        <f>IFERROR(__xludf.DUMMYFUNCTION("""COMPUTED_VALUE"""),0.0)</f>
        <v>0</v>
      </c>
    </row>
    <row r="156">
      <c r="N156" s="98">
        <f>IFERROR(__xludf.DUMMYFUNCTION("""COMPUTED_VALUE"""),44036.0)</f>
        <v>44036</v>
      </c>
      <c r="O156" s="96" t="str">
        <f>IFERROR(__xludf.DUMMYFUNCTION("""COMPUTED_VALUE"""),"MANAGER")</f>
        <v>MANAGER</v>
      </c>
      <c r="P156" s="96" t="str">
        <f>IFERROR(__xludf.DUMMYFUNCTION("""COMPUTED_VALUE"""),"Gas")</f>
        <v>Gas</v>
      </c>
      <c r="Q156" s="99">
        <f>IFERROR(__xludf.DUMMYFUNCTION("""COMPUTED_VALUE"""),10000.0)</f>
        <v>10000</v>
      </c>
      <c r="R156" s="96" t="str">
        <f>IFERROR(__xludf.DUMMYFUNCTION("""COMPUTED_VALUE"""),"General Expenses")</f>
        <v>General Expenses</v>
      </c>
      <c r="S156" s="99">
        <f>IFERROR(__xludf.DUMMYFUNCTION("""COMPUTED_VALUE"""),0.0)</f>
        <v>0</v>
      </c>
      <c r="T156" s="99">
        <f>IFERROR(__xludf.DUMMYFUNCTION("""COMPUTED_VALUE"""),10000.0)</f>
        <v>10000</v>
      </c>
      <c r="U156" s="99">
        <f>IFERROR(__xludf.DUMMYFUNCTION("""COMPUTED_VALUE"""),0.0)</f>
        <v>0</v>
      </c>
      <c r="V156" s="99">
        <f>IFERROR(__xludf.DUMMYFUNCTION("""COMPUTED_VALUE"""),0.0)</f>
        <v>0</v>
      </c>
      <c r="W156" s="99">
        <f>IFERROR(__xludf.DUMMYFUNCTION("""COMPUTED_VALUE"""),0.0)</f>
        <v>0</v>
      </c>
    </row>
    <row r="157">
      <c r="N157" s="98">
        <f>IFERROR(__xludf.DUMMYFUNCTION("""COMPUTED_VALUE"""),44036.0)</f>
        <v>44036</v>
      </c>
      <c r="O157" s="96" t="str">
        <f>IFERROR(__xludf.DUMMYFUNCTION("""COMPUTED_VALUE"""),"MANAGER")</f>
        <v>MANAGER</v>
      </c>
      <c r="P157" s="96" t="str">
        <f>IFERROR(__xludf.DUMMYFUNCTION("""COMPUTED_VALUE"""),"Airtime")</f>
        <v>Airtime</v>
      </c>
      <c r="Q157" s="99">
        <f>IFERROR(__xludf.DUMMYFUNCTION("""COMPUTED_VALUE"""),500.0)</f>
        <v>500</v>
      </c>
      <c r="R157" s="96" t="str">
        <f>IFERROR(__xludf.DUMMYFUNCTION("""COMPUTED_VALUE"""),"General Expenses")</f>
        <v>General Expenses</v>
      </c>
      <c r="S157" s="99">
        <f>IFERROR(__xludf.DUMMYFUNCTION("""COMPUTED_VALUE"""),0.0)</f>
        <v>0</v>
      </c>
      <c r="T157" s="99">
        <f>IFERROR(__xludf.DUMMYFUNCTION("""COMPUTED_VALUE"""),500.0)</f>
        <v>500</v>
      </c>
      <c r="U157" s="99">
        <f>IFERROR(__xludf.DUMMYFUNCTION("""COMPUTED_VALUE"""),0.0)</f>
        <v>0</v>
      </c>
      <c r="V157" s="99">
        <f>IFERROR(__xludf.DUMMYFUNCTION("""COMPUTED_VALUE"""),0.0)</f>
        <v>0</v>
      </c>
      <c r="W157" s="99">
        <f>IFERROR(__xludf.DUMMYFUNCTION("""COMPUTED_VALUE"""),0.0)</f>
        <v>0</v>
      </c>
    </row>
    <row r="158">
      <c r="N158" s="98">
        <f>IFERROR(__xludf.DUMMYFUNCTION("""COMPUTED_VALUE"""),44036.0)</f>
        <v>44036</v>
      </c>
      <c r="O158" s="96" t="str">
        <f>IFERROR(__xludf.DUMMYFUNCTION("""COMPUTED_VALUE"""),"ESCORT PETER")</f>
        <v>ESCORT PETER</v>
      </c>
      <c r="P158" s="96" t="str">
        <f>IFERROR(__xludf.DUMMYFUNCTION("""COMPUTED_VALUE"""),"Excort fee")</f>
        <v>Excort fee</v>
      </c>
      <c r="Q158" s="99">
        <f>IFERROR(__xludf.DUMMYFUNCTION("""COMPUTED_VALUE"""),32000.0)</f>
        <v>32000</v>
      </c>
      <c r="R158" s="96" t="str">
        <f>IFERROR(__xludf.DUMMYFUNCTION("""COMPUTED_VALUE"""),"General Expenses")</f>
        <v>General Expenses</v>
      </c>
      <c r="S158" s="99">
        <f>IFERROR(__xludf.DUMMYFUNCTION("""COMPUTED_VALUE"""),0.0)</f>
        <v>0</v>
      </c>
      <c r="T158" s="99">
        <f>IFERROR(__xludf.DUMMYFUNCTION("""COMPUTED_VALUE"""),32000.0)</f>
        <v>32000</v>
      </c>
      <c r="U158" s="99">
        <f>IFERROR(__xludf.DUMMYFUNCTION("""COMPUTED_VALUE"""),0.0)</f>
        <v>0</v>
      </c>
      <c r="V158" s="99">
        <f>IFERROR(__xludf.DUMMYFUNCTION("""COMPUTED_VALUE"""),0.0)</f>
        <v>0</v>
      </c>
      <c r="W158" s="99">
        <f>IFERROR(__xludf.DUMMYFUNCTION("""COMPUTED_VALUE"""),0.0)</f>
        <v>0</v>
      </c>
    </row>
    <row r="159">
      <c r="N159" s="98">
        <f>IFERROR(__xludf.DUMMYFUNCTION("""COMPUTED_VALUE"""),44036.0)</f>
        <v>44036</v>
      </c>
      <c r="O159" s="96" t="str">
        <f>IFERROR(__xludf.DUMMYFUNCTION("""COMPUTED_VALUE"""),"BLESSING CHAPMAN")</f>
        <v>BLESSING CHAPMAN</v>
      </c>
      <c r="P159" s="96" t="str">
        <f>IFERROR(__xludf.DUMMYFUNCTION("""COMPUTED_VALUE"""),"CASH COLLECTED")</f>
        <v>CASH COLLECTED</v>
      </c>
      <c r="Q159" s="99">
        <f>IFERROR(__xludf.DUMMYFUNCTION("""COMPUTED_VALUE"""),415570.0)</f>
        <v>415570</v>
      </c>
      <c r="R159" s="96" t="str">
        <f>IFERROR(__xludf.DUMMYFUNCTION("""COMPUTED_VALUE"""),"Petty Cash")</f>
        <v>Petty Cash</v>
      </c>
      <c r="S159" s="99">
        <f>IFERROR(__xludf.DUMMYFUNCTION("""COMPUTED_VALUE"""),0.0)</f>
        <v>0</v>
      </c>
      <c r="T159" s="99">
        <f>IFERROR(__xludf.DUMMYFUNCTION("""COMPUTED_VALUE"""),0.0)</f>
        <v>0</v>
      </c>
      <c r="U159" s="99">
        <f>IFERROR(__xludf.DUMMYFUNCTION("""COMPUTED_VALUE"""),0.0)</f>
        <v>0</v>
      </c>
      <c r="V159" s="99">
        <f>IFERROR(__xludf.DUMMYFUNCTION("""COMPUTED_VALUE"""),415570.0)</f>
        <v>415570</v>
      </c>
      <c r="W159" s="99">
        <f>IFERROR(__xludf.DUMMYFUNCTION("""COMPUTED_VALUE"""),0.0)</f>
        <v>0</v>
      </c>
    </row>
    <row r="160">
      <c r="N160" s="98">
        <f>IFERROR(__xludf.DUMMYFUNCTION("""COMPUTED_VALUE"""),44036.0)</f>
        <v>44036</v>
      </c>
      <c r="O160" s="96" t="str">
        <f>IFERROR(__xludf.DUMMYFUNCTION("""COMPUTED_VALUE"""),"MANAGER")</f>
        <v>MANAGER</v>
      </c>
      <c r="P160" s="96" t="str">
        <f>IFERROR(__xludf.DUMMYFUNCTION("""COMPUTED_VALUE"""),"CASH-IN")</f>
        <v>CASH-IN</v>
      </c>
      <c r="Q160" s="99">
        <f>IFERROR(__xludf.DUMMYFUNCTION("""COMPUTED_VALUE"""),500000.0)</f>
        <v>500000</v>
      </c>
      <c r="R160" s="96" t="str">
        <f>IFERROR(__xludf.DUMMYFUNCTION("""COMPUTED_VALUE"""),"From Bank")</f>
        <v>From Bank</v>
      </c>
      <c r="S160" s="99">
        <f>IFERROR(__xludf.DUMMYFUNCTION("""COMPUTED_VALUE"""),0.0)</f>
        <v>0</v>
      </c>
      <c r="T160" s="99">
        <f>IFERROR(__xludf.DUMMYFUNCTION("""COMPUTED_VALUE"""),0.0)</f>
        <v>0</v>
      </c>
      <c r="U160" s="99">
        <f>IFERROR(__xludf.DUMMYFUNCTION("""COMPUTED_VALUE"""),500000.0)</f>
        <v>500000</v>
      </c>
      <c r="V160" s="99">
        <f>IFERROR(__xludf.DUMMYFUNCTION("""COMPUTED_VALUE"""),0.0)</f>
        <v>0</v>
      </c>
      <c r="W160" s="99">
        <f>IFERROR(__xludf.DUMMYFUNCTION("""COMPUTED_VALUE"""),0.0)</f>
        <v>0</v>
      </c>
    </row>
    <row r="161">
      <c r="N161" s="98">
        <f>IFERROR(__xludf.DUMMYFUNCTION("""COMPUTED_VALUE"""),44036.0)</f>
        <v>44036</v>
      </c>
      <c r="O161" s="96" t="str">
        <f>IFERROR(__xludf.DUMMYFUNCTION("""COMPUTED_VALUE"""),"DIRECTOR")</f>
        <v>DIRECTOR</v>
      </c>
      <c r="P161" s="96" t="str">
        <f>IFERROR(__xludf.DUMMYFUNCTION("""COMPUTED_VALUE"""),"CASH-IN")</f>
        <v>CASH-IN</v>
      </c>
      <c r="Q161" s="99">
        <f>IFERROR(__xludf.DUMMYFUNCTION("""COMPUTED_VALUE"""),338070.0)</f>
        <v>338070</v>
      </c>
      <c r="R161" s="96" t="str">
        <f>IFERROR(__xludf.DUMMYFUNCTION("""COMPUTED_VALUE"""),"From Bank")</f>
        <v>From Bank</v>
      </c>
      <c r="S161" s="99">
        <f>IFERROR(__xludf.DUMMYFUNCTION("""COMPUTED_VALUE"""),0.0)</f>
        <v>0</v>
      </c>
      <c r="T161" s="99">
        <f>IFERROR(__xludf.DUMMYFUNCTION("""COMPUTED_VALUE"""),0.0)</f>
        <v>0</v>
      </c>
      <c r="U161" s="99">
        <f>IFERROR(__xludf.DUMMYFUNCTION("""COMPUTED_VALUE"""),338070.0)</f>
        <v>338070</v>
      </c>
      <c r="V161" s="99">
        <f>IFERROR(__xludf.DUMMYFUNCTION("""COMPUTED_VALUE"""),0.0)</f>
        <v>0</v>
      </c>
      <c r="W161" s="99">
        <f>IFERROR(__xludf.DUMMYFUNCTION("""COMPUTED_VALUE"""),0.0)</f>
        <v>0</v>
      </c>
    </row>
    <row r="162">
      <c r="N162" s="98">
        <f>IFERROR(__xludf.DUMMYFUNCTION("""COMPUTED_VALUE"""),44039.0)</f>
        <v>44039</v>
      </c>
      <c r="O162" s="96" t="str">
        <f>IFERROR(__xludf.DUMMYFUNCTION("""COMPUTED_VALUE"""),"MATIAT LOVE")</f>
        <v>MATIAT LOVE</v>
      </c>
      <c r="P162" s="96" t="str">
        <f>IFERROR(__xludf.DUMMYFUNCTION("""COMPUTED_VALUE"""),"Advance")</f>
        <v>Advance</v>
      </c>
      <c r="Q162" s="99">
        <f>IFERROR(__xludf.DUMMYFUNCTION("""COMPUTED_VALUE"""),50000.0)</f>
        <v>50000</v>
      </c>
      <c r="R162" s="96" t="str">
        <f>IFERROR(__xludf.DUMMYFUNCTION("""COMPUTED_VALUE"""),"Prefinance")</f>
        <v>Prefinance</v>
      </c>
      <c r="S162" s="99">
        <f>IFERROR(__xludf.DUMMYFUNCTION("""COMPUTED_VALUE"""),0.0)</f>
        <v>0</v>
      </c>
      <c r="T162" s="99">
        <f>IFERROR(__xludf.DUMMYFUNCTION("""COMPUTED_VALUE"""),0.0)</f>
        <v>0</v>
      </c>
      <c r="U162" s="99">
        <f>IFERROR(__xludf.DUMMYFUNCTION("""COMPUTED_VALUE"""),0.0)</f>
        <v>0</v>
      </c>
      <c r="V162" s="99">
        <f>IFERROR(__xludf.DUMMYFUNCTION("""COMPUTED_VALUE"""),0.0)</f>
        <v>0</v>
      </c>
      <c r="W162" s="99">
        <f>IFERROR(__xludf.DUMMYFUNCTION("""COMPUTED_VALUE"""),0.0)</f>
        <v>0</v>
      </c>
    </row>
    <row r="163">
      <c r="N163" s="98">
        <f>IFERROR(__xludf.DUMMYFUNCTION("""COMPUTED_VALUE"""),44039.0)</f>
        <v>44039</v>
      </c>
      <c r="O163" s="96" t="str">
        <f>IFERROR(__xludf.DUMMYFUNCTION("""COMPUTED_VALUE"""),"CONFIDENCE")</f>
        <v>CONFIDENCE</v>
      </c>
      <c r="P163" s="96" t="str">
        <f>IFERROR(__xludf.DUMMYFUNCTION("""COMPUTED_VALUE"""),"Advance")</f>
        <v>Advance</v>
      </c>
      <c r="Q163" s="99">
        <f>IFERROR(__xludf.DUMMYFUNCTION("""COMPUTED_VALUE"""),20000.0)</f>
        <v>20000</v>
      </c>
      <c r="R163" s="96" t="str">
        <f>IFERROR(__xludf.DUMMYFUNCTION("""COMPUTED_VALUE"""),"Prefinance")</f>
        <v>Prefinance</v>
      </c>
      <c r="S163" s="99">
        <f>IFERROR(__xludf.DUMMYFUNCTION("""COMPUTED_VALUE"""),0.0)</f>
        <v>0</v>
      </c>
      <c r="T163" s="99">
        <f>IFERROR(__xludf.DUMMYFUNCTION("""COMPUTED_VALUE"""),0.0)</f>
        <v>0</v>
      </c>
      <c r="U163" s="99">
        <f>IFERROR(__xludf.DUMMYFUNCTION("""COMPUTED_VALUE"""),0.0)</f>
        <v>0</v>
      </c>
      <c r="V163" s="99">
        <f>IFERROR(__xludf.DUMMYFUNCTION("""COMPUTED_VALUE"""),0.0)</f>
        <v>0</v>
      </c>
      <c r="W163" s="99">
        <f>IFERROR(__xludf.DUMMYFUNCTION("""COMPUTED_VALUE"""),0.0)</f>
        <v>0</v>
      </c>
    </row>
    <row r="164">
      <c r="N164" s="98">
        <f>IFERROR(__xludf.DUMMYFUNCTION("""COMPUTED_VALUE"""),44039.0)</f>
        <v>44039</v>
      </c>
      <c r="O164" s="96" t="str">
        <f>IFERROR(__xludf.DUMMYFUNCTION("""COMPUTED_VALUE"""),"ABANG. Edet")</f>
        <v>ABANG. Edet</v>
      </c>
      <c r="P164" s="96" t="str">
        <f>IFERROR(__xludf.DUMMYFUNCTION("""COMPUTED_VALUE"""),"Breaking")</f>
        <v>Breaking</v>
      </c>
      <c r="Q164" s="99">
        <f>IFERROR(__xludf.DUMMYFUNCTION("""COMPUTED_VALUE"""),1000.0)</f>
        <v>1000</v>
      </c>
      <c r="R164" s="96" t="str">
        <f>IFERROR(__xludf.DUMMYFUNCTION("""COMPUTED_VALUE"""),"Prefinance")</f>
        <v>Prefinance</v>
      </c>
      <c r="S164" s="99">
        <f>IFERROR(__xludf.DUMMYFUNCTION("""COMPUTED_VALUE"""),0.0)</f>
        <v>0</v>
      </c>
      <c r="T164" s="99">
        <f>IFERROR(__xludf.DUMMYFUNCTION("""COMPUTED_VALUE"""),0.0)</f>
        <v>0</v>
      </c>
      <c r="U164" s="99">
        <f>IFERROR(__xludf.DUMMYFUNCTION("""COMPUTED_VALUE"""),0.0)</f>
        <v>0</v>
      </c>
      <c r="V164" s="99">
        <f>IFERROR(__xludf.DUMMYFUNCTION("""COMPUTED_VALUE"""),0.0)</f>
        <v>0</v>
      </c>
      <c r="W164" s="99">
        <f>IFERROR(__xludf.DUMMYFUNCTION("""COMPUTED_VALUE"""),0.0)</f>
        <v>0</v>
      </c>
    </row>
    <row r="165">
      <c r="N165" s="98">
        <f>IFERROR(__xludf.DUMMYFUNCTION("""COMPUTED_VALUE"""),44039.0)</f>
        <v>44039</v>
      </c>
      <c r="O165" s="96" t="str">
        <f>IFERROR(__xludf.DUMMYFUNCTION("""COMPUTED_VALUE"""),"DIRECTOR")</f>
        <v>DIRECTOR</v>
      </c>
      <c r="P165" s="96" t="str">
        <f>IFERROR(__xludf.DUMMYFUNCTION("""COMPUTED_VALUE"""),"Personal Use")</f>
        <v>Personal Use</v>
      </c>
      <c r="Q165" s="99">
        <f>IFERROR(__xludf.DUMMYFUNCTION("""COMPUTED_VALUE"""),10000.0)</f>
        <v>10000</v>
      </c>
      <c r="R165" s="96" t="str">
        <f>IFERROR(__xludf.DUMMYFUNCTION("""COMPUTED_VALUE"""),"General Expenses")</f>
        <v>General Expenses</v>
      </c>
      <c r="S165" s="99">
        <f>IFERROR(__xludf.DUMMYFUNCTION("""COMPUTED_VALUE"""),0.0)</f>
        <v>0</v>
      </c>
      <c r="T165" s="99">
        <f>IFERROR(__xludf.DUMMYFUNCTION("""COMPUTED_VALUE"""),10000.0)</f>
        <v>10000</v>
      </c>
      <c r="U165" s="99">
        <f>IFERROR(__xludf.DUMMYFUNCTION("""COMPUTED_VALUE"""),0.0)</f>
        <v>0</v>
      </c>
      <c r="V165" s="99">
        <f>IFERROR(__xludf.DUMMYFUNCTION("""COMPUTED_VALUE"""),0.0)</f>
        <v>0</v>
      </c>
      <c r="W165" s="99">
        <f>IFERROR(__xludf.DUMMYFUNCTION("""COMPUTED_VALUE"""),0.0)</f>
        <v>0</v>
      </c>
    </row>
    <row r="166">
      <c r="N166" s="98">
        <f>IFERROR(__xludf.DUMMYFUNCTION("""COMPUTED_VALUE"""),44039.0)</f>
        <v>44039</v>
      </c>
      <c r="O166" s="96" t="str">
        <f>IFERROR(__xludf.DUMMYFUNCTION("""COMPUTED_VALUE"""),"MANAGER")</f>
        <v>MANAGER</v>
      </c>
      <c r="P166" s="96" t="str">
        <f>IFERROR(__xludf.DUMMYFUNCTION("""COMPUTED_VALUE"""),"gas")</f>
        <v>gas</v>
      </c>
      <c r="Q166" s="99">
        <f>IFERROR(__xludf.DUMMYFUNCTION("""COMPUTED_VALUE"""),10000.0)</f>
        <v>10000</v>
      </c>
      <c r="R166" s="96" t="str">
        <f>IFERROR(__xludf.DUMMYFUNCTION("""COMPUTED_VALUE"""),"General Expenses")</f>
        <v>General Expenses</v>
      </c>
      <c r="S166" s="99">
        <f>IFERROR(__xludf.DUMMYFUNCTION("""COMPUTED_VALUE"""),0.0)</f>
        <v>0</v>
      </c>
      <c r="T166" s="99">
        <f>IFERROR(__xludf.DUMMYFUNCTION("""COMPUTED_VALUE"""),10000.0)</f>
        <v>10000</v>
      </c>
      <c r="U166" s="99">
        <f>IFERROR(__xludf.DUMMYFUNCTION("""COMPUTED_VALUE"""),0.0)</f>
        <v>0</v>
      </c>
      <c r="V166" s="99">
        <f>IFERROR(__xludf.DUMMYFUNCTION("""COMPUTED_VALUE"""),0.0)</f>
        <v>0</v>
      </c>
      <c r="W166" s="99">
        <f>IFERROR(__xludf.DUMMYFUNCTION("""COMPUTED_VALUE"""),0.0)</f>
        <v>0</v>
      </c>
    </row>
    <row r="167">
      <c r="N167" s="98">
        <f>IFERROR(__xludf.DUMMYFUNCTION("""COMPUTED_VALUE"""),44039.0)</f>
        <v>44039</v>
      </c>
      <c r="O167" s="96" t="str">
        <f>IFERROR(__xludf.DUMMYFUNCTION("""COMPUTED_VALUE"""),"ANDY")</f>
        <v>ANDY</v>
      </c>
      <c r="P167" s="96" t="str">
        <f>IFERROR(__xludf.DUMMYFUNCTION("""COMPUTED_VALUE"""),"Transpotation")</f>
        <v>Transpotation</v>
      </c>
      <c r="Q167" s="99">
        <f>IFERROR(__xludf.DUMMYFUNCTION("""COMPUTED_VALUE"""),200.0)</f>
        <v>200</v>
      </c>
      <c r="R167" s="96" t="str">
        <f>IFERROR(__xludf.DUMMYFUNCTION("""COMPUTED_VALUE"""),"General Expenses")</f>
        <v>General Expenses</v>
      </c>
      <c r="S167" s="99">
        <f>IFERROR(__xludf.DUMMYFUNCTION("""COMPUTED_VALUE"""),0.0)</f>
        <v>0</v>
      </c>
      <c r="T167" s="99">
        <f>IFERROR(__xludf.DUMMYFUNCTION("""COMPUTED_VALUE"""),200.0)</f>
        <v>200</v>
      </c>
      <c r="U167" s="99">
        <f>IFERROR(__xludf.DUMMYFUNCTION("""COMPUTED_VALUE"""),0.0)</f>
        <v>0</v>
      </c>
      <c r="V167" s="99">
        <f>IFERROR(__xludf.DUMMYFUNCTION("""COMPUTED_VALUE"""),0.0)</f>
        <v>0</v>
      </c>
      <c r="W167" s="99">
        <f>IFERROR(__xludf.DUMMYFUNCTION("""COMPUTED_VALUE"""),0.0)</f>
        <v>0</v>
      </c>
    </row>
    <row r="168">
      <c r="N168" s="98">
        <f>IFERROR(__xludf.DUMMYFUNCTION("""COMPUTED_VALUE"""),44039.0)</f>
        <v>44039</v>
      </c>
      <c r="O168" s="96" t="str">
        <f>IFERROR(__xludf.DUMMYFUNCTION("""COMPUTED_VALUE"""),"Ecotex")</f>
        <v>Ecotex</v>
      </c>
      <c r="P168" s="96" t="str">
        <f>IFERROR(__xludf.DUMMYFUNCTION("""COMPUTED_VALUE"""),"Haulage")</f>
        <v>Haulage</v>
      </c>
      <c r="Q168" s="99">
        <f>IFERROR(__xludf.DUMMYFUNCTION("""COMPUTED_VALUE"""),12000.0)</f>
        <v>12000</v>
      </c>
      <c r="R168" s="96" t="str">
        <f>IFERROR(__xludf.DUMMYFUNCTION("""COMPUTED_VALUE"""),"General Expenses")</f>
        <v>General Expenses</v>
      </c>
      <c r="S168" s="99">
        <f>IFERROR(__xludf.DUMMYFUNCTION("""COMPUTED_VALUE"""),0.0)</f>
        <v>0</v>
      </c>
      <c r="T168" s="99">
        <f>IFERROR(__xludf.DUMMYFUNCTION("""COMPUTED_VALUE"""),12000.0)</f>
        <v>12000</v>
      </c>
      <c r="U168" s="99">
        <f>IFERROR(__xludf.DUMMYFUNCTION("""COMPUTED_VALUE"""),0.0)</f>
        <v>0</v>
      </c>
      <c r="V168" s="99">
        <f>IFERROR(__xludf.DUMMYFUNCTION("""COMPUTED_VALUE"""),0.0)</f>
        <v>0</v>
      </c>
      <c r="W168" s="99">
        <f>IFERROR(__xludf.DUMMYFUNCTION("""COMPUTED_VALUE"""),0.0)</f>
        <v>0</v>
      </c>
    </row>
    <row r="169">
      <c r="N169" s="98">
        <f>IFERROR(__xludf.DUMMYFUNCTION("""COMPUTED_VALUE"""),44039.0)</f>
        <v>44039</v>
      </c>
      <c r="O169" s="96" t="str">
        <f>IFERROR(__xludf.DUMMYFUNCTION("""COMPUTED_VALUE"""),"Prince")</f>
        <v>Prince</v>
      </c>
      <c r="P169" s="96" t="str">
        <f>IFERROR(__xludf.DUMMYFUNCTION("""COMPUTED_VALUE"""),"Transpotation")</f>
        <v>Transpotation</v>
      </c>
      <c r="Q169" s="99">
        <f>IFERROR(__xludf.DUMMYFUNCTION("""COMPUTED_VALUE"""),148000.0)</f>
        <v>148000</v>
      </c>
      <c r="R169" s="96" t="str">
        <f>IFERROR(__xludf.DUMMYFUNCTION("""COMPUTED_VALUE"""),"General Expenses")</f>
        <v>General Expenses</v>
      </c>
      <c r="S169" s="99">
        <f>IFERROR(__xludf.DUMMYFUNCTION("""COMPUTED_VALUE"""),0.0)</f>
        <v>0</v>
      </c>
      <c r="T169" s="99">
        <f>IFERROR(__xludf.DUMMYFUNCTION("""COMPUTED_VALUE"""),148000.0)</f>
        <v>148000</v>
      </c>
      <c r="U169" s="99">
        <f>IFERROR(__xludf.DUMMYFUNCTION("""COMPUTED_VALUE"""),0.0)</f>
        <v>0</v>
      </c>
      <c r="V169" s="99">
        <f>IFERROR(__xludf.DUMMYFUNCTION("""COMPUTED_VALUE"""),0.0)</f>
        <v>0</v>
      </c>
      <c r="W169" s="99">
        <f>IFERROR(__xludf.DUMMYFUNCTION("""COMPUTED_VALUE"""),0.0)</f>
        <v>0</v>
      </c>
    </row>
    <row r="170">
      <c r="N170" s="98">
        <f>IFERROR(__xludf.DUMMYFUNCTION("""COMPUTED_VALUE"""),44039.0)</f>
        <v>44039</v>
      </c>
      <c r="O170" s="96" t="str">
        <f>IFERROR(__xludf.DUMMYFUNCTION("""COMPUTED_VALUE"""),"T.F.C.")</f>
        <v>T.F.C.</v>
      </c>
      <c r="P170" s="96" t="str">
        <f>IFERROR(__xludf.DUMMYFUNCTION("""COMPUTED_VALUE"""),"Transpotation")</f>
        <v>Transpotation</v>
      </c>
      <c r="Q170" s="99">
        <f>IFERROR(__xludf.DUMMYFUNCTION("""COMPUTED_VALUE"""),84000.0)</f>
        <v>84000</v>
      </c>
      <c r="R170" s="96" t="str">
        <f>IFERROR(__xludf.DUMMYFUNCTION("""COMPUTED_VALUE"""),"General Expenses")</f>
        <v>General Expenses</v>
      </c>
      <c r="S170" s="99">
        <f>IFERROR(__xludf.DUMMYFUNCTION("""COMPUTED_VALUE"""),0.0)</f>
        <v>0</v>
      </c>
      <c r="T170" s="99">
        <f>IFERROR(__xludf.DUMMYFUNCTION("""COMPUTED_VALUE"""),84000.0)</f>
        <v>84000</v>
      </c>
      <c r="U170" s="99">
        <f>IFERROR(__xludf.DUMMYFUNCTION("""COMPUTED_VALUE"""),0.0)</f>
        <v>0</v>
      </c>
      <c r="V170" s="99">
        <f>IFERROR(__xludf.DUMMYFUNCTION("""COMPUTED_VALUE"""),0.0)</f>
        <v>0</v>
      </c>
      <c r="W170" s="99">
        <f>IFERROR(__xludf.DUMMYFUNCTION("""COMPUTED_VALUE"""),0.0)</f>
        <v>0</v>
      </c>
    </row>
    <row r="171">
      <c r="N171" s="98">
        <f>IFERROR(__xludf.DUMMYFUNCTION("""COMPUTED_VALUE"""),44039.0)</f>
        <v>44039</v>
      </c>
      <c r="O171" s="96" t="str">
        <f>IFERROR(__xludf.DUMMYFUNCTION("""COMPUTED_VALUE"""),"Presido")</f>
        <v>Presido</v>
      </c>
      <c r="P171" s="96" t="str">
        <f>IFERROR(__xludf.DUMMYFUNCTION("""COMPUTED_VALUE"""),"Transpotation")</f>
        <v>Transpotation</v>
      </c>
      <c r="Q171" s="99">
        <f>IFERROR(__xludf.DUMMYFUNCTION("""COMPUTED_VALUE"""),243200.0)</f>
        <v>243200</v>
      </c>
      <c r="R171" s="96" t="str">
        <f>IFERROR(__xludf.DUMMYFUNCTION("""COMPUTED_VALUE"""),"General Expenses")</f>
        <v>General Expenses</v>
      </c>
      <c r="S171" s="99">
        <f>IFERROR(__xludf.DUMMYFUNCTION("""COMPUTED_VALUE"""),0.0)</f>
        <v>0</v>
      </c>
      <c r="T171" s="99">
        <f>IFERROR(__xludf.DUMMYFUNCTION("""COMPUTED_VALUE"""),243200.0)</f>
        <v>243200</v>
      </c>
      <c r="U171" s="99">
        <f>IFERROR(__xludf.DUMMYFUNCTION("""COMPUTED_VALUE"""),0.0)</f>
        <v>0</v>
      </c>
      <c r="V171" s="99">
        <f>IFERROR(__xludf.DUMMYFUNCTION("""COMPUTED_VALUE"""),0.0)</f>
        <v>0</v>
      </c>
      <c r="W171" s="99">
        <f>IFERROR(__xludf.DUMMYFUNCTION("""COMPUTED_VALUE"""),0.0)</f>
        <v>0</v>
      </c>
    </row>
    <row r="172">
      <c r="N172" s="98">
        <f>IFERROR(__xludf.DUMMYFUNCTION("""COMPUTED_VALUE"""),44039.0)</f>
        <v>44039</v>
      </c>
      <c r="O172" s="96" t="str">
        <f>IFERROR(__xludf.DUMMYFUNCTION("""COMPUTED_VALUE"""),"Wale")</f>
        <v>Wale</v>
      </c>
      <c r="P172" s="96" t="str">
        <f>IFERROR(__xludf.DUMMYFUNCTION("""COMPUTED_VALUE"""),"Transpotation")</f>
        <v>Transpotation</v>
      </c>
      <c r="Q172" s="99">
        <f>IFERROR(__xludf.DUMMYFUNCTION("""COMPUTED_VALUE"""),244000.0)</f>
        <v>244000</v>
      </c>
      <c r="R172" s="96" t="str">
        <f>IFERROR(__xludf.DUMMYFUNCTION("""COMPUTED_VALUE"""),"General Expenses")</f>
        <v>General Expenses</v>
      </c>
      <c r="S172" s="99">
        <f>IFERROR(__xludf.DUMMYFUNCTION("""COMPUTED_VALUE"""),0.0)</f>
        <v>0</v>
      </c>
      <c r="T172" s="99">
        <f>IFERROR(__xludf.DUMMYFUNCTION("""COMPUTED_VALUE"""),244000.0)</f>
        <v>244000</v>
      </c>
      <c r="U172" s="99">
        <f>IFERROR(__xludf.DUMMYFUNCTION("""COMPUTED_VALUE"""),0.0)</f>
        <v>0</v>
      </c>
      <c r="V172" s="99">
        <f>IFERROR(__xludf.DUMMYFUNCTION("""COMPUTED_VALUE"""),0.0)</f>
        <v>0</v>
      </c>
      <c r="W172" s="99">
        <f>IFERROR(__xludf.DUMMYFUNCTION("""COMPUTED_VALUE"""),0.0)</f>
        <v>0</v>
      </c>
    </row>
    <row r="173">
      <c r="N173" s="98">
        <f>IFERROR(__xludf.DUMMYFUNCTION("""COMPUTED_VALUE"""),44039.0)</f>
        <v>44039</v>
      </c>
      <c r="O173" s="96" t="str">
        <f>IFERROR(__xludf.DUMMYFUNCTION("""COMPUTED_VALUE"""),"CAN")</f>
        <v>CAN</v>
      </c>
      <c r="P173" s="96" t="str">
        <f>IFERROR(__xludf.DUMMYFUNCTION("""COMPUTED_VALUE"""),"Haulage")</f>
        <v>Haulage</v>
      </c>
      <c r="Q173" s="99">
        <f>IFERROR(__xludf.DUMMYFUNCTION("""COMPUTED_VALUE"""),27800.0)</f>
        <v>27800</v>
      </c>
      <c r="R173" s="96" t="str">
        <f>IFERROR(__xludf.DUMMYFUNCTION("""COMPUTED_VALUE"""),"General Expenses")</f>
        <v>General Expenses</v>
      </c>
      <c r="S173" s="99">
        <f>IFERROR(__xludf.DUMMYFUNCTION("""COMPUTED_VALUE"""),0.0)</f>
        <v>0</v>
      </c>
      <c r="T173" s="99">
        <f>IFERROR(__xludf.DUMMYFUNCTION("""COMPUTED_VALUE"""),27800.0)</f>
        <v>27800</v>
      </c>
      <c r="U173" s="99">
        <f>IFERROR(__xludf.DUMMYFUNCTION("""COMPUTED_VALUE"""),0.0)</f>
        <v>0</v>
      </c>
      <c r="V173" s="99">
        <f>IFERROR(__xludf.DUMMYFUNCTION("""COMPUTED_VALUE"""),0.0)</f>
        <v>0</v>
      </c>
      <c r="W173" s="99">
        <f>IFERROR(__xludf.DUMMYFUNCTION("""COMPUTED_VALUE"""),0.0)</f>
        <v>0</v>
      </c>
    </row>
    <row r="174">
      <c r="N174" s="98">
        <f>IFERROR(__xludf.DUMMYFUNCTION("""COMPUTED_VALUE"""),44039.0)</f>
        <v>44039</v>
      </c>
      <c r="O174" s="96" t="str">
        <f>IFERROR(__xludf.DUMMYFUNCTION("""COMPUTED_VALUE"""),"BLESSING CHAPMAN")</f>
        <v>BLESSING CHAPMAN</v>
      </c>
      <c r="P174" s="96" t="str">
        <f>IFERROR(__xludf.DUMMYFUNCTION("""COMPUTED_VALUE"""),"CASH COLLECTED")</f>
        <v>CASH COLLECTED</v>
      </c>
      <c r="Q174" s="99">
        <f>IFERROR(__xludf.DUMMYFUNCTION("""COMPUTED_VALUE"""),929200.0)</f>
        <v>929200</v>
      </c>
      <c r="R174" s="96" t="str">
        <f>IFERROR(__xludf.DUMMYFUNCTION("""COMPUTED_VALUE"""),"Petty Cash")</f>
        <v>Petty Cash</v>
      </c>
      <c r="S174" s="99">
        <f>IFERROR(__xludf.DUMMYFUNCTION("""COMPUTED_VALUE"""),0.0)</f>
        <v>0</v>
      </c>
      <c r="T174" s="99">
        <f>IFERROR(__xludf.DUMMYFUNCTION("""COMPUTED_VALUE"""),0.0)</f>
        <v>0</v>
      </c>
      <c r="U174" s="99">
        <f>IFERROR(__xludf.DUMMYFUNCTION("""COMPUTED_VALUE"""),0.0)</f>
        <v>0</v>
      </c>
      <c r="V174" s="99">
        <f>IFERROR(__xludf.DUMMYFUNCTION("""COMPUTED_VALUE"""),929200.0)</f>
        <v>929200</v>
      </c>
      <c r="W174" s="99">
        <f>IFERROR(__xludf.DUMMYFUNCTION("""COMPUTED_VALUE"""),0.0)</f>
        <v>0</v>
      </c>
    </row>
    <row r="175">
      <c r="N175" s="98">
        <f>IFERROR(__xludf.DUMMYFUNCTION("""COMPUTED_VALUE"""),44039.0)</f>
        <v>44039</v>
      </c>
      <c r="O175" s="96" t="str">
        <f>IFERROR(__xludf.DUMMYFUNCTION("""COMPUTED_VALUE"""),"MANAGER")</f>
        <v>MANAGER</v>
      </c>
      <c r="P175" s="96" t="str">
        <f>IFERROR(__xludf.DUMMYFUNCTION("""COMPUTED_VALUE"""),"CASH-IN")</f>
        <v>CASH-IN</v>
      </c>
      <c r="Q175" s="99">
        <f>IFERROR(__xludf.DUMMYFUNCTION("""COMPUTED_VALUE"""),1000000.0)</f>
        <v>1000000</v>
      </c>
      <c r="R175" s="96" t="str">
        <f>IFERROR(__xludf.DUMMYFUNCTION("""COMPUTED_VALUE"""),"From Bank")</f>
        <v>From Bank</v>
      </c>
      <c r="S175" s="99">
        <f>IFERROR(__xludf.DUMMYFUNCTION("""COMPUTED_VALUE"""),0.0)</f>
        <v>0</v>
      </c>
      <c r="T175" s="99">
        <f>IFERROR(__xludf.DUMMYFUNCTION("""COMPUTED_VALUE"""),0.0)</f>
        <v>0</v>
      </c>
      <c r="U175" s="99">
        <f>IFERROR(__xludf.DUMMYFUNCTION("""COMPUTED_VALUE"""),1000000.0)</f>
        <v>1000000</v>
      </c>
      <c r="V175" s="99">
        <f>IFERROR(__xludf.DUMMYFUNCTION("""COMPUTED_VALUE"""),0.0)</f>
        <v>0</v>
      </c>
      <c r="W175" s="99">
        <f>IFERROR(__xludf.DUMMYFUNCTION("""COMPUTED_VALUE"""),0.0)</f>
        <v>0</v>
      </c>
    </row>
    <row r="176">
      <c r="N176" s="98">
        <f>IFERROR(__xludf.DUMMYFUNCTION("""COMPUTED_VALUE"""),44030.0)</f>
        <v>44030</v>
      </c>
      <c r="O176" s="96" t="str">
        <f>IFERROR(__xludf.DUMMYFUNCTION("""COMPUTED_VALUE"""),"EDDY OKO")</f>
        <v>EDDY OKO</v>
      </c>
      <c r="P176" s="96" t="str">
        <f>IFERROR(__xludf.DUMMYFUNCTION("""COMPUTED_VALUE"""),"MISUNDERSTANDING")</f>
        <v>MISUNDERSTANDING</v>
      </c>
      <c r="Q176" s="99">
        <f>IFERROR(__xludf.DUMMYFUNCTION("""COMPUTED_VALUE"""),-200000.0)</f>
        <v>-200000</v>
      </c>
      <c r="R176" s="96" t="str">
        <f>IFERROR(__xludf.DUMMYFUNCTION("""COMPUTED_VALUE"""),"Prefinance")</f>
        <v>Prefinance</v>
      </c>
      <c r="S176" s="99">
        <f>IFERROR(__xludf.DUMMYFUNCTION("""COMPUTED_VALUE"""),0.0)</f>
        <v>0</v>
      </c>
      <c r="T176" s="99">
        <f>IFERROR(__xludf.DUMMYFUNCTION("""COMPUTED_VALUE"""),0.0)</f>
        <v>0</v>
      </c>
      <c r="U176" s="99">
        <f>IFERROR(__xludf.DUMMYFUNCTION("""COMPUTED_VALUE"""),0.0)</f>
        <v>0</v>
      </c>
      <c r="V176" s="99">
        <f>IFERROR(__xludf.DUMMYFUNCTION("""COMPUTED_VALUE"""),0.0)</f>
        <v>0</v>
      </c>
      <c r="W176" s="99">
        <f>IFERROR(__xludf.DUMMYFUNCTION("""COMPUTED_VALUE"""),0.0)</f>
        <v>0</v>
      </c>
    </row>
    <row r="177">
      <c r="N177" s="98">
        <f>IFERROR(__xludf.DUMMYFUNCTION("""COMPUTED_VALUE"""),44030.0)</f>
        <v>44030</v>
      </c>
      <c r="O177" s="96" t="str">
        <f>IFERROR(__xludf.DUMMYFUNCTION("""COMPUTED_VALUE"""),"EDWARD OKO")</f>
        <v>EDWARD OKO</v>
      </c>
      <c r="P177" s="96" t="str">
        <f>IFERROR(__xludf.DUMMYFUNCTION("""COMPUTED_VALUE"""),"ADVANCE")</f>
        <v>ADVANCE</v>
      </c>
      <c r="Q177" s="99">
        <f>IFERROR(__xludf.DUMMYFUNCTION("""COMPUTED_VALUE"""),200000.0)</f>
        <v>200000</v>
      </c>
      <c r="R177" s="96" t="str">
        <f>IFERROR(__xludf.DUMMYFUNCTION("""COMPUTED_VALUE"""),"Prefinance")</f>
        <v>Prefinance</v>
      </c>
      <c r="S177" s="99">
        <f>IFERROR(__xludf.DUMMYFUNCTION("""COMPUTED_VALUE"""),0.0)</f>
        <v>0</v>
      </c>
      <c r="T177" s="99">
        <f>IFERROR(__xludf.DUMMYFUNCTION("""COMPUTED_VALUE"""),0.0)</f>
        <v>0</v>
      </c>
      <c r="U177" s="99">
        <f>IFERROR(__xludf.DUMMYFUNCTION("""COMPUTED_VALUE"""),0.0)</f>
        <v>0</v>
      </c>
      <c r="V177" s="99">
        <f>IFERROR(__xludf.DUMMYFUNCTION("""COMPUTED_VALUE"""),0.0)</f>
        <v>0</v>
      </c>
      <c r="W177" s="99">
        <f>IFERROR(__xludf.DUMMYFUNCTION("""COMPUTED_VALUE"""),0.0)</f>
        <v>0</v>
      </c>
    </row>
    <row r="178">
      <c r="N178" s="98">
        <f>IFERROR(__xludf.DUMMYFUNCTION("""COMPUTED_VALUE"""),44040.0)</f>
        <v>44040</v>
      </c>
      <c r="O178" s="96" t="str">
        <f>IFERROR(__xludf.DUMMYFUNCTION("""COMPUTED_VALUE"""),"ETUK EFFI")</f>
        <v>ETUK EFFI</v>
      </c>
      <c r="P178" s="96" t="str">
        <f>IFERROR(__xludf.DUMMYFUNCTION("""COMPUTED_VALUE"""),"ADVANCE")</f>
        <v>ADVANCE</v>
      </c>
      <c r="Q178" s="99">
        <f>IFERROR(__xludf.DUMMYFUNCTION("""COMPUTED_VALUE"""),1000000.0)</f>
        <v>1000000</v>
      </c>
      <c r="R178" s="96" t="str">
        <f>IFERROR(__xludf.DUMMYFUNCTION("""COMPUTED_VALUE"""),"Prefinance")</f>
        <v>Prefinance</v>
      </c>
      <c r="S178" s="99">
        <f>IFERROR(__xludf.DUMMYFUNCTION("""COMPUTED_VALUE"""),0.0)</f>
        <v>0</v>
      </c>
      <c r="T178" s="99">
        <f>IFERROR(__xludf.DUMMYFUNCTION("""COMPUTED_VALUE"""),0.0)</f>
        <v>0</v>
      </c>
      <c r="U178" s="99">
        <f>IFERROR(__xludf.DUMMYFUNCTION("""COMPUTED_VALUE"""),0.0)</f>
        <v>0</v>
      </c>
      <c r="V178" s="99">
        <f>IFERROR(__xludf.DUMMYFUNCTION("""COMPUTED_VALUE"""),0.0)</f>
        <v>0</v>
      </c>
      <c r="W178" s="99">
        <f>IFERROR(__xludf.DUMMYFUNCTION("""COMPUTED_VALUE"""),0.0)</f>
        <v>0</v>
      </c>
    </row>
    <row r="179">
      <c r="N179" s="98">
        <f>IFERROR(__xludf.DUMMYFUNCTION("""COMPUTED_VALUE"""),44040.0)</f>
        <v>44040</v>
      </c>
      <c r="O179" s="96" t="str">
        <f>IFERROR(__xludf.DUMMYFUNCTION("""COMPUTED_VALUE"""),"LIVINUS")</f>
        <v>LIVINUS</v>
      </c>
      <c r="P179" s="96" t="str">
        <f>IFERROR(__xludf.DUMMYFUNCTION("""COMPUTED_VALUE"""),"ADVANCE")</f>
        <v>ADVANCE</v>
      </c>
      <c r="Q179" s="99">
        <f>IFERROR(__xludf.DUMMYFUNCTION("""COMPUTED_VALUE"""),1440000.0)</f>
        <v>1440000</v>
      </c>
      <c r="R179" s="96" t="str">
        <f>IFERROR(__xludf.DUMMYFUNCTION("""COMPUTED_VALUE"""),"Prefinance")</f>
        <v>Prefinance</v>
      </c>
      <c r="S179" s="99">
        <f>IFERROR(__xludf.DUMMYFUNCTION("""COMPUTED_VALUE"""),0.0)</f>
        <v>0</v>
      </c>
      <c r="T179" s="99">
        <f>IFERROR(__xludf.DUMMYFUNCTION("""COMPUTED_VALUE"""),0.0)</f>
        <v>0</v>
      </c>
      <c r="U179" s="99">
        <f>IFERROR(__xludf.DUMMYFUNCTION("""COMPUTED_VALUE"""),0.0)</f>
        <v>0</v>
      </c>
      <c r="V179" s="99">
        <f>IFERROR(__xludf.DUMMYFUNCTION("""COMPUTED_VALUE"""),0.0)</f>
        <v>0</v>
      </c>
      <c r="W179" s="99">
        <f>IFERROR(__xludf.DUMMYFUNCTION("""COMPUTED_VALUE"""),0.0)</f>
        <v>0</v>
      </c>
    </row>
    <row r="180">
      <c r="N180" s="98">
        <f>IFERROR(__xludf.DUMMYFUNCTION("""COMPUTED_VALUE"""),44040.0)</f>
        <v>44040</v>
      </c>
      <c r="O180" s="96" t="str">
        <f>IFERROR(__xludf.DUMMYFUNCTION("""COMPUTED_VALUE"""),"LYDIA HNSON ")</f>
        <v>LYDIA HNSON </v>
      </c>
      <c r="P180" s="96" t="str">
        <f>IFERROR(__xludf.DUMMYFUNCTION("""COMPUTED_VALUE"""),"ADVANCE")</f>
        <v>ADVANCE</v>
      </c>
      <c r="Q180" s="99">
        <f>IFERROR(__xludf.DUMMYFUNCTION("""COMPUTED_VALUE"""),1000000.0)</f>
        <v>1000000</v>
      </c>
      <c r="R180" s="96" t="str">
        <f>IFERROR(__xludf.DUMMYFUNCTION("""COMPUTED_VALUE"""),"Prefinance")</f>
        <v>Prefinance</v>
      </c>
      <c r="S180" s="99">
        <f>IFERROR(__xludf.DUMMYFUNCTION("""COMPUTED_VALUE"""),0.0)</f>
        <v>0</v>
      </c>
      <c r="T180" s="99">
        <f>IFERROR(__xludf.DUMMYFUNCTION("""COMPUTED_VALUE"""),0.0)</f>
        <v>0</v>
      </c>
      <c r="U180" s="99">
        <f>IFERROR(__xludf.DUMMYFUNCTION("""COMPUTED_VALUE"""),0.0)</f>
        <v>0</v>
      </c>
      <c r="V180" s="99">
        <f>IFERROR(__xludf.DUMMYFUNCTION("""COMPUTED_VALUE"""),0.0)</f>
        <v>0</v>
      </c>
      <c r="W180" s="99">
        <f>IFERROR(__xludf.DUMMYFUNCTION("""COMPUTED_VALUE"""),0.0)</f>
        <v>0</v>
      </c>
    </row>
    <row r="181">
      <c r="N181" s="98">
        <f>IFERROR(__xludf.DUMMYFUNCTION("""COMPUTED_VALUE"""),44040.0)</f>
        <v>44040</v>
      </c>
      <c r="O181" s="96" t="str">
        <f>IFERROR(__xludf.DUMMYFUNCTION("""COMPUTED_VALUE"""),"OBI BESONG")</f>
        <v>OBI BESONG</v>
      </c>
      <c r="P181" s="96" t="str">
        <f>IFERROR(__xludf.DUMMYFUNCTION("""COMPUTED_VALUE"""),"ADVANCE")</f>
        <v>ADVANCE</v>
      </c>
      <c r="Q181" s="99">
        <f>IFERROR(__xludf.DUMMYFUNCTION("""COMPUTED_VALUE"""),500000.0)</f>
        <v>500000</v>
      </c>
      <c r="R181" s="96" t="str">
        <f>IFERROR(__xludf.DUMMYFUNCTION("""COMPUTED_VALUE"""),"Prefinance")</f>
        <v>Prefinance</v>
      </c>
      <c r="S181" s="99">
        <f>IFERROR(__xludf.DUMMYFUNCTION("""COMPUTED_VALUE"""),0.0)</f>
        <v>0</v>
      </c>
      <c r="T181" s="99">
        <f>IFERROR(__xludf.DUMMYFUNCTION("""COMPUTED_VALUE"""),0.0)</f>
        <v>0</v>
      </c>
      <c r="U181" s="99">
        <f>IFERROR(__xludf.DUMMYFUNCTION("""COMPUTED_VALUE"""),0.0)</f>
        <v>0</v>
      </c>
      <c r="V181" s="99">
        <f>IFERROR(__xludf.DUMMYFUNCTION("""COMPUTED_VALUE"""),0.0)</f>
        <v>0</v>
      </c>
      <c r="W181" s="99">
        <f>IFERROR(__xludf.DUMMYFUNCTION("""COMPUTED_VALUE"""),0.0)</f>
        <v>0</v>
      </c>
    </row>
    <row r="182">
      <c r="N182" s="98">
        <f>IFERROR(__xludf.DUMMYFUNCTION("""COMPUTED_VALUE"""),44040.0)</f>
        <v>44040</v>
      </c>
      <c r="O182" s="96" t="str">
        <f>IFERROR(__xludf.DUMMYFUNCTION("""COMPUTED_VALUE"""),"KARIEN EBAN")</f>
        <v>KARIEN EBAN</v>
      </c>
      <c r="P182" s="96" t="str">
        <f>IFERROR(__xludf.DUMMYFUNCTION("""COMPUTED_VALUE"""),"ADVANCE")</f>
        <v>ADVANCE</v>
      </c>
      <c r="Q182" s="99">
        <f>IFERROR(__xludf.DUMMYFUNCTION("""COMPUTED_VALUE"""),500000.0)</f>
        <v>500000</v>
      </c>
      <c r="R182" s="96" t="str">
        <f>IFERROR(__xludf.DUMMYFUNCTION("""COMPUTED_VALUE"""),"Prefinance")</f>
        <v>Prefinance</v>
      </c>
      <c r="S182" s="99">
        <f>IFERROR(__xludf.DUMMYFUNCTION("""COMPUTED_VALUE"""),0.0)</f>
        <v>0</v>
      </c>
      <c r="T182" s="99">
        <f>IFERROR(__xludf.DUMMYFUNCTION("""COMPUTED_VALUE"""),0.0)</f>
        <v>0</v>
      </c>
      <c r="U182" s="99">
        <f>IFERROR(__xludf.DUMMYFUNCTION("""COMPUTED_VALUE"""),0.0)</f>
        <v>0</v>
      </c>
      <c r="V182" s="99">
        <f>IFERROR(__xludf.DUMMYFUNCTION("""COMPUTED_VALUE"""),0.0)</f>
        <v>0</v>
      </c>
      <c r="W182" s="99">
        <f>IFERROR(__xludf.DUMMYFUNCTION("""COMPUTED_VALUE"""),0.0)</f>
        <v>0</v>
      </c>
    </row>
    <row r="183">
      <c r="N183" s="98">
        <f>IFERROR(__xludf.DUMMYFUNCTION("""COMPUTED_VALUE"""),44040.0)</f>
        <v>44040</v>
      </c>
      <c r="O183" s="96" t="str">
        <f>IFERROR(__xludf.DUMMYFUNCTION("""COMPUTED_VALUE"""),"MANAGER")</f>
        <v>MANAGER</v>
      </c>
      <c r="P183" s="96" t="str">
        <f>IFERROR(__xludf.DUMMYFUNCTION("""COMPUTED_VALUE"""),"UPKEEP")</f>
        <v>UPKEEP</v>
      </c>
      <c r="Q183" s="99">
        <f>IFERROR(__xludf.DUMMYFUNCTION("""COMPUTED_VALUE"""),5000.0)</f>
        <v>5000</v>
      </c>
      <c r="R183" s="96" t="str">
        <f>IFERROR(__xludf.DUMMYFUNCTION("""COMPUTED_VALUE"""),"General Expenses")</f>
        <v>General Expenses</v>
      </c>
      <c r="S183" s="99">
        <f>IFERROR(__xludf.DUMMYFUNCTION("""COMPUTED_VALUE"""),0.0)</f>
        <v>0</v>
      </c>
      <c r="T183" s="99">
        <f>IFERROR(__xludf.DUMMYFUNCTION("""COMPUTED_VALUE"""),5000.0)</f>
        <v>5000</v>
      </c>
      <c r="U183" s="99">
        <f>IFERROR(__xludf.DUMMYFUNCTION("""COMPUTED_VALUE"""),0.0)</f>
        <v>0</v>
      </c>
      <c r="V183" s="99">
        <f>IFERROR(__xludf.DUMMYFUNCTION("""COMPUTED_VALUE"""),0.0)</f>
        <v>0</v>
      </c>
      <c r="W183" s="99">
        <f>IFERROR(__xludf.DUMMYFUNCTION("""COMPUTED_VALUE"""),0.0)</f>
        <v>0</v>
      </c>
    </row>
    <row r="184">
      <c r="N184" s="98">
        <f>IFERROR(__xludf.DUMMYFUNCTION("""COMPUTED_VALUE"""),44040.0)</f>
        <v>44040</v>
      </c>
      <c r="O184" s="96" t="str">
        <f>IFERROR(__xludf.DUMMYFUNCTION("""COMPUTED_VALUE"""),"OBI-DRIVER")</f>
        <v>OBI-DRIVER</v>
      </c>
      <c r="P184" s="96" t="str">
        <f>IFERROR(__xludf.DUMMYFUNCTION("""COMPUTED_VALUE"""),"FUEL")</f>
        <v>FUEL</v>
      </c>
      <c r="Q184" s="99">
        <f>IFERROR(__xludf.DUMMYFUNCTION("""COMPUTED_VALUE"""),4000.0)</f>
        <v>4000</v>
      </c>
      <c r="R184" s="96" t="str">
        <f>IFERROR(__xludf.DUMMYFUNCTION("""COMPUTED_VALUE"""),"General Expenses")</f>
        <v>General Expenses</v>
      </c>
      <c r="S184" s="99">
        <f>IFERROR(__xludf.DUMMYFUNCTION("""COMPUTED_VALUE"""),0.0)</f>
        <v>0</v>
      </c>
      <c r="T184" s="99">
        <f>IFERROR(__xludf.DUMMYFUNCTION("""COMPUTED_VALUE"""),4000.0)</f>
        <v>4000</v>
      </c>
      <c r="U184" s="99">
        <f>IFERROR(__xludf.DUMMYFUNCTION("""COMPUTED_VALUE"""),0.0)</f>
        <v>0</v>
      </c>
      <c r="V184" s="99">
        <f>IFERROR(__xludf.DUMMYFUNCTION("""COMPUTED_VALUE"""),0.0)</f>
        <v>0</v>
      </c>
      <c r="W184" s="99">
        <f>IFERROR(__xludf.DUMMYFUNCTION("""COMPUTED_VALUE"""),0.0)</f>
        <v>0</v>
      </c>
    </row>
    <row r="185">
      <c r="N185" s="98">
        <f>IFERROR(__xludf.DUMMYFUNCTION("""COMPUTED_VALUE"""),44040.0)</f>
        <v>44040</v>
      </c>
      <c r="O185" s="96" t="str">
        <f>IFERROR(__xludf.DUMMYFUNCTION("""COMPUTED_VALUE"""),"BLESSING CHAPMAN")</f>
        <v>BLESSING CHAPMAN</v>
      </c>
      <c r="P185" s="96" t="str">
        <f>IFERROR(__xludf.DUMMYFUNCTION("""COMPUTED_VALUE"""),"CASH COLLECTED")</f>
        <v>CASH COLLECTED</v>
      </c>
      <c r="Q185" s="99">
        <f>IFERROR(__xludf.DUMMYFUNCTION("""COMPUTED_VALUE"""),444800.0)</f>
        <v>444800</v>
      </c>
      <c r="R185" s="96" t="str">
        <f>IFERROR(__xludf.DUMMYFUNCTION("""COMPUTED_VALUE"""),"Petty Cash")</f>
        <v>Petty Cash</v>
      </c>
      <c r="S185" s="99">
        <f>IFERROR(__xludf.DUMMYFUNCTION("""COMPUTED_VALUE"""),0.0)</f>
        <v>0</v>
      </c>
      <c r="T185" s="99">
        <f>IFERROR(__xludf.DUMMYFUNCTION("""COMPUTED_VALUE"""),0.0)</f>
        <v>0</v>
      </c>
      <c r="U185" s="99">
        <f>IFERROR(__xludf.DUMMYFUNCTION("""COMPUTED_VALUE"""),0.0)</f>
        <v>0</v>
      </c>
      <c r="V185" s="99">
        <f>IFERROR(__xludf.DUMMYFUNCTION("""COMPUTED_VALUE"""),444800.0)</f>
        <v>444800</v>
      </c>
      <c r="W185" s="99">
        <f>IFERROR(__xludf.DUMMYFUNCTION("""COMPUTED_VALUE"""),0.0)</f>
        <v>0</v>
      </c>
    </row>
    <row r="186">
      <c r="N186" s="98">
        <f>IFERROR(__xludf.DUMMYFUNCTION("""COMPUTED_VALUE"""),44040.0)</f>
        <v>44040</v>
      </c>
      <c r="O186" s="96" t="str">
        <f>IFERROR(__xludf.DUMMYFUNCTION("""COMPUTED_VALUE"""),"MANAGER")</f>
        <v>MANAGER</v>
      </c>
      <c r="P186" s="96" t="str">
        <f>IFERROR(__xludf.DUMMYFUNCTION("""COMPUTED_VALUE"""),"CASH-IN")</f>
        <v>CASH-IN</v>
      </c>
      <c r="Q186" s="99">
        <f>IFERROR(__xludf.DUMMYFUNCTION("""COMPUTED_VALUE"""),5000000.0)</f>
        <v>5000000</v>
      </c>
      <c r="R186" s="96" t="str">
        <f>IFERROR(__xludf.DUMMYFUNCTION("""COMPUTED_VALUE"""),"From Bank")</f>
        <v>From Bank</v>
      </c>
      <c r="S186" s="99">
        <f>IFERROR(__xludf.DUMMYFUNCTION("""COMPUTED_VALUE"""),0.0)</f>
        <v>0</v>
      </c>
      <c r="T186" s="99">
        <f>IFERROR(__xludf.DUMMYFUNCTION("""COMPUTED_VALUE"""),0.0)</f>
        <v>0</v>
      </c>
      <c r="U186" s="99">
        <f>IFERROR(__xludf.DUMMYFUNCTION("""COMPUTED_VALUE"""),5000000.0)</f>
        <v>5000000</v>
      </c>
      <c r="V186" s="99">
        <f>IFERROR(__xludf.DUMMYFUNCTION("""COMPUTED_VALUE"""),0.0)</f>
        <v>0</v>
      </c>
      <c r="W186" s="99">
        <f>IFERROR(__xludf.DUMMYFUNCTION("""COMPUTED_VALUE"""),0.0)</f>
        <v>0</v>
      </c>
    </row>
    <row r="187">
      <c r="N187" s="98">
        <f>IFERROR(__xludf.DUMMYFUNCTION("""COMPUTED_VALUE"""),44040.0)</f>
        <v>44040</v>
      </c>
      <c r="O187" s="96" t="str">
        <f>IFERROR(__xludf.DUMMYFUNCTION("""COMPUTED_VALUE"""),"LIVINUS")</f>
        <v>LIVINUS</v>
      </c>
      <c r="P187" s="96" t="str">
        <f>IFERROR(__xludf.DUMMYFUNCTION("""COMPUTED_VALUE"""),"BALANCE")</f>
        <v>BALANCE</v>
      </c>
      <c r="Q187" s="99">
        <f>IFERROR(__xludf.DUMMYFUNCTION("""COMPUTED_VALUE"""),75000.0)</f>
        <v>75000</v>
      </c>
      <c r="R187" s="96" t="str">
        <f>IFERROR(__xludf.DUMMYFUNCTION("""COMPUTED_VALUE"""),"Prefinance")</f>
        <v>Prefinance</v>
      </c>
      <c r="S187" s="99">
        <f>IFERROR(__xludf.DUMMYFUNCTION("""COMPUTED_VALUE"""),0.0)</f>
        <v>0</v>
      </c>
      <c r="T187" s="99">
        <f>IFERROR(__xludf.DUMMYFUNCTION("""COMPUTED_VALUE"""),0.0)</f>
        <v>0</v>
      </c>
      <c r="U187" s="99">
        <f>IFERROR(__xludf.DUMMYFUNCTION("""COMPUTED_VALUE"""),0.0)</f>
        <v>0</v>
      </c>
      <c r="V187" s="99">
        <f>IFERROR(__xludf.DUMMYFUNCTION("""COMPUTED_VALUE"""),0.0)</f>
        <v>0</v>
      </c>
      <c r="W187" s="99">
        <f>IFERROR(__xludf.DUMMYFUNCTION("""COMPUTED_VALUE"""),0.0)</f>
        <v>0</v>
      </c>
    </row>
    <row r="188">
      <c r="N188" s="98">
        <f>IFERROR(__xludf.DUMMYFUNCTION("""COMPUTED_VALUE"""),44041.0)</f>
        <v>44041</v>
      </c>
      <c r="O188" s="96" t="str">
        <f>IFERROR(__xludf.DUMMYFUNCTION("""COMPUTED_VALUE"""),"EDWARD OKO")</f>
        <v>EDWARD OKO</v>
      </c>
      <c r="P188" s="96" t="str">
        <f>IFERROR(__xludf.DUMMYFUNCTION("""COMPUTED_VALUE"""),"ADVANCE")</f>
        <v>ADVANCE</v>
      </c>
      <c r="Q188" s="99">
        <f>IFERROR(__xludf.DUMMYFUNCTION("""COMPUTED_VALUE"""),700000.0)</f>
        <v>700000</v>
      </c>
      <c r="R188" s="96" t="str">
        <f>IFERROR(__xludf.DUMMYFUNCTION("""COMPUTED_VALUE"""),"Prefinance")</f>
        <v>Prefinance</v>
      </c>
      <c r="S188" s="99">
        <f>IFERROR(__xludf.DUMMYFUNCTION("""COMPUTED_VALUE"""),0.0)</f>
        <v>0</v>
      </c>
      <c r="T188" s="99">
        <f>IFERROR(__xludf.DUMMYFUNCTION("""COMPUTED_VALUE"""),0.0)</f>
        <v>0</v>
      </c>
      <c r="U188" s="99">
        <f>IFERROR(__xludf.DUMMYFUNCTION("""COMPUTED_VALUE"""),0.0)</f>
        <v>0</v>
      </c>
      <c r="V188" s="99">
        <f>IFERROR(__xludf.DUMMYFUNCTION("""COMPUTED_VALUE"""),0.0)</f>
        <v>0</v>
      </c>
      <c r="W188" s="99">
        <f>IFERROR(__xludf.DUMMYFUNCTION("""COMPUTED_VALUE"""),0.0)</f>
        <v>0</v>
      </c>
    </row>
    <row r="189">
      <c r="N189" s="98">
        <f>IFERROR(__xludf.DUMMYFUNCTION("""COMPUTED_VALUE"""),44041.0)</f>
        <v>44041</v>
      </c>
      <c r="O189" s="96" t="str">
        <f>IFERROR(__xludf.DUMMYFUNCTION("""COMPUTED_VALUE"""),"CHINWE CHIDI")</f>
        <v>CHINWE CHIDI</v>
      </c>
      <c r="P189" s="96" t="str">
        <f>IFERROR(__xludf.DUMMYFUNCTION("""COMPUTED_VALUE"""),"ADVANCE")</f>
        <v>ADVANCE</v>
      </c>
      <c r="Q189" s="99">
        <f>IFERROR(__xludf.DUMMYFUNCTION("""COMPUTED_VALUE"""),100000.0)</f>
        <v>100000</v>
      </c>
      <c r="R189" s="96" t="str">
        <f>IFERROR(__xludf.DUMMYFUNCTION("""COMPUTED_VALUE"""),"Prefinance")</f>
        <v>Prefinance</v>
      </c>
      <c r="S189" s="99">
        <f>IFERROR(__xludf.DUMMYFUNCTION("""COMPUTED_VALUE"""),0.0)</f>
        <v>0</v>
      </c>
      <c r="T189" s="99">
        <f>IFERROR(__xludf.DUMMYFUNCTION("""COMPUTED_VALUE"""),0.0)</f>
        <v>0</v>
      </c>
      <c r="U189" s="99">
        <f>IFERROR(__xludf.DUMMYFUNCTION("""COMPUTED_VALUE"""),0.0)</f>
        <v>0</v>
      </c>
      <c r="V189" s="99">
        <f>IFERROR(__xludf.DUMMYFUNCTION("""COMPUTED_VALUE"""),0.0)</f>
        <v>0</v>
      </c>
      <c r="W189" s="99">
        <f>IFERROR(__xludf.DUMMYFUNCTION("""COMPUTED_VALUE"""),0.0)</f>
        <v>0</v>
      </c>
    </row>
    <row r="190">
      <c r="N190" s="98">
        <f>IFERROR(__xludf.DUMMYFUNCTION("""COMPUTED_VALUE"""),44041.0)</f>
        <v>44041</v>
      </c>
      <c r="O190" s="96" t="str">
        <f>IFERROR(__xludf.DUMMYFUNCTION("""COMPUTED_VALUE"""),"JAMES AKAN")</f>
        <v>JAMES AKAN</v>
      </c>
      <c r="P190" s="96" t="str">
        <f>IFERROR(__xludf.DUMMYFUNCTION("""COMPUTED_VALUE"""),"ADVANCE")</f>
        <v>ADVANCE</v>
      </c>
      <c r="Q190" s="99">
        <f>IFERROR(__xludf.DUMMYFUNCTION("""COMPUTED_VALUE"""),359600.0)</f>
        <v>359600</v>
      </c>
      <c r="R190" s="96" t="str">
        <f>IFERROR(__xludf.DUMMYFUNCTION("""COMPUTED_VALUE"""),"Prefinance")</f>
        <v>Prefinance</v>
      </c>
      <c r="S190" s="99">
        <f>IFERROR(__xludf.DUMMYFUNCTION("""COMPUTED_VALUE"""),0.0)</f>
        <v>0</v>
      </c>
      <c r="T190" s="99">
        <f>IFERROR(__xludf.DUMMYFUNCTION("""COMPUTED_VALUE"""),0.0)</f>
        <v>0</v>
      </c>
      <c r="U190" s="99">
        <f>IFERROR(__xludf.DUMMYFUNCTION("""COMPUTED_VALUE"""),0.0)</f>
        <v>0</v>
      </c>
      <c r="V190" s="99">
        <f>IFERROR(__xludf.DUMMYFUNCTION("""COMPUTED_VALUE"""),0.0)</f>
        <v>0</v>
      </c>
      <c r="W190" s="99">
        <f>IFERROR(__xludf.DUMMYFUNCTION("""COMPUTED_VALUE"""),0.0)</f>
        <v>0</v>
      </c>
    </row>
    <row r="191">
      <c r="N191" s="98">
        <f>IFERROR(__xludf.DUMMYFUNCTION("""COMPUTED_VALUE"""),44041.0)</f>
        <v>44041</v>
      </c>
      <c r="O191" s="96" t="str">
        <f>IFERROR(__xludf.DUMMYFUNCTION("""COMPUTED_VALUE"""),"NDOMA BODE I.D")</f>
        <v>NDOMA BODE I.D</v>
      </c>
      <c r="P191" s="96" t="str">
        <f>IFERROR(__xludf.DUMMYFUNCTION("""COMPUTED_VALUE"""),"ADVANCE")</f>
        <v>ADVANCE</v>
      </c>
      <c r="Q191" s="99">
        <f>IFERROR(__xludf.DUMMYFUNCTION("""COMPUTED_VALUE"""),500000.0)</f>
        <v>500000</v>
      </c>
      <c r="R191" s="96" t="str">
        <f>IFERROR(__xludf.DUMMYFUNCTION("""COMPUTED_VALUE"""),"Prefinance")</f>
        <v>Prefinance</v>
      </c>
      <c r="S191" s="99">
        <f>IFERROR(__xludf.DUMMYFUNCTION("""COMPUTED_VALUE"""),0.0)</f>
        <v>0</v>
      </c>
      <c r="T191" s="99">
        <f>IFERROR(__xludf.DUMMYFUNCTION("""COMPUTED_VALUE"""),0.0)</f>
        <v>0</v>
      </c>
      <c r="U191" s="99">
        <f>IFERROR(__xludf.DUMMYFUNCTION("""COMPUTED_VALUE"""),0.0)</f>
        <v>0</v>
      </c>
      <c r="V191" s="99">
        <f>IFERROR(__xludf.DUMMYFUNCTION("""COMPUTED_VALUE"""),0.0)</f>
        <v>0</v>
      </c>
      <c r="W191" s="99">
        <f>IFERROR(__xludf.DUMMYFUNCTION("""COMPUTED_VALUE"""),0.0)</f>
        <v>0</v>
      </c>
    </row>
    <row r="192">
      <c r="N192" s="98">
        <f>IFERROR(__xludf.DUMMYFUNCTION("""COMPUTED_VALUE"""),44041.0)</f>
        <v>44041</v>
      </c>
      <c r="O192" s="96" t="str">
        <f>IFERROR(__xludf.DUMMYFUNCTION("""COMPUTED_VALUE"""),"EUGENE")</f>
        <v>EUGENE</v>
      </c>
      <c r="P192" s="96" t="str">
        <f>IFERROR(__xludf.DUMMYFUNCTION("""COMPUTED_VALUE"""),"ADVANCE")</f>
        <v>ADVANCE</v>
      </c>
      <c r="Q192" s="99">
        <f>IFERROR(__xludf.DUMMYFUNCTION("""COMPUTED_VALUE"""),500000.0)</f>
        <v>500000</v>
      </c>
      <c r="R192" s="96" t="str">
        <f>IFERROR(__xludf.DUMMYFUNCTION("""COMPUTED_VALUE"""),"Prefinance")</f>
        <v>Prefinance</v>
      </c>
      <c r="S192" s="99">
        <f>IFERROR(__xludf.DUMMYFUNCTION("""COMPUTED_VALUE"""),0.0)</f>
        <v>0</v>
      </c>
      <c r="T192" s="99">
        <f>IFERROR(__xludf.DUMMYFUNCTION("""COMPUTED_VALUE"""),0.0)</f>
        <v>0</v>
      </c>
      <c r="U192" s="99">
        <f>IFERROR(__xludf.DUMMYFUNCTION("""COMPUTED_VALUE"""),0.0)</f>
        <v>0</v>
      </c>
      <c r="V192" s="99">
        <f>IFERROR(__xludf.DUMMYFUNCTION("""COMPUTED_VALUE"""),0.0)</f>
        <v>0</v>
      </c>
      <c r="W192" s="99">
        <f>IFERROR(__xludf.DUMMYFUNCTION("""COMPUTED_VALUE"""),0.0)</f>
        <v>0</v>
      </c>
    </row>
    <row r="193">
      <c r="N193" s="98">
        <f>IFERROR(__xludf.DUMMYFUNCTION("""COMPUTED_VALUE"""),44041.0)</f>
        <v>44041</v>
      </c>
      <c r="O193" s="96" t="str">
        <f>IFERROR(__xludf.DUMMYFUNCTION("""COMPUTED_VALUE"""),"RECTOR W.")</f>
        <v>RECTOR W.</v>
      </c>
      <c r="P193" s="96" t="str">
        <f>IFERROR(__xludf.DUMMYFUNCTION("""COMPUTED_VALUE"""),"ADVANCE")</f>
        <v>ADVANCE</v>
      </c>
      <c r="Q193" s="99">
        <f>IFERROR(__xludf.DUMMYFUNCTION("""COMPUTED_VALUE"""),800000.0)</f>
        <v>800000</v>
      </c>
      <c r="R193" s="96" t="str">
        <f>IFERROR(__xludf.DUMMYFUNCTION("""COMPUTED_VALUE"""),"Prefinance")</f>
        <v>Prefinance</v>
      </c>
      <c r="S193" s="99">
        <f>IFERROR(__xludf.DUMMYFUNCTION("""COMPUTED_VALUE"""),0.0)</f>
        <v>0</v>
      </c>
      <c r="T193" s="99">
        <f>IFERROR(__xludf.DUMMYFUNCTION("""COMPUTED_VALUE"""),0.0)</f>
        <v>0</v>
      </c>
      <c r="U193" s="99">
        <f>IFERROR(__xludf.DUMMYFUNCTION("""COMPUTED_VALUE"""),0.0)</f>
        <v>0</v>
      </c>
      <c r="V193" s="99">
        <f>IFERROR(__xludf.DUMMYFUNCTION("""COMPUTED_VALUE"""),0.0)</f>
        <v>0</v>
      </c>
      <c r="W193" s="99">
        <f>IFERROR(__xludf.DUMMYFUNCTION("""COMPUTED_VALUE"""),0.0)</f>
        <v>0</v>
      </c>
    </row>
    <row r="194">
      <c r="N194" s="98">
        <f>IFERROR(__xludf.DUMMYFUNCTION("""COMPUTED_VALUE"""),44041.0)</f>
        <v>44041</v>
      </c>
      <c r="O194" s="96" t="str">
        <f>IFERROR(__xludf.DUMMYFUNCTION("""COMPUTED_VALUE"""),"REMMY BODES")</f>
        <v>REMMY BODES</v>
      </c>
      <c r="P194" s="96" t="str">
        <f>IFERROR(__xludf.DUMMYFUNCTION("""COMPUTED_VALUE"""),"ADVANCE")</f>
        <v>ADVANCE</v>
      </c>
      <c r="Q194" s="99">
        <f>IFERROR(__xludf.DUMMYFUNCTION("""COMPUTED_VALUE"""),310000.0)</f>
        <v>310000</v>
      </c>
      <c r="R194" s="96" t="str">
        <f>IFERROR(__xludf.DUMMYFUNCTION("""COMPUTED_VALUE"""),"Prefinance")</f>
        <v>Prefinance</v>
      </c>
      <c r="S194" s="99">
        <f>IFERROR(__xludf.DUMMYFUNCTION("""COMPUTED_VALUE"""),0.0)</f>
        <v>0</v>
      </c>
      <c r="T194" s="99">
        <f>IFERROR(__xludf.DUMMYFUNCTION("""COMPUTED_VALUE"""),0.0)</f>
        <v>0</v>
      </c>
      <c r="U194" s="99">
        <f>IFERROR(__xludf.DUMMYFUNCTION("""COMPUTED_VALUE"""),0.0)</f>
        <v>0</v>
      </c>
      <c r="V194" s="99">
        <f>IFERROR(__xludf.DUMMYFUNCTION("""COMPUTED_VALUE"""),0.0)</f>
        <v>0</v>
      </c>
      <c r="W194" s="99">
        <f>IFERROR(__xludf.DUMMYFUNCTION("""COMPUTED_VALUE"""),0.0)</f>
        <v>0</v>
      </c>
    </row>
    <row r="195">
      <c r="N195" s="98">
        <f>IFERROR(__xludf.DUMMYFUNCTION("""COMPUTED_VALUE"""),44041.0)</f>
        <v>44041</v>
      </c>
      <c r="O195" s="96" t="str">
        <f>IFERROR(__xludf.DUMMYFUNCTION("""COMPUTED_VALUE"""),"ABANG. DUNLOP")</f>
        <v>ABANG. DUNLOP</v>
      </c>
      <c r="P195" s="96" t="str">
        <f>IFERROR(__xludf.DUMMYFUNCTION("""COMPUTED_VALUE"""),"ADVANCE")</f>
        <v>ADVANCE</v>
      </c>
      <c r="Q195" s="99">
        <f>IFERROR(__xludf.DUMMYFUNCTION("""COMPUTED_VALUE"""),800000.0)</f>
        <v>800000</v>
      </c>
      <c r="R195" s="96" t="str">
        <f>IFERROR(__xludf.DUMMYFUNCTION("""COMPUTED_VALUE"""),"Prefinance")</f>
        <v>Prefinance</v>
      </c>
      <c r="S195" s="99">
        <f>IFERROR(__xludf.DUMMYFUNCTION("""COMPUTED_VALUE"""),0.0)</f>
        <v>0</v>
      </c>
      <c r="T195" s="99">
        <f>IFERROR(__xludf.DUMMYFUNCTION("""COMPUTED_VALUE"""),0.0)</f>
        <v>0</v>
      </c>
      <c r="U195" s="99">
        <f>IFERROR(__xludf.DUMMYFUNCTION("""COMPUTED_VALUE"""),0.0)</f>
        <v>0</v>
      </c>
      <c r="V195" s="99">
        <f>IFERROR(__xludf.DUMMYFUNCTION("""COMPUTED_VALUE"""),0.0)</f>
        <v>0</v>
      </c>
      <c r="W195" s="99">
        <f>IFERROR(__xludf.DUMMYFUNCTION("""COMPUTED_VALUE"""),0.0)</f>
        <v>0</v>
      </c>
    </row>
    <row r="196">
      <c r="N196" s="98">
        <f>IFERROR(__xludf.DUMMYFUNCTION("""COMPUTED_VALUE"""),44041.0)</f>
        <v>44041</v>
      </c>
      <c r="O196" s="96" t="str">
        <f>IFERROR(__xludf.DUMMYFUNCTION("""COMPUTED_VALUE"""),"BOSURU  BOSURU")</f>
        <v>BOSURU  BOSURU</v>
      </c>
      <c r="P196" s="96" t="str">
        <f>IFERROR(__xludf.DUMMYFUNCTION("""COMPUTED_VALUE"""),"ADVANCE")</f>
        <v>ADVANCE</v>
      </c>
      <c r="Q196" s="99">
        <f>IFERROR(__xludf.DUMMYFUNCTION("""COMPUTED_VALUE"""),200000.0)</f>
        <v>200000</v>
      </c>
      <c r="R196" s="96" t="str">
        <f>IFERROR(__xludf.DUMMYFUNCTION("""COMPUTED_VALUE"""),"Prefinance")</f>
        <v>Prefinance</v>
      </c>
      <c r="S196" s="99">
        <f>IFERROR(__xludf.DUMMYFUNCTION("""COMPUTED_VALUE"""),0.0)</f>
        <v>0</v>
      </c>
      <c r="T196" s="99">
        <f>IFERROR(__xludf.DUMMYFUNCTION("""COMPUTED_VALUE"""),0.0)</f>
        <v>0</v>
      </c>
      <c r="U196" s="99">
        <f>IFERROR(__xludf.DUMMYFUNCTION("""COMPUTED_VALUE"""),0.0)</f>
        <v>0</v>
      </c>
      <c r="V196" s="99">
        <f>IFERROR(__xludf.DUMMYFUNCTION("""COMPUTED_VALUE"""),0.0)</f>
        <v>0</v>
      </c>
      <c r="W196" s="99">
        <f>IFERROR(__xludf.DUMMYFUNCTION("""COMPUTED_VALUE"""),0.0)</f>
        <v>0</v>
      </c>
    </row>
    <row r="197">
      <c r="N197" s="98">
        <f>IFERROR(__xludf.DUMMYFUNCTION("""COMPUTED_VALUE"""),44041.0)</f>
        <v>44041</v>
      </c>
      <c r="O197" s="96" t="str">
        <f>IFERROR(__xludf.DUMMYFUNCTION("""COMPUTED_VALUE"""),"CORNWELL")</f>
        <v>CORNWELL</v>
      </c>
      <c r="P197" s="96" t="str">
        <f>IFERROR(__xludf.DUMMYFUNCTION("""COMPUTED_VALUE"""),"ADVANCE")</f>
        <v>ADVANCE</v>
      </c>
      <c r="Q197" s="99">
        <f>IFERROR(__xludf.DUMMYFUNCTION("""COMPUTED_VALUE"""),400000.0)</f>
        <v>400000</v>
      </c>
      <c r="R197" s="96" t="str">
        <f>IFERROR(__xludf.DUMMYFUNCTION("""COMPUTED_VALUE"""),"Prefinance")</f>
        <v>Prefinance</v>
      </c>
      <c r="S197" s="99">
        <f>IFERROR(__xludf.DUMMYFUNCTION("""COMPUTED_VALUE"""),0.0)</f>
        <v>0</v>
      </c>
      <c r="T197" s="99">
        <f>IFERROR(__xludf.DUMMYFUNCTION("""COMPUTED_VALUE"""),0.0)</f>
        <v>0</v>
      </c>
      <c r="U197" s="99">
        <f>IFERROR(__xludf.DUMMYFUNCTION("""COMPUTED_VALUE"""),0.0)</f>
        <v>0</v>
      </c>
      <c r="V197" s="99">
        <f>IFERROR(__xludf.DUMMYFUNCTION("""COMPUTED_VALUE"""),0.0)</f>
        <v>0</v>
      </c>
      <c r="W197" s="99">
        <f>IFERROR(__xludf.DUMMYFUNCTION("""COMPUTED_VALUE"""),0.0)</f>
        <v>0</v>
      </c>
    </row>
    <row r="198">
      <c r="N198" s="98">
        <f>IFERROR(__xludf.DUMMYFUNCTION("""COMPUTED_VALUE"""),44041.0)</f>
        <v>44041</v>
      </c>
      <c r="O198" s="96" t="str">
        <f>IFERROR(__xludf.DUMMYFUNCTION("""COMPUTED_VALUE"""),"TULIP DRIVERS")</f>
        <v>TULIP DRIVERS</v>
      </c>
      <c r="P198" s="96" t="str">
        <f>IFERROR(__xludf.DUMMYFUNCTION("""COMPUTED_VALUE"""),"TRANSPOT")</f>
        <v>TRANSPOT</v>
      </c>
      <c r="Q198" s="99">
        <f>IFERROR(__xludf.DUMMYFUNCTION("""COMPUTED_VALUE"""),2000.0)</f>
        <v>2000</v>
      </c>
      <c r="R198" s="96" t="str">
        <f>IFERROR(__xludf.DUMMYFUNCTION("""COMPUTED_VALUE"""),"General Expenses")</f>
        <v>General Expenses</v>
      </c>
      <c r="S198" s="99">
        <f>IFERROR(__xludf.DUMMYFUNCTION("""COMPUTED_VALUE"""),0.0)</f>
        <v>0</v>
      </c>
      <c r="T198" s="99">
        <f>IFERROR(__xludf.DUMMYFUNCTION("""COMPUTED_VALUE"""),2000.0)</f>
        <v>2000</v>
      </c>
      <c r="U198" s="99">
        <f>IFERROR(__xludf.DUMMYFUNCTION("""COMPUTED_VALUE"""),0.0)</f>
        <v>0</v>
      </c>
      <c r="V198" s="99">
        <f>IFERROR(__xludf.DUMMYFUNCTION("""COMPUTED_VALUE"""),0.0)</f>
        <v>0</v>
      </c>
      <c r="W198" s="99">
        <f>IFERROR(__xludf.DUMMYFUNCTION("""COMPUTED_VALUE"""),0.0)</f>
        <v>0</v>
      </c>
    </row>
    <row r="199">
      <c r="N199" s="98">
        <f>IFERROR(__xludf.DUMMYFUNCTION("""COMPUTED_VALUE"""),44041.0)</f>
        <v>44041</v>
      </c>
      <c r="O199" s="96" t="str">
        <f>IFERROR(__xludf.DUMMYFUNCTION("""COMPUTED_VALUE"""),"ADA")</f>
        <v>ADA</v>
      </c>
      <c r="P199" s="96" t="str">
        <f>IFERROR(__xludf.DUMMYFUNCTION("""COMPUTED_VALUE"""),"TRANSPOT")</f>
        <v>TRANSPOT</v>
      </c>
      <c r="Q199" s="99">
        <f>IFERROR(__xludf.DUMMYFUNCTION("""COMPUTED_VALUE"""),400.0)</f>
        <v>400</v>
      </c>
      <c r="R199" s="96" t="str">
        <f>IFERROR(__xludf.DUMMYFUNCTION("""COMPUTED_VALUE"""),"General Expenses")</f>
        <v>General Expenses</v>
      </c>
      <c r="S199" s="99">
        <f>IFERROR(__xludf.DUMMYFUNCTION("""COMPUTED_VALUE"""),0.0)</f>
        <v>0</v>
      </c>
      <c r="T199" s="99">
        <f>IFERROR(__xludf.DUMMYFUNCTION("""COMPUTED_VALUE"""),400.0)</f>
        <v>400</v>
      </c>
      <c r="U199" s="99">
        <f>IFERROR(__xludf.DUMMYFUNCTION("""COMPUTED_VALUE"""),0.0)</f>
        <v>0</v>
      </c>
      <c r="V199" s="99">
        <f>IFERROR(__xludf.DUMMYFUNCTION("""COMPUTED_VALUE"""),0.0)</f>
        <v>0</v>
      </c>
      <c r="W199" s="99">
        <f>IFERROR(__xludf.DUMMYFUNCTION("""COMPUTED_VALUE"""),0.0)</f>
        <v>0</v>
      </c>
    </row>
    <row r="200">
      <c r="N200" s="98">
        <f>IFERROR(__xludf.DUMMYFUNCTION("""COMPUTED_VALUE"""),44041.0)</f>
        <v>44041</v>
      </c>
      <c r="O200" s="96" t="str">
        <f>IFERROR(__xludf.DUMMYFUNCTION("""COMPUTED_VALUE"""),"RECTOR W.")</f>
        <v>RECTOR W.</v>
      </c>
      <c r="P200" s="96" t="str">
        <f>IFERROR(__xludf.DUMMYFUNCTION("""COMPUTED_VALUE"""),"HUALAGE")</f>
        <v>HUALAGE</v>
      </c>
      <c r="Q200" s="99">
        <f>IFERROR(__xludf.DUMMYFUNCTION("""COMPUTED_VALUE"""),2800.0)</f>
        <v>2800</v>
      </c>
      <c r="R200" s="96" t="str">
        <f>IFERROR(__xludf.DUMMYFUNCTION("""COMPUTED_VALUE"""),"General Expenses")</f>
        <v>General Expenses</v>
      </c>
      <c r="S200" s="99">
        <f>IFERROR(__xludf.DUMMYFUNCTION("""COMPUTED_VALUE"""),0.0)</f>
        <v>0</v>
      </c>
      <c r="T200" s="99">
        <f>IFERROR(__xludf.DUMMYFUNCTION("""COMPUTED_VALUE"""),2800.0)</f>
        <v>2800</v>
      </c>
      <c r="U200" s="99">
        <f>IFERROR(__xludf.DUMMYFUNCTION("""COMPUTED_VALUE"""),0.0)</f>
        <v>0</v>
      </c>
      <c r="V200" s="99">
        <f>IFERROR(__xludf.DUMMYFUNCTION("""COMPUTED_VALUE"""),0.0)</f>
        <v>0</v>
      </c>
      <c r="W200" s="99">
        <f>IFERROR(__xludf.DUMMYFUNCTION("""COMPUTED_VALUE"""),0.0)</f>
        <v>0</v>
      </c>
    </row>
    <row r="201">
      <c r="N201" s="98">
        <f>IFERROR(__xludf.DUMMYFUNCTION("""COMPUTED_VALUE"""),44041.0)</f>
        <v>44041</v>
      </c>
      <c r="O201" s="96" t="str">
        <f>IFERROR(__xludf.DUMMYFUNCTION("""COMPUTED_VALUE"""),"AMBA")</f>
        <v>AMBA</v>
      </c>
      <c r="P201" s="96" t="str">
        <f>IFERROR(__xludf.DUMMYFUNCTION("""COMPUTED_VALUE"""),"ROYALTY")</f>
        <v>ROYALTY</v>
      </c>
      <c r="Q201" s="99">
        <f>IFERROR(__xludf.DUMMYFUNCTION("""COMPUTED_VALUE"""),5000.0)</f>
        <v>5000</v>
      </c>
      <c r="R201" s="96" t="str">
        <f>IFERROR(__xludf.DUMMYFUNCTION("""COMPUTED_VALUE"""),"General Expenses")</f>
        <v>General Expenses</v>
      </c>
      <c r="S201" s="99">
        <f>IFERROR(__xludf.DUMMYFUNCTION("""COMPUTED_VALUE"""),0.0)</f>
        <v>0</v>
      </c>
      <c r="T201" s="99">
        <f>IFERROR(__xludf.DUMMYFUNCTION("""COMPUTED_VALUE"""),5000.0)</f>
        <v>5000</v>
      </c>
      <c r="U201" s="99">
        <f>IFERROR(__xludf.DUMMYFUNCTION("""COMPUTED_VALUE"""),0.0)</f>
        <v>0</v>
      </c>
      <c r="V201" s="99">
        <f>IFERROR(__xludf.DUMMYFUNCTION("""COMPUTED_VALUE"""),0.0)</f>
        <v>0</v>
      </c>
      <c r="W201" s="99">
        <f>IFERROR(__xludf.DUMMYFUNCTION("""COMPUTED_VALUE"""),0.0)</f>
        <v>0</v>
      </c>
    </row>
    <row r="202">
      <c r="N202" s="98">
        <f>IFERROR(__xludf.DUMMYFUNCTION("""COMPUTED_VALUE"""),44041.0)</f>
        <v>44041</v>
      </c>
      <c r="O202" s="96" t="str">
        <f>IFERROR(__xludf.DUMMYFUNCTION("""COMPUTED_VALUE"""),"DIRECTOR DAD")</f>
        <v>DIRECTOR DAD</v>
      </c>
      <c r="P202" s="96" t="str">
        <f>IFERROR(__xludf.DUMMYFUNCTION("""COMPUTED_VALUE"""),"HEALTH BILLS")</f>
        <v>HEALTH BILLS</v>
      </c>
      <c r="Q202" s="99">
        <f>IFERROR(__xludf.DUMMYFUNCTION("""COMPUTED_VALUE"""),10000.0)</f>
        <v>10000</v>
      </c>
      <c r="R202" s="96" t="str">
        <f>IFERROR(__xludf.DUMMYFUNCTION("""COMPUTED_VALUE"""),"General Expenses")</f>
        <v>General Expenses</v>
      </c>
      <c r="S202" s="99">
        <f>IFERROR(__xludf.DUMMYFUNCTION("""COMPUTED_VALUE"""),0.0)</f>
        <v>0</v>
      </c>
      <c r="T202" s="99">
        <f>IFERROR(__xludf.DUMMYFUNCTION("""COMPUTED_VALUE"""),10000.0)</f>
        <v>10000</v>
      </c>
      <c r="U202" s="99">
        <f>IFERROR(__xludf.DUMMYFUNCTION("""COMPUTED_VALUE"""),0.0)</f>
        <v>0</v>
      </c>
      <c r="V202" s="99">
        <f>IFERROR(__xludf.DUMMYFUNCTION("""COMPUTED_VALUE"""),0.0)</f>
        <v>0</v>
      </c>
      <c r="W202" s="99">
        <f>IFERROR(__xludf.DUMMYFUNCTION("""COMPUTED_VALUE"""),0.0)</f>
        <v>0</v>
      </c>
    </row>
    <row r="203">
      <c r="N203" s="98">
        <f>IFERROR(__xludf.DUMMYFUNCTION("""COMPUTED_VALUE"""),44041.0)</f>
        <v>44041</v>
      </c>
      <c r="O203" s="96" t="str">
        <f>IFERROR(__xludf.DUMMYFUNCTION("""COMPUTED_VALUE"""),"MOSES-DIVINE")</f>
        <v>MOSES-DIVINE</v>
      </c>
      <c r="P203" s="96" t="str">
        <f>IFERROR(__xludf.DUMMYFUNCTION("""COMPUTED_VALUE"""),"TRANSPOT")</f>
        <v>TRANSPOT</v>
      </c>
      <c r="Q203" s="99">
        <f>IFERROR(__xludf.DUMMYFUNCTION("""COMPUTED_VALUE"""),57000.0)</f>
        <v>57000</v>
      </c>
      <c r="R203" s="96" t="str">
        <f>IFERROR(__xludf.DUMMYFUNCTION("""COMPUTED_VALUE"""),"General Expenses")</f>
        <v>General Expenses</v>
      </c>
      <c r="S203" s="99">
        <f>IFERROR(__xludf.DUMMYFUNCTION("""COMPUTED_VALUE"""),0.0)</f>
        <v>0</v>
      </c>
      <c r="T203" s="99">
        <f>IFERROR(__xludf.DUMMYFUNCTION("""COMPUTED_VALUE"""),57000.0)</f>
        <v>57000</v>
      </c>
      <c r="U203" s="99">
        <f>IFERROR(__xludf.DUMMYFUNCTION("""COMPUTED_VALUE"""),0.0)</f>
        <v>0</v>
      </c>
      <c r="V203" s="99">
        <f>IFERROR(__xludf.DUMMYFUNCTION("""COMPUTED_VALUE"""),0.0)</f>
        <v>0</v>
      </c>
      <c r="W203" s="99">
        <f>IFERROR(__xludf.DUMMYFUNCTION("""COMPUTED_VALUE"""),0.0)</f>
        <v>0</v>
      </c>
    </row>
    <row r="204">
      <c r="N204" s="98">
        <f>IFERROR(__xludf.DUMMYFUNCTION("""COMPUTED_VALUE"""),44041.0)</f>
        <v>44041</v>
      </c>
      <c r="O204" s="96" t="str">
        <f>IFERROR(__xludf.DUMMYFUNCTION("""COMPUTED_VALUE"""),"BLESSING CHAPMAN")</f>
        <v>BLESSING CHAPMAN</v>
      </c>
      <c r="P204" s="96" t="str">
        <f>IFERROR(__xludf.DUMMYFUNCTION("""COMPUTED_VALUE"""),"CASH COLLECTED")</f>
        <v>CASH COLLECTED</v>
      </c>
      <c r="Q204" s="99">
        <f>IFERROR(__xludf.DUMMYFUNCTION("""COMPUTED_VALUE"""),680400.0)</f>
        <v>680400</v>
      </c>
      <c r="R204" s="96" t="str">
        <f>IFERROR(__xludf.DUMMYFUNCTION("""COMPUTED_VALUE"""),"Petty Cash")</f>
        <v>Petty Cash</v>
      </c>
      <c r="S204" s="99">
        <f>IFERROR(__xludf.DUMMYFUNCTION("""COMPUTED_VALUE"""),0.0)</f>
        <v>0</v>
      </c>
      <c r="T204" s="99">
        <f>IFERROR(__xludf.DUMMYFUNCTION("""COMPUTED_VALUE"""),0.0)</f>
        <v>0</v>
      </c>
      <c r="U204" s="99">
        <f>IFERROR(__xludf.DUMMYFUNCTION("""COMPUTED_VALUE"""),0.0)</f>
        <v>0</v>
      </c>
      <c r="V204" s="99">
        <f>IFERROR(__xludf.DUMMYFUNCTION("""COMPUTED_VALUE"""),680400.0)</f>
        <v>680400</v>
      </c>
      <c r="W204" s="99">
        <f>IFERROR(__xludf.DUMMYFUNCTION("""COMPUTED_VALUE"""),0.0)</f>
        <v>0</v>
      </c>
    </row>
    <row r="205">
      <c r="N205" s="98">
        <f>IFERROR(__xludf.DUMMYFUNCTION("""COMPUTED_VALUE"""),44041.0)</f>
        <v>44041</v>
      </c>
      <c r="O205" s="96" t="str">
        <f>IFERROR(__xludf.DUMMYFUNCTION("""COMPUTED_VALUE"""),"MANAGER")</f>
        <v>MANAGER</v>
      </c>
      <c r="P205" s="96" t="str">
        <f>IFERROR(__xludf.DUMMYFUNCTION("""COMPUTED_VALUE"""),"CASH-IN")</f>
        <v>CASH-IN</v>
      </c>
      <c r="Q205" s="99">
        <f>IFERROR(__xludf.DUMMYFUNCTION("""COMPUTED_VALUE"""),5000000.0)</f>
        <v>5000000</v>
      </c>
      <c r="R205" s="96" t="str">
        <f>IFERROR(__xludf.DUMMYFUNCTION("""COMPUTED_VALUE"""),"From Bank")</f>
        <v>From Bank</v>
      </c>
      <c r="S205" s="99">
        <f>IFERROR(__xludf.DUMMYFUNCTION("""COMPUTED_VALUE"""),0.0)</f>
        <v>0</v>
      </c>
      <c r="T205" s="99">
        <f>IFERROR(__xludf.DUMMYFUNCTION("""COMPUTED_VALUE"""),0.0)</f>
        <v>0</v>
      </c>
      <c r="U205" s="99">
        <f>IFERROR(__xludf.DUMMYFUNCTION("""COMPUTED_VALUE"""),5000000.0)</f>
        <v>5000000</v>
      </c>
      <c r="V205" s="99">
        <f>IFERROR(__xludf.DUMMYFUNCTION("""COMPUTED_VALUE"""),0.0)</f>
        <v>0</v>
      </c>
      <c r="W205" s="99">
        <f>IFERROR(__xludf.DUMMYFUNCTION("""COMPUTED_VALUE"""),0.0)</f>
        <v>0</v>
      </c>
    </row>
    <row r="206">
      <c r="N206" s="98">
        <f>IFERROR(__xludf.DUMMYFUNCTION("""COMPUTED_VALUE"""),44041.0)</f>
        <v>44041</v>
      </c>
      <c r="O206" s="96" t="str">
        <f>IFERROR(__xludf.DUMMYFUNCTION("""COMPUTED_VALUE"""),"DIRECTOR")</f>
        <v>DIRECTOR</v>
      </c>
      <c r="P206" s="96" t="str">
        <f>IFERROR(__xludf.DUMMYFUNCTION("""COMPUTED_VALUE"""),"CASH TRANSFERED")</f>
        <v>CASH TRANSFERED</v>
      </c>
      <c r="Q206" s="99">
        <f>IFERROR(__xludf.DUMMYFUNCTION("""COMPUTED_VALUE"""),400000.0)</f>
        <v>400000</v>
      </c>
      <c r="R206" s="96" t="str">
        <f>IFERROR(__xludf.DUMMYFUNCTION("""COMPUTED_VALUE"""),"From Bank")</f>
        <v>From Bank</v>
      </c>
      <c r="S206" s="99">
        <f>IFERROR(__xludf.DUMMYFUNCTION("""COMPUTED_VALUE"""),0.0)</f>
        <v>0</v>
      </c>
      <c r="T206" s="99">
        <f>IFERROR(__xludf.DUMMYFUNCTION("""COMPUTED_VALUE"""),0.0)</f>
        <v>0</v>
      </c>
      <c r="U206" s="99">
        <f>IFERROR(__xludf.DUMMYFUNCTION("""COMPUTED_VALUE"""),400000.0)</f>
        <v>400000</v>
      </c>
      <c r="V206" s="99">
        <f>IFERROR(__xludf.DUMMYFUNCTION("""COMPUTED_VALUE"""),0.0)</f>
        <v>0</v>
      </c>
      <c r="W206" s="99">
        <f>IFERROR(__xludf.DUMMYFUNCTION("""COMPUTED_VALUE"""),0.0)</f>
        <v>0</v>
      </c>
    </row>
    <row r="207">
      <c r="N207" s="98">
        <f>IFERROR(__xludf.DUMMYFUNCTION("""COMPUTED_VALUE"""),44042.0)</f>
        <v>44042</v>
      </c>
      <c r="O207" s="96" t="str">
        <f>IFERROR(__xludf.DUMMYFUNCTION("""COMPUTED_VALUE"""),"CORNWELL")</f>
        <v>CORNWELL</v>
      </c>
      <c r="P207" s="96" t="str">
        <f>IFERROR(__xludf.DUMMYFUNCTION("""COMPUTED_VALUE"""),"advance")</f>
        <v>advance</v>
      </c>
      <c r="Q207" s="99">
        <f>IFERROR(__xludf.DUMMYFUNCTION("""COMPUTED_VALUE"""),400000.0)</f>
        <v>400000</v>
      </c>
      <c r="R207" s="96" t="str">
        <f>IFERROR(__xludf.DUMMYFUNCTION("""COMPUTED_VALUE"""),"Prefinance")</f>
        <v>Prefinance</v>
      </c>
      <c r="S207" s="99">
        <f>IFERROR(__xludf.DUMMYFUNCTION("""COMPUTED_VALUE"""),0.0)</f>
        <v>0</v>
      </c>
      <c r="T207" s="99">
        <f>IFERROR(__xludf.DUMMYFUNCTION("""COMPUTED_VALUE"""),0.0)</f>
        <v>0</v>
      </c>
      <c r="U207" s="99">
        <f>IFERROR(__xludf.DUMMYFUNCTION("""COMPUTED_VALUE"""),0.0)</f>
        <v>0</v>
      </c>
      <c r="V207" s="99">
        <f>IFERROR(__xludf.DUMMYFUNCTION("""COMPUTED_VALUE"""),0.0)</f>
        <v>0</v>
      </c>
      <c r="W207" s="99">
        <f>IFERROR(__xludf.DUMMYFUNCTION("""COMPUTED_VALUE"""),0.0)</f>
        <v>0</v>
      </c>
    </row>
    <row r="208">
      <c r="N208" s="98">
        <f>IFERROR(__xludf.DUMMYFUNCTION("""COMPUTED_VALUE"""),44042.0)</f>
        <v>44042</v>
      </c>
      <c r="O208" s="96" t="str">
        <f>IFERROR(__xludf.DUMMYFUNCTION("""COMPUTED_VALUE"""),"NAOMI")</f>
        <v>NAOMI</v>
      </c>
      <c r="P208" s="96" t="str">
        <f>IFERROR(__xludf.DUMMYFUNCTION("""COMPUTED_VALUE"""),"up-keep")</f>
        <v>up-keep</v>
      </c>
      <c r="Q208" s="99">
        <f>IFERROR(__xludf.DUMMYFUNCTION("""COMPUTED_VALUE"""),5000.0)</f>
        <v>5000</v>
      </c>
      <c r="R208" s="96" t="str">
        <f>IFERROR(__xludf.DUMMYFUNCTION("""COMPUTED_VALUE"""),"General Expenses")</f>
        <v>General Expenses</v>
      </c>
      <c r="S208" s="99">
        <f>IFERROR(__xludf.DUMMYFUNCTION("""COMPUTED_VALUE"""),0.0)</f>
        <v>0</v>
      </c>
      <c r="T208" s="99">
        <f>IFERROR(__xludf.DUMMYFUNCTION("""COMPUTED_VALUE"""),5000.0)</f>
        <v>5000</v>
      </c>
      <c r="U208" s="99">
        <f>IFERROR(__xludf.DUMMYFUNCTION("""COMPUTED_VALUE"""),0.0)</f>
        <v>0</v>
      </c>
      <c r="V208" s="99">
        <f>IFERROR(__xludf.DUMMYFUNCTION("""COMPUTED_VALUE"""),0.0)</f>
        <v>0</v>
      </c>
      <c r="W208" s="99">
        <f>IFERROR(__xludf.DUMMYFUNCTION("""COMPUTED_VALUE"""),0.0)</f>
        <v>0</v>
      </c>
    </row>
    <row r="209">
      <c r="N209" s="98">
        <f>IFERROR(__xludf.DUMMYFUNCTION("""COMPUTED_VALUE"""),44042.0)</f>
        <v>44042</v>
      </c>
      <c r="O209" s="96" t="str">
        <f>IFERROR(__xludf.DUMMYFUNCTION("""COMPUTED_VALUE"""),"ENGINEER")</f>
        <v>ENGINEER</v>
      </c>
      <c r="P209" s="96" t="str">
        <f>IFERROR(__xludf.DUMMYFUNCTION("""COMPUTED_VALUE"""),"waybill")</f>
        <v>waybill</v>
      </c>
      <c r="Q209" s="99">
        <f>IFERROR(__xludf.DUMMYFUNCTION("""COMPUTED_VALUE"""),2000.0)</f>
        <v>2000</v>
      </c>
      <c r="R209" s="96" t="str">
        <f>IFERROR(__xludf.DUMMYFUNCTION("""COMPUTED_VALUE"""),"General Expenses")</f>
        <v>General Expenses</v>
      </c>
      <c r="S209" s="99">
        <f>IFERROR(__xludf.DUMMYFUNCTION("""COMPUTED_VALUE"""),0.0)</f>
        <v>0</v>
      </c>
      <c r="T209" s="99">
        <f>IFERROR(__xludf.DUMMYFUNCTION("""COMPUTED_VALUE"""),2000.0)</f>
        <v>2000</v>
      </c>
      <c r="U209" s="99">
        <f>IFERROR(__xludf.DUMMYFUNCTION("""COMPUTED_VALUE"""),0.0)</f>
        <v>0</v>
      </c>
      <c r="V209" s="99">
        <f>IFERROR(__xludf.DUMMYFUNCTION("""COMPUTED_VALUE"""),0.0)</f>
        <v>0</v>
      </c>
      <c r="W209" s="99">
        <f>IFERROR(__xludf.DUMMYFUNCTION("""COMPUTED_VALUE"""),0.0)</f>
        <v>0</v>
      </c>
    </row>
    <row r="210">
      <c r="N210" s="98">
        <f>IFERROR(__xludf.DUMMYFUNCTION("""COMPUTED_VALUE"""),44042.0)</f>
        <v>44042</v>
      </c>
      <c r="O210" s="96" t="str">
        <f>IFERROR(__xludf.DUMMYFUNCTION("""COMPUTED_VALUE"""),"MANAGER")</f>
        <v>MANAGER</v>
      </c>
      <c r="P210" s="96" t="str">
        <f>IFERROR(__xludf.DUMMYFUNCTION("""COMPUTED_VALUE"""),"Airtime")</f>
        <v>Airtime</v>
      </c>
      <c r="Q210" s="99">
        <f>IFERROR(__xludf.DUMMYFUNCTION("""COMPUTED_VALUE"""),500.0)</f>
        <v>500</v>
      </c>
      <c r="R210" s="96" t="str">
        <f>IFERROR(__xludf.DUMMYFUNCTION("""COMPUTED_VALUE"""),"General Expenses")</f>
        <v>General Expenses</v>
      </c>
      <c r="S210" s="99">
        <f>IFERROR(__xludf.DUMMYFUNCTION("""COMPUTED_VALUE"""),0.0)</f>
        <v>0</v>
      </c>
      <c r="T210" s="99">
        <f>IFERROR(__xludf.DUMMYFUNCTION("""COMPUTED_VALUE"""),500.0)</f>
        <v>500</v>
      </c>
      <c r="U210" s="99">
        <f>IFERROR(__xludf.DUMMYFUNCTION("""COMPUTED_VALUE"""),0.0)</f>
        <v>0</v>
      </c>
      <c r="V210" s="99">
        <f>IFERROR(__xludf.DUMMYFUNCTION("""COMPUTED_VALUE"""),0.0)</f>
        <v>0</v>
      </c>
      <c r="W210" s="99">
        <f>IFERROR(__xludf.DUMMYFUNCTION("""COMPUTED_VALUE"""),0.0)</f>
        <v>0</v>
      </c>
    </row>
    <row r="211">
      <c r="N211" s="98">
        <f>IFERROR(__xludf.DUMMYFUNCTION("""COMPUTED_VALUE"""),44042.0)</f>
        <v>44042</v>
      </c>
      <c r="O211" s="96" t="str">
        <f>IFERROR(__xludf.DUMMYFUNCTION("""COMPUTED_VALUE"""),"BLESSING CHAPMAN")</f>
        <v>BLESSING CHAPMAN</v>
      </c>
      <c r="P211" s="96" t="str">
        <f>IFERROR(__xludf.DUMMYFUNCTION("""COMPUTED_VALUE"""),"CASH COLLECTED")</f>
        <v>CASH COLLECTED</v>
      </c>
      <c r="Q211" s="99">
        <f>IFERROR(__xludf.DUMMYFUNCTION("""COMPUTED_VALUE"""),112000.0)</f>
        <v>112000</v>
      </c>
      <c r="R211" s="96" t="str">
        <f>IFERROR(__xludf.DUMMYFUNCTION("""COMPUTED_VALUE"""),"Petty Cash")</f>
        <v>Petty Cash</v>
      </c>
      <c r="S211" s="99">
        <f>IFERROR(__xludf.DUMMYFUNCTION("""COMPUTED_VALUE"""),0.0)</f>
        <v>0</v>
      </c>
      <c r="T211" s="99">
        <f>IFERROR(__xludf.DUMMYFUNCTION("""COMPUTED_VALUE"""),0.0)</f>
        <v>0</v>
      </c>
      <c r="U211" s="99">
        <f>IFERROR(__xludf.DUMMYFUNCTION("""COMPUTED_VALUE"""),0.0)</f>
        <v>0</v>
      </c>
      <c r="V211" s="99">
        <f>IFERROR(__xludf.DUMMYFUNCTION("""COMPUTED_VALUE"""),112000.0)</f>
        <v>112000</v>
      </c>
      <c r="W211" s="99">
        <f>IFERROR(__xludf.DUMMYFUNCTION("""COMPUTED_VALUE"""),0.0)</f>
        <v>0</v>
      </c>
    </row>
    <row r="212">
      <c r="N212" s="98">
        <f>IFERROR(__xludf.DUMMYFUNCTION("""COMPUTED_VALUE"""),44042.0)</f>
        <v>44042</v>
      </c>
      <c r="O212" s="96" t="str">
        <f>IFERROR(__xludf.DUMMYFUNCTION("""COMPUTED_VALUE"""),"MANAGER")</f>
        <v>MANAGER</v>
      </c>
      <c r="P212" s="96" t="str">
        <f>IFERROR(__xludf.DUMMYFUNCTION("""COMPUTED_VALUE"""),"CASH-IN")</f>
        <v>CASH-IN</v>
      </c>
      <c r="Q212" s="99">
        <f>IFERROR(__xludf.DUMMYFUNCTION("""COMPUTED_VALUE"""),100000.0)</f>
        <v>100000</v>
      </c>
      <c r="R212" s="96" t="str">
        <f>IFERROR(__xludf.DUMMYFUNCTION("""COMPUTED_VALUE"""),"From Bank")</f>
        <v>From Bank</v>
      </c>
      <c r="S212" s="99">
        <f>IFERROR(__xludf.DUMMYFUNCTION("""COMPUTED_VALUE"""),0.0)</f>
        <v>0</v>
      </c>
      <c r="T212" s="99">
        <f>IFERROR(__xludf.DUMMYFUNCTION("""COMPUTED_VALUE"""),0.0)</f>
        <v>0</v>
      </c>
      <c r="U212" s="99">
        <f>IFERROR(__xludf.DUMMYFUNCTION("""COMPUTED_VALUE"""),100000.0)</f>
        <v>100000</v>
      </c>
      <c r="V212" s="99">
        <f>IFERROR(__xludf.DUMMYFUNCTION("""COMPUTED_VALUE"""),0.0)</f>
        <v>0</v>
      </c>
      <c r="W212" s="99">
        <f>IFERROR(__xludf.DUMMYFUNCTION("""COMPUTED_VALUE"""),0.0)</f>
        <v>0</v>
      </c>
    </row>
    <row r="213">
      <c r="N213" s="98">
        <f>IFERROR(__xludf.DUMMYFUNCTION("""COMPUTED_VALUE"""),44042.0)</f>
        <v>44042</v>
      </c>
      <c r="O213" s="96" t="str">
        <f>IFERROR(__xludf.DUMMYFUNCTION("""COMPUTED_VALUE"""),"MANAGER")</f>
        <v>MANAGER</v>
      </c>
      <c r="P213" s="96" t="str">
        <f>IFERROR(__xludf.DUMMYFUNCTION("""COMPUTED_VALUE"""),"CASH-IN ")</f>
        <v>CASH-IN </v>
      </c>
      <c r="Q213" s="99">
        <f>IFERROR(__xludf.DUMMYFUNCTION("""COMPUTED_VALUE"""),372500.0)</f>
        <v>372500</v>
      </c>
      <c r="R213" s="96" t="str">
        <f>IFERROR(__xludf.DUMMYFUNCTION("""COMPUTED_VALUE"""),"From Bank")</f>
        <v>From Bank</v>
      </c>
      <c r="S213" s="99">
        <f>IFERROR(__xludf.DUMMYFUNCTION("""COMPUTED_VALUE"""),0.0)</f>
        <v>0</v>
      </c>
      <c r="T213" s="99">
        <f>IFERROR(__xludf.DUMMYFUNCTION("""COMPUTED_VALUE"""),0.0)</f>
        <v>0</v>
      </c>
      <c r="U213" s="99">
        <f>IFERROR(__xludf.DUMMYFUNCTION("""COMPUTED_VALUE"""),372500.0)</f>
        <v>372500</v>
      </c>
      <c r="V213" s="99">
        <f>IFERROR(__xludf.DUMMYFUNCTION("""COMPUTED_VALUE"""),0.0)</f>
        <v>0</v>
      </c>
      <c r="W213" s="99">
        <f>IFERROR(__xludf.DUMMYFUNCTION("""COMPUTED_VALUE"""),0.0)</f>
        <v>0</v>
      </c>
    </row>
    <row r="214">
      <c r="N214" s="98">
        <f>IFERROR(__xludf.DUMMYFUNCTION("""COMPUTED_VALUE"""),44043.0)</f>
        <v>44043</v>
      </c>
      <c r="O214" s="96" t="str">
        <f>IFERROR(__xludf.DUMMYFUNCTION("""COMPUTED_VALUE"""),"MOSES-DIVINE")</f>
        <v>MOSES-DIVINE</v>
      </c>
      <c r="P214" s="96" t="str">
        <f>IFERROR(__xludf.DUMMYFUNCTION("""COMPUTED_VALUE"""),"transport")</f>
        <v>transport</v>
      </c>
      <c r="Q214" s="99">
        <f>IFERROR(__xludf.DUMMYFUNCTION("""COMPUTED_VALUE"""),50000.0)</f>
        <v>50000</v>
      </c>
      <c r="R214" s="96" t="str">
        <f>IFERROR(__xludf.DUMMYFUNCTION("""COMPUTED_VALUE"""),"General Expenses")</f>
        <v>General Expenses</v>
      </c>
      <c r="S214" s="99">
        <f>IFERROR(__xludf.DUMMYFUNCTION("""COMPUTED_VALUE"""),0.0)</f>
        <v>0</v>
      </c>
      <c r="T214" s="99">
        <f>IFERROR(__xludf.DUMMYFUNCTION("""COMPUTED_VALUE"""),50000.0)</f>
        <v>50000</v>
      </c>
      <c r="U214" s="99">
        <f>IFERROR(__xludf.DUMMYFUNCTION("""COMPUTED_VALUE"""),0.0)</f>
        <v>0</v>
      </c>
      <c r="V214" s="99">
        <f>IFERROR(__xludf.DUMMYFUNCTION("""COMPUTED_VALUE"""),0.0)</f>
        <v>0</v>
      </c>
      <c r="W214" s="99">
        <f>IFERROR(__xludf.DUMMYFUNCTION("""COMPUTED_VALUE"""),0.0)</f>
        <v>0</v>
      </c>
    </row>
    <row r="215">
      <c r="N215" s="98">
        <f>IFERROR(__xludf.DUMMYFUNCTION("""COMPUTED_VALUE"""),44043.0)</f>
        <v>44043</v>
      </c>
      <c r="O215" s="96" t="str">
        <f>IFERROR(__xludf.DUMMYFUNCTION("""COMPUTED_VALUE"""),"ADA")</f>
        <v>ADA</v>
      </c>
      <c r="P215" s="96" t="str">
        <f>IFERROR(__xludf.DUMMYFUNCTION("""COMPUTED_VALUE"""),"transport to Tulip")</f>
        <v>transport to Tulip</v>
      </c>
      <c r="Q215" s="99">
        <f>IFERROR(__xludf.DUMMYFUNCTION("""COMPUTED_VALUE"""),200.0)</f>
        <v>200</v>
      </c>
      <c r="R215" s="96" t="str">
        <f>IFERROR(__xludf.DUMMYFUNCTION("""COMPUTED_VALUE"""),"General Expenses")</f>
        <v>General Expenses</v>
      </c>
      <c r="S215" s="99">
        <f>IFERROR(__xludf.DUMMYFUNCTION("""COMPUTED_VALUE"""),0.0)</f>
        <v>0</v>
      </c>
      <c r="T215" s="99">
        <f>IFERROR(__xludf.DUMMYFUNCTION("""COMPUTED_VALUE"""),200.0)</f>
        <v>200</v>
      </c>
      <c r="U215" s="99">
        <f>IFERROR(__xludf.DUMMYFUNCTION("""COMPUTED_VALUE"""),0.0)</f>
        <v>0</v>
      </c>
      <c r="V215" s="99">
        <f>IFERROR(__xludf.DUMMYFUNCTION("""COMPUTED_VALUE"""),0.0)</f>
        <v>0</v>
      </c>
      <c r="W215" s="99">
        <f>IFERROR(__xludf.DUMMYFUNCTION("""COMPUTED_VALUE"""),0.0)</f>
        <v>0</v>
      </c>
    </row>
    <row r="216">
      <c r="N216" s="98">
        <f>IFERROR(__xludf.DUMMYFUNCTION("""COMPUTED_VALUE"""),44043.0)</f>
        <v>44043</v>
      </c>
      <c r="O216" s="96" t="str">
        <f>IFERROR(__xludf.DUMMYFUNCTION("""COMPUTED_VALUE"""),"BLESSING CHAPMAN")</f>
        <v>BLESSING CHAPMAN</v>
      </c>
      <c r="P216" s="96" t="str">
        <f>IFERROR(__xludf.DUMMYFUNCTION("""COMPUTED_VALUE"""),"cash collected")</f>
        <v>cash collected</v>
      </c>
      <c r="Q216" s="99">
        <f>IFERROR(__xludf.DUMMYFUNCTION("""COMPUTED_VALUE"""),50200.0)</f>
        <v>50200</v>
      </c>
      <c r="R216" s="96" t="str">
        <f>IFERROR(__xludf.DUMMYFUNCTION("""COMPUTED_VALUE"""),"Petty Cash")</f>
        <v>Petty Cash</v>
      </c>
      <c r="S216" s="99">
        <f>IFERROR(__xludf.DUMMYFUNCTION("""COMPUTED_VALUE"""),0.0)</f>
        <v>0</v>
      </c>
      <c r="T216" s="99">
        <f>IFERROR(__xludf.DUMMYFUNCTION("""COMPUTED_VALUE"""),0.0)</f>
        <v>0</v>
      </c>
      <c r="U216" s="99">
        <f>IFERROR(__xludf.DUMMYFUNCTION("""COMPUTED_VALUE"""),0.0)</f>
        <v>0</v>
      </c>
      <c r="V216" s="99">
        <f>IFERROR(__xludf.DUMMYFUNCTION("""COMPUTED_VALUE"""),50200.0)</f>
        <v>50200</v>
      </c>
      <c r="W216" s="99">
        <f>IFERROR(__xludf.DUMMYFUNCTION("""COMPUTED_VALUE"""),0.0)</f>
        <v>0</v>
      </c>
    </row>
    <row r="217">
      <c r="N217" s="98">
        <f>IFERROR(__xludf.DUMMYFUNCTION("""COMPUTED_VALUE"""),44043.0)</f>
        <v>44043</v>
      </c>
      <c r="O217" s="96" t="str">
        <f>IFERROR(__xludf.DUMMYFUNCTION("""COMPUTED_VALUE"""),"MANAGER")</f>
        <v>MANAGER</v>
      </c>
      <c r="P217" s="96" t="str">
        <f>IFERROR(__xludf.DUMMYFUNCTION("""COMPUTED_VALUE""")," cash-in")</f>
        <v> cash-in</v>
      </c>
      <c r="Q217" s="99">
        <f>IFERROR(__xludf.DUMMYFUNCTION("""COMPUTED_VALUE"""),48000.0)</f>
        <v>48000</v>
      </c>
      <c r="R217" s="96" t="str">
        <f>IFERROR(__xludf.DUMMYFUNCTION("""COMPUTED_VALUE"""),"From Bank")</f>
        <v>From Bank</v>
      </c>
      <c r="S217" s="99">
        <f>IFERROR(__xludf.DUMMYFUNCTION("""COMPUTED_VALUE"""),0.0)</f>
        <v>0</v>
      </c>
      <c r="T217" s="99">
        <f>IFERROR(__xludf.DUMMYFUNCTION("""COMPUTED_VALUE"""),0.0)</f>
        <v>0</v>
      </c>
      <c r="U217" s="99">
        <f>IFERROR(__xludf.DUMMYFUNCTION("""COMPUTED_VALUE"""),48000.0)</f>
        <v>48000</v>
      </c>
      <c r="V217" s="99">
        <f>IFERROR(__xludf.DUMMYFUNCTION("""COMPUTED_VALUE"""),0.0)</f>
        <v>0</v>
      </c>
      <c r="W217" s="99">
        <f>IFERROR(__xludf.DUMMYFUNCTION("""COMPUTED_VALUE"""),0.0)</f>
        <v>0</v>
      </c>
    </row>
    <row r="218">
      <c r="N218" s="98">
        <f>IFERROR(__xludf.DUMMYFUNCTION("""COMPUTED_VALUE"""),44044.0)</f>
        <v>44044</v>
      </c>
      <c r="O218" s="96" t="str">
        <f>IFERROR(__xludf.DUMMYFUNCTION("""COMPUTED_VALUE"""),"LABOUR  BOY")</f>
        <v>LABOUR  BOY</v>
      </c>
      <c r="P218" s="96" t="str">
        <f>IFERROR(__xludf.DUMMYFUNCTION("""COMPUTED_VALUE"""),"wages")</f>
        <v>wages</v>
      </c>
      <c r="Q218" s="99">
        <f>IFERROR(__xludf.DUMMYFUNCTION("""COMPUTED_VALUE"""),58000.0)</f>
        <v>58000</v>
      </c>
      <c r="R218" s="96" t="str">
        <f>IFERROR(__xludf.DUMMYFUNCTION("""COMPUTED_VALUE"""),"General Expenses")</f>
        <v>General Expenses</v>
      </c>
      <c r="S218" s="99">
        <f>IFERROR(__xludf.DUMMYFUNCTION("""COMPUTED_VALUE"""),0.0)</f>
        <v>0</v>
      </c>
      <c r="T218" s="99">
        <f>IFERROR(__xludf.DUMMYFUNCTION("""COMPUTED_VALUE"""),58000.0)</f>
        <v>58000</v>
      </c>
      <c r="U218" s="99">
        <f>IFERROR(__xludf.DUMMYFUNCTION("""COMPUTED_VALUE"""),0.0)</f>
        <v>0</v>
      </c>
      <c r="V218" s="99">
        <f>IFERROR(__xludf.DUMMYFUNCTION("""COMPUTED_VALUE"""),0.0)</f>
        <v>0</v>
      </c>
      <c r="W218" s="99">
        <f>IFERROR(__xludf.DUMMYFUNCTION("""COMPUTED_VALUE"""),0.0)</f>
        <v>0</v>
      </c>
    </row>
    <row r="219">
      <c r="N219" s="98">
        <f>IFERROR(__xludf.DUMMYFUNCTION("""COMPUTED_VALUE"""),44044.0)</f>
        <v>44044</v>
      </c>
      <c r="O219" s="96" t="str">
        <f>IFERROR(__xludf.DUMMYFUNCTION("""COMPUTED_VALUE"""),"WAREHOUSE")</f>
        <v>WAREHOUSE</v>
      </c>
      <c r="P219" s="96" t="str">
        <f>IFERROR(__xludf.DUMMYFUNCTION("""COMPUTED_VALUE"""),"gas")</f>
        <v>gas</v>
      </c>
      <c r="Q219" s="99">
        <f>IFERROR(__xludf.DUMMYFUNCTION("""COMPUTED_VALUE"""),3000.0)</f>
        <v>3000</v>
      </c>
      <c r="R219" s="96" t="str">
        <f>IFERROR(__xludf.DUMMYFUNCTION("""COMPUTED_VALUE"""),"General Expenses")</f>
        <v>General Expenses</v>
      </c>
      <c r="S219" s="99">
        <f>IFERROR(__xludf.DUMMYFUNCTION("""COMPUTED_VALUE"""),0.0)</f>
        <v>0</v>
      </c>
      <c r="T219" s="99">
        <f>IFERROR(__xludf.DUMMYFUNCTION("""COMPUTED_VALUE"""),3000.0)</f>
        <v>3000</v>
      </c>
      <c r="U219" s="99">
        <f>IFERROR(__xludf.DUMMYFUNCTION("""COMPUTED_VALUE"""),0.0)</f>
        <v>0</v>
      </c>
      <c r="V219" s="99">
        <f>IFERROR(__xludf.DUMMYFUNCTION("""COMPUTED_VALUE"""),0.0)</f>
        <v>0</v>
      </c>
      <c r="W219" s="99">
        <f>IFERROR(__xludf.DUMMYFUNCTION("""COMPUTED_VALUE"""),0.0)</f>
        <v>0</v>
      </c>
    </row>
    <row r="220">
      <c r="N220" s="98">
        <f>IFERROR(__xludf.DUMMYFUNCTION("""COMPUTED_VALUE"""),44044.0)</f>
        <v>44044</v>
      </c>
      <c r="O220" s="96" t="str">
        <f>IFERROR(__xludf.DUMMYFUNCTION("""COMPUTED_VALUE"""),"MANAGER")</f>
        <v>MANAGER</v>
      </c>
      <c r="P220" s="96" t="str">
        <f>IFERROR(__xludf.DUMMYFUNCTION("""COMPUTED_VALUE"""),"cash collected")</f>
        <v>cash collected</v>
      </c>
      <c r="Q220" s="99">
        <f>IFERROR(__xludf.DUMMYFUNCTION("""COMPUTED_VALUE"""),61000.0)</f>
        <v>61000</v>
      </c>
      <c r="R220" s="96" t="str">
        <f>IFERROR(__xludf.DUMMYFUNCTION("""COMPUTED_VALUE"""),"Petty Cash")</f>
        <v>Petty Cash</v>
      </c>
      <c r="S220" s="99">
        <f>IFERROR(__xludf.DUMMYFUNCTION("""COMPUTED_VALUE"""),0.0)</f>
        <v>0</v>
      </c>
      <c r="T220" s="99">
        <f>IFERROR(__xludf.DUMMYFUNCTION("""COMPUTED_VALUE"""),0.0)</f>
        <v>0</v>
      </c>
      <c r="U220" s="99">
        <f>IFERROR(__xludf.DUMMYFUNCTION("""COMPUTED_VALUE"""),0.0)</f>
        <v>0</v>
      </c>
      <c r="V220" s="99">
        <f>IFERROR(__xludf.DUMMYFUNCTION("""COMPUTED_VALUE"""),61000.0)</f>
        <v>61000</v>
      </c>
      <c r="W220" s="99">
        <f>IFERROR(__xludf.DUMMYFUNCTION("""COMPUTED_VALUE"""),0.0)</f>
        <v>0</v>
      </c>
    </row>
    <row r="221">
      <c r="N221" s="98">
        <f>IFERROR(__xludf.DUMMYFUNCTION("""COMPUTED_VALUE"""),44044.0)</f>
        <v>44044</v>
      </c>
      <c r="O221" s="96" t="str">
        <f>IFERROR(__xludf.DUMMYFUNCTION("""COMPUTED_VALUE"""),"MANAGER")</f>
        <v>MANAGER</v>
      </c>
      <c r="P221" s="96" t="str">
        <f>IFERROR(__xludf.DUMMYFUNCTION("""COMPUTED_VALUE"""),"cash-in")</f>
        <v>cash-in</v>
      </c>
      <c r="Q221" s="99">
        <f>IFERROR(__xludf.DUMMYFUNCTION("""COMPUTED_VALUE"""),61000.0)</f>
        <v>61000</v>
      </c>
      <c r="R221" s="96" t="str">
        <f>IFERROR(__xludf.DUMMYFUNCTION("""COMPUTED_VALUE"""),"From Bank")</f>
        <v>From Bank</v>
      </c>
      <c r="S221" s="99">
        <f>IFERROR(__xludf.DUMMYFUNCTION("""COMPUTED_VALUE"""),0.0)</f>
        <v>0</v>
      </c>
      <c r="T221" s="99">
        <f>IFERROR(__xludf.DUMMYFUNCTION("""COMPUTED_VALUE"""),0.0)</f>
        <v>0</v>
      </c>
      <c r="U221" s="99">
        <f>IFERROR(__xludf.DUMMYFUNCTION("""COMPUTED_VALUE"""),61000.0)</f>
        <v>61000</v>
      </c>
      <c r="V221" s="99">
        <f>IFERROR(__xludf.DUMMYFUNCTION("""COMPUTED_VALUE"""),0.0)</f>
        <v>0</v>
      </c>
      <c r="W221" s="99">
        <f>IFERROR(__xludf.DUMMYFUNCTION("""COMPUTED_VALUE"""),0.0)</f>
        <v>0</v>
      </c>
    </row>
    <row r="222">
      <c r="N222" s="98">
        <f>IFERROR(__xludf.DUMMYFUNCTION("""COMPUTED_VALUE"""),44043.0)</f>
        <v>44043</v>
      </c>
      <c r="O222" s="96" t="str">
        <f>IFERROR(__xludf.DUMMYFUNCTION("""COMPUTED_VALUE"""),"MANAGER")</f>
        <v>MANAGER</v>
      </c>
      <c r="P222" s="96" t="str">
        <f>IFERROR(__xludf.DUMMYFUNCTION("""COMPUTED_VALUE"""),"cash collected")</f>
        <v>cash collected</v>
      </c>
      <c r="Q222" s="99">
        <f>IFERROR(__xludf.DUMMYFUNCTION("""COMPUTED_VALUE"""),48000.0)</f>
        <v>48000</v>
      </c>
      <c r="R222" s="96" t="str">
        <f>IFERROR(__xludf.DUMMYFUNCTION("""COMPUTED_VALUE"""),"Petty Cash")</f>
        <v>Petty Cash</v>
      </c>
      <c r="S222" s="99">
        <f>IFERROR(__xludf.DUMMYFUNCTION("""COMPUTED_VALUE"""),0.0)</f>
        <v>0</v>
      </c>
      <c r="T222" s="99">
        <f>IFERROR(__xludf.DUMMYFUNCTION("""COMPUTED_VALUE"""),0.0)</f>
        <v>0</v>
      </c>
      <c r="U222" s="99">
        <f>IFERROR(__xludf.DUMMYFUNCTION("""COMPUTED_VALUE"""),0.0)</f>
        <v>0</v>
      </c>
      <c r="V222" s="99">
        <f>IFERROR(__xludf.DUMMYFUNCTION("""COMPUTED_VALUE"""),48000.0)</f>
        <v>48000</v>
      </c>
      <c r="W222" s="99">
        <f>IFERROR(__xludf.DUMMYFUNCTION("""COMPUTED_VALUE"""),0.0)</f>
        <v>0</v>
      </c>
    </row>
    <row r="223">
      <c r="N223" s="98">
        <f>IFERROR(__xludf.DUMMYFUNCTION("""COMPUTED_VALUE"""),44047.0)</f>
        <v>44047</v>
      </c>
      <c r="O223" s="96" t="str">
        <f>IFERROR(__xludf.DUMMYFUNCTION("""COMPUTED_VALUE""")," MAXWELL AGRO")</f>
        <v> MAXWELL AGRO</v>
      </c>
      <c r="P223" s="96" t="str">
        <f>IFERROR(__xludf.DUMMYFUNCTION("""COMPUTED_VALUE"""),"advance")</f>
        <v>advance</v>
      </c>
      <c r="Q223" s="99">
        <f>IFERROR(__xludf.DUMMYFUNCTION("""COMPUTED_VALUE"""),500000.0)</f>
        <v>500000</v>
      </c>
      <c r="R223" s="96" t="str">
        <f>IFERROR(__xludf.DUMMYFUNCTION("""COMPUTED_VALUE"""),"Prefinance")</f>
        <v>Prefinance</v>
      </c>
      <c r="S223" s="99">
        <f>IFERROR(__xludf.DUMMYFUNCTION("""COMPUTED_VALUE"""),0.0)</f>
        <v>0</v>
      </c>
      <c r="T223" s="99">
        <f>IFERROR(__xludf.DUMMYFUNCTION("""COMPUTED_VALUE"""),0.0)</f>
        <v>0</v>
      </c>
      <c r="U223" s="99">
        <f>IFERROR(__xludf.DUMMYFUNCTION("""COMPUTED_VALUE"""),0.0)</f>
        <v>0</v>
      </c>
      <c r="V223" s="99">
        <f>IFERROR(__xludf.DUMMYFUNCTION("""COMPUTED_VALUE"""),0.0)</f>
        <v>0</v>
      </c>
      <c r="W223" s="99">
        <f>IFERROR(__xludf.DUMMYFUNCTION("""COMPUTED_VALUE"""),0.0)</f>
        <v>0</v>
      </c>
    </row>
    <row r="224">
      <c r="N224" s="98">
        <f>IFERROR(__xludf.DUMMYFUNCTION("""COMPUTED_VALUE"""),44047.0)</f>
        <v>44047</v>
      </c>
      <c r="O224" s="96" t="str">
        <f>IFERROR(__xludf.DUMMYFUNCTION("""COMPUTED_VALUE"""),"CONNECT")</f>
        <v>CONNECT</v>
      </c>
      <c r="P224" s="96" t="str">
        <f>IFERROR(__xludf.DUMMYFUNCTION("""COMPUTED_VALUE"""),"advance")</f>
        <v>advance</v>
      </c>
      <c r="Q224" s="99">
        <f>IFERROR(__xludf.DUMMYFUNCTION("""COMPUTED_VALUE"""),1500000.0)</f>
        <v>1500000</v>
      </c>
      <c r="R224" s="96" t="str">
        <f>IFERROR(__xludf.DUMMYFUNCTION("""COMPUTED_VALUE"""),"Prefinance")</f>
        <v>Prefinance</v>
      </c>
      <c r="S224" s="99">
        <f>IFERROR(__xludf.DUMMYFUNCTION("""COMPUTED_VALUE"""),0.0)</f>
        <v>0</v>
      </c>
      <c r="T224" s="99">
        <f>IFERROR(__xludf.DUMMYFUNCTION("""COMPUTED_VALUE"""),0.0)</f>
        <v>0</v>
      </c>
      <c r="U224" s="99">
        <f>IFERROR(__xludf.DUMMYFUNCTION("""COMPUTED_VALUE"""),0.0)</f>
        <v>0</v>
      </c>
      <c r="V224" s="99">
        <f>IFERROR(__xludf.DUMMYFUNCTION("""COMPUTED_VALUE"""),0.0)</f>
        <v>0</v>
      </c>
      <c r="W224" s="99">
        <f>IFERROR(__xludf.DUMMYFUNCTION("""COMPUTED_VALUE"""),0.0)</f>
        <v>0</v>
      </c>
    </row>
    <row r="225">
      <c r="N225" s="98">
        <f>IFERROR(__xludf.DUMMYFUNCTION("""COMPUTED_VALUE"""),44047.0)</f>
        <v>44047</v>
      </c>
      <c r="O225" s="96" t="str">
        <f>IFERROR(__xludf.DUMMYFUNCTION("""COMPUTED_VALUE"""),"PRINNESS")</f>
        <v>PRINNESS</v>
      </c>
      <c r="P225" s="96" t="str">
        <f>IFERROR(__xludf.DUMMYFUNCTION("""COMPUTED_VALUE"""),"advance")</f>
        <v>advance</v>
      </c>
      <c r="Q225" s="99">
        <f>IFERROR(__xludf.DUMMYFUNCTION("""COMPUTED_VALUE"""),300000.0)</f>
        <v>300000</v>
      </c>
      <c r="R225" s="96" t="str">
        <f>IFERROR(__xludf.DUMMYFUNCTION("""COMPUTED_VALUE"""),"Prefinance")</f>
        <v>Prefinance</v>
      </c>
      <c r="S225" s="99">
        <f>IFERROR(__xludf.DUMMYFUNCTION("""COMPUTED_VALUE"""),0.0)</f>
        <v>0</v>
      </c>
      <c r="T225" s="99">
        <f>IFERROR(__xludf.DUMMYFUNCTION("""COMPUTED_VALUE"""),0.0)</f>
        <v>0</v>
      </c>
      <c r="U225" s="99">
        <f>IFERROR(__xludf.DUMMYFUNCTION("""COMPUTED_VALUE"""),0.0)</f>
        <v>0</v>
      </c>
      <c r="V225" s="99">
        <f>IFERROR(__xludf.DUMMYFUNCTION("""COMPUTED_VALUE"""),0.0)</f>
        <v>0</v>
      </c>
      <c r="W225" s="99">
        <f>IFERROR(__xludf.DUMMYFUNCTION("""COMPUTED_VALUE"""),0.0)</f>
        <v>0</v>
      </c>
    </row>
    <row r="226">
      <c r="N226" s="98">
        <f>IFERROR(__xludf.DUMMYFUNCTION("""COMPUTED_VALUE"""),44047.0)</f>
        <v>44047</v>
      </c>
      <c r="O226" s="96" t="str">
        <f>IFERROR(__xludf.DUMMYFUNCTION("""COMPUTED_VALUE"""),"LIVINUS")</f>
        <v>LIVINUS</v>
      </c>
      <c r="P226" s="96" t="str">
        <f>IFERROR(__xludf.DUMMYFUNCTION("""COMPUTED_VALUE"""),"advance")</f>
        <v>advance</v>
      </c>
      <c r="Q226" s="99">
        <f>IFERROR(__xludf.DUMMYFUNCTION("""COMPUTED_VALUE"""),720000.0)</f>
        <v>720000</v>
      </c>
      <c r="R226" s="96" t="str">
        <f>IFERROR(__xludf.DUMMYFUNCTION("""COMPUTED_VALUE"""),"Prefinance")</f>
        <v>Prefinance</v>
      </c>
      <c r="S226" s="99">
        <f>IFERROR(__xludf.DUMMYFUNCTION("""COMPUTED_VALUE"""),0.0)</f>
        <v>0</v>
      </c>
      <c r="T226" s="99">
        <f>IFERROR(__xludf.DUMMYFUNCTION("""COMPUTED_VALUE"""),0.0)</f>
        <v>0</v>
      </c>
      <c r="U226" s="99">
        <f>IFERROR(__xludf.DUMMYFUNCTION("""COMPUTED_VALUE"""),0.0)</f>
        <v>0</v>
      </c>
      <c r="V226" s="99">
        <f>IFERROR(__xludf.DUMMYFUNCTION("""COMPUTED_VALUE"""),0.0)</f>
        <v>0</v>
      </c>
      <c r="W226" s="99">
        <f>IFERROR(__xludf.DUMMYFUNCTION("""COMPUTED_VALUE"""),0.0)</f>
        <v>0</v>
      </c>
    </row>
    <row r="227">
      <c r="N227" s="98">
        <f>IFERROR(__xludf.DUMMYFUNCTION("""COMPUTED_VALUE"""),44047.0)</f>
        <v>44047</v>
      </c>
      <c r="O227" s="96" t="str">
        <f>IFERROR(__xludf.DUMMYFUNCTION("""COMPUTED_VALUE"""),"MANAGER")</f>
        <v>MANAGER</v>
      </c>
      <c r="P227" s="96" t="str">
        <f>IFERROR(__xludf.DUMMYFUNCTION("""COMPUTED_VALUE"""),"airtime")</f>
        <v>airtime</v>
      </c>
      <c r="Q227" s="99">
        <f>IFERROR(__xludf.DUMMYFUNCTION("""COMPUTED_VALUE"""),2000.0)</f>
        <v>2000</v>
      </c>
      <c r="R227" s="96" t="str">
        <f>IFERROR(__xludf.DUMMYFUNCTION("""COMPUTED_VALUE"""),"General Expenses")</f>
        <v>General Expenses</v>
      </c>
      <c r="S227" s="99">
        <f>IFERROR(__xludf.DUMMYFUNCTION("""COMPUTED_VALUE"""),0.0)</f>
        <v>0</v>
      </c>
      <c r="T227" s="99">
        <f>IFERROR(__xludf.DUMMYFUNCTION("""COMPUTED_VALUE"""),2000.0)</f>
        <v>2000</v>
      </c>
      <c r="U227" s="99">
        <f>IFERROR(__xludf.DUMMYFUNCTION("""COMPUTED_VALUE"""),0.0)</f>
        <v>0</v>
      </c>
      <c r="V227" s="99">
        <f>IFERROR(__xludf.DUMMYFUNCTION("""COMPUTED_VALUE"""),0.0)</f>
        <v>0</v>
      </c>
      <c r="W227" s="99">
        <f>IFERROR(__xludf.DUMMYFUNCTION("""COMPUTED_VALUE"""),0.0)</f>
        <v>0</v>
      </c>
    </row>
    <row r="228">
      <c r="N228" s="98">
        <f>IFERROR(__xludf.DUMMYFUNCTION("""COMPUTED_VALUE"""),44047.0)</f>
        <v>44047</v>
      </c>
      <c r="O228" s="96" t="str">
        <f>IFERROR(__xludf.DUMMYFUNCTION("""COMPUTED_VALUE"""),"BLESSING CHAPMAN")</f>
        <v>BLESSING CHAPMAN</v>
      </c>
      <c r="P228" s="96" t="str">
        <f>IFERROR(__xludf.DUMMYFUNCTION("""COMPUTED_VALUE"""),"cash collected")</f>
        <v>cash collected</v>
      </c>
      <c r="Q228" s="99">
        <f>IFERROR(__xludf.DUMMYFUNCTION("""COMPUTED_VALUE"""),25000.0)</f>
        <v>25000</v>
      </c>
      <c r="R228" s="96" t="str">
        <f>IFERROR(__xludf.DUMMYFUNCTION("""COMPUTED_VALUE"""),"Petty Cash")</f>
        <v>Petty Cash</v>
      </c>
      <c r="S228" s="99">
        <f>IFERROR(__xludf.DUMMYFUNCTION("""COMPUTED_VALUE"""),0.0)</f>
        <v>0</v>
      </c>
      <c r="T228" s="99">
        <f>IFERROR(__xludf.DUMMYFUNCTION("""COMPUTED_VALUE"""),0.0)</f>
        <v>0</v>
      </c>
      <c r="U228" s="99">
        <f>IFERROR(__xludf.DUMMYFUNCTION("""COMPUTED_VALUE"""),0.0)</f>
        <v>0</v>
      </c>
      <c r="V228" s="99">
        <f>IFERROR(__xludf.DUMMYFUNCTION("""COMPUTED_VALUE"""),25000.0)</f>
        <v>25000</v>
      </c>
      <c r="W228" s="99">
        <f>IFERROR(__xludf.DUMMYFUNCTION("""COMPUTED_VALUE"""),0.0)</f>
        <v>0</v>
      </c>
    </row>
    <row r="229">
      <c r="N229" s="98">
        <f>IFERROR(__xludf.DUMMYFUNCTION("""COMPUTED_VALUE"""),44047.0)</f>
        <v>44047</v>
      </c>
      <c r="O229" s="96" t="str">
        <f>IFERROR(__xludf.DUMMYFUNCTION("""COMPUTED_VALUE"""),"MANAGER")</f>
        <v>MANAGER</v>
      </c>
      <c r="P229" s="96" t="str">
        <f>IFERROR(__xludf.DUMMYFUNCTION("""COMPUTED_VALUE"""),"cash-in")</f>
        <v>cash-in</v>
      </c>
      <c r="Q229" s="99">
        <f>IFERROR(__xludf.DUMMYFUNCTION("""COMPUTED_VALUE"""),3045000.0)</f>
        <v>3045000</v>
      </c>
      <c r="R229" s="96" t="str">
        <f>IFERROR(__xludf.DUMMYFUNCTION("""COMPUTED_VALUE"""),"From Bank")</f>
        <v>From Bank</v>
      </c>
      <c r="S229" s="99">
        <f>IFERROR(__xludf.DUMMYFUNCTION("""COMPUTED_VALUE"""),0.0)</f>
        <v>0</v>
      </c>
      <c r="T229" s="99">
        <f>IFERROR(__xludf.DUMMYFUNCTION("""COMPUTED_VALUE"""),0.0)</f>
        <v>0</v>
      </c>
      <c r="U229" s="99">
        <f>IFERROR(__xludf.DUMMYFUNCTION("""COMPUTED_VALUE"""),3045000.0)</f>
        <v>3045000</v>
      </c>
      <c r="V229" s="99">
        <f>IFERROR(__xludf.DUMMYFUNCTION("""COMPUTED_VALUE"""),0.0)</f>
        <v>0</v>
      </c>
      <c r="W229" s="99">
        <f>IFERROR(__xludf.DUMMYFUNCTION("""COMPUTED_VALUE"""),0.0)</f>
        <v>0</v>
      </c>
    </row>
    <row r="230">
      <c r="N230" s="98">
        <f>IFERROR(__xludf.DUMMYFUNCTION("""COMPUTED_VALUE"""),44048.0)</f>
        <v>44048</v>
      </c>
      <c r="O230" s="96" t="str">
        <f>IFERROR(__xludf.DUMMYFUNCTION("""COMPUTED_VALUE"""),"CHINEDU")</f>
        <v>CHINEDU</v>
      </c>
      <c r="P230" s="96" t="str">
        <f>IFERROR(__xludf.DUMMYFUNCTION("""COMPUTED_VALUE"""),"SALARY")</f>
        <v>SALARY</v>
      </c>
      <c r="Q230" s="99">
        <f>IFERROR(__xludf.DUMMYFUNCTION("""COMPUTED_VALUE"""),40000.0)</f>
        <v>40000</v>
      </c>
      <c r="R230" s="96" t="str">
        <f>IFERROR(__xludf.DUMMYFUNCTION("""COMPUTED_VALUE"""),"General Expenses")</f>
        <v>General Expenses</v>
      </c>
      <c r="S230" s="99">
        <f>IFERROR(__xludf.DUMMYFUNCTION("""COMPUTED_VALUE"""),0.0)</f>
        <v>0</v>
      </c>
      <c r="T230" s="99">
        <f>IFERROR(__xludf.DUMMYFUNCTION("""COMPUTED_VALUE"""),40000.0)</f>
        <v>40000</v>
      </c>
      <c r="U230" s="99">
        <f>IFERROR(__xludf.DUMMYFUNCTION("""COMPUTED_VALUE"""),0.0)</f>
        <v>0</v>
      </c>
      <c r="V230" s="99">
        <f>IFERROR(__xludf.DUMMYFUNCTION("""COMPUTED_VALUE"""),0.0)</f>
        <v>0</v>
      </c>
      <c r="W230" s="99">
        <f>IFERROR(__xludf.DUMMYFUNCTION("""COMPUTED_VALUE"""),0.0)</f>
        <v>0</v>
      </c>
    </row>
    <row r="231">
      <c r="N231" s="98">
        <f>IFERROR(__xludf.DUMMYFUNCTION("""COMPUTED_VALUE"""),44048.0)</f>
        <v>44048</v>
      </c>
      <c r="O231" s="96" t="str">
        <f>IFERROR(__xludf.DUMMYFUNCTION("""COMPUTED_VALUE"""),"BLESSING CHAPMAN")</f>
        <v>BLESSING CHAPMAN</v>
      </c>
      <c r="P231" s="96" t="str">
        <f>IFERROR(__xludf.DUMMYFUNCTION("""COMPUTED_VALUE"""),"SALARY")</f>
        <v>SALARY</v>
      </c>
      <c r="Q231" s="99">
        <f>IFERROR(__xludf.DUMMYFUNCTION("""COMPUTED_VALUE"""),18000.0)</f>
        <v>18000</v>
      </c>
      <c r="R231" s="96" t="str">
        <f>IFERROR(__xludf.DUMMYFUNCTION("""COMPUTED_VALUE"""),"General Expenses")</f>
        <v>General Expenses</v>
      </c>
      <c r="S231" s="99">
        <f>IFERROR(__xludf.DUMMYFUNCTION("""COMPUTED_VALUE"""),0.0)</f>
        <v>0</v>
      </c>
      <c r="T231" s="99">
        <f>IFERROR(__xludf.DUMMYFUNCTION("""COMPUTED_VALUE"""),18000.0)</f>
        <v>18000</v>
      </c>
      <c r="U231" s="99">
        <f>IFERROR(__xludf.DUMMYFUNCTION("""COMPUTED_VALUE"""),0.0)</f>
        <v>0</v>
      </c>
      <c r="V231" s="99">
        <f>IFERROR(__xludf.DUMMYFUNCTION("""COMPUTED_VALUE"""),0.0)</f>
        <v>0</v>
      </c>
      <c r="W231" s="99">
        <f>IFERROR(__xludf.DUMMYFUNCTION("""COMPUTED_VALUE"""),0.0)</f>
        <v>0</v>
      </c>
    </row>
    <row r="232">
      <c r="N232" s="98">
        <f>IFERROR(__xludf.DUMMYFUNCTION("""COMPUTED_VALUE"""),44048.0)</f>
        <v>44048</v>
      </c>
      <c r="O232" s="96" t="str">
        <f>IFERROR(__xludf.DUMMYFUNCTION("""COMPUTED_VALUE"""),"ADA")</f>
        <v>ADA</v>
      </c>
      <c r="P232" s="96" t="str">
        <f>IFERROR(__xludf.DUMMYFUNCTION("""COMPUTED_VALUE"""),"SALARY")</f>
        <v>SALARY</v>
      </c>
      <c r="Q232" s="99">
        <f>IFERROR(__xludf.DUMMYFUNCTION("""COMPUTED_VALUE"""),15000.0)</f>
        <v>15000</v>
      </c>
      <c r="R232" s="96" t="str">
        <f>IFERROR(__xludf.DUMMYFUNCTION("""COMPUTED_VALUE"""),"General Expenses")</f>
        <v>General Expenses</v>
      </c>
      <c r="S232" s="99">
        <f>IFERROR(__xludf.DUMMYFUNCTION("""COMPUTED_VALUE"""),0.0)</f>
        <v>0</v>
      </c>
      <c r="T232" s="99">
        <f>IFERROR(__xludf.DUMMYFUNCTION("""COMPUTED_VALUE"""),15000.0)</f>
        <v>15000</v>
      </c>
      <c r="U232" s="99">
        <f>IFERROR(__xludf.DUMMYFUNCTION("""COMPUTED_VALUE"""),0.0)</f>
        <v>0</v>
      </c>
      <c r="V232" s="99">
        <f>IFERROR(__xludf.DUMMYFUNCTION("""COMPUTED_VALUE"""),0.0)</f>
        <v>0</v>
      </c>
      <c r="W232" s="99">
        <f>IFERROR(__xludf.DUMMYFUNCTION("""COMPUTED_VALUE"""),0.0)</f>
        <v>0</v>
      </c>
    </row>
    <row r="233">
      <c r="N233" s="98">
        <f>IFERROR(__xludf.DUMMYFUNCTION("""COMPUTED_VALUE"""),44048.0)</f>
        <v>44048</v>
      </c>
      <c r="O233" s="96" t="str">
        <f>IFERROR(__xludf.DUMMYFUNCTION("""COMPUTED_VALUE"""),"JENNIFER")</f>
        <v>JENNIFER</v>
      </c>
      <c r="P233" s="96" t="str">
        <f>IFERROR(__xludf.DUMMYFUNCTION("""COMPUTED_VALUE"""),"SALARY")</f>
        <v>SALARY</v>
      </c>
      <c r="Q233" s="99">
        <f>IFERROR(__xludf.DUMMYFUNCTION("""COMPUTED_VALUE"""),14000.0)</f>
        <v>14000</v>
      </c>
      <c r="R233" s="96" t="str">
        <f>IFERROR(__xludf.DUMMYFUNCTION("""COMPUTED_VALUE"""),"General Expenses")</f>
        <v>General Expenses</v>
      </c>
      <c r="S233" s="99">
        <f>IFERROR(__xludf.DUMMYFUNCTION("""COMPUTED_VALUE"""),0.0)</f>
        <v>0</v>
      </c>
      <c r="T233" s="99">
        <f>IFERROR(__xludf.DUMMYFUNCTION("""COMPUTED_VALUE"""),14000.0)</f>
        <v>14000</v>
      </c>
      <c r="U233" s="99">
        <f>IFERROR(__xludf.DUMMYFUNCTION("""COMPUTED_VALUE"""),0.0)</f>
        <v>0</v>
      </c>
      <c r="V233" s="99">
        <f>IFERROR(__xludf.DUMMYFUNCTION("""COMPUTED_VALUE"""),0.0)</f>
        <v>0</v>
      </c>
      <c r="W233" s="99">
        <f>IFERROR(__xludf.DUMMYFUNCTION("""COMPUTED_VALUE"""),0.0)</f>
        <v>0</v>
      </c>
    </row>
    <row r="234">
      <c r="N234" s="98">
        <f>IFERROR(__xludf.DUMMYFUNCTION("""COMPUTED_VALUE"""),44048.0)</f>
        <v>44048</v>
      </c>
      <c r="O234" s="96" t="str">
        <f>IFERROR(__xludf.DUMMYFUNCTION("""COMPUTED_VALUE"""),"LABOUR  BOY")</f>
        <v>LABOUR  BOY</v>
      </c>
      <c r="P234" s="96" t="str">
        <f>IFERROR(__xludf.DUMMYFUNCTION("""COMPUTED_VALUE"""),"ADVANCE PAYMENT")</f>
        <v>ADVANCE PAYMENT</v>
      </c>
      <c r="Q234" s="99">
        <f>IFERROR(__xludf.DUMMYFUNCTION("""COMPUTED_VALUE"""),2000.0)</f>
        <v>2000</v>
      </c>
      <c r="R234" s="96" t="str">
        <f>IFERROR(__xludf.DUMMYFUNCTION("""COMPUTED_VALUE"""),"General Expenses")</f>
        <v>General Expenses</v>
      </c>
      <c r="S234" s="99">
        <f>IFERROR(__xludf.DUMMYFUNCTION("""COMPUTED_VALUE"""),0.0)</f>
        <v>0</v>
      </c>
      <c r="T234" s="99">
        <f>IFERROR(__xludf.DUMMYFUNCTION("""COMPUTED_VALUE"""),2000.0)</f>
        <v>2000</v>
      </c>
      <c r="U234" s="99">
        <f>IFERROR(__xludf.DUMMYFUNCTION("""COMPUTED_VALUE"""),0.0)</f>
        <v>0</v>
      </c>
      <c r="V234" s="99">
        <f>IFERROR(__xludf.DUMMYFUNCTION("""COMPUTED_VALUE"""),0.0)</f>
        <v>0</v>
      </c>
      <c r="W234" s="99">
        <f>IFERROR(__xludf.DUMMYFUNCTION("""COMPUTED_VALUE"""),0.0)</f>
        <v>0</v>
      </c>
    </row>
    <row r="235">
      <c r="N235" s="98">
        <f>IFERROR(__xludf.DUMMYFUNCTION("""COMPUTED_VALUE"""),44048.0)</f>
        <v>44048</v>
      </c>
      <c r="O235" s="96" t="str">
        <f>IFERROR(__xludf.DUMMYFUNCTION("""COMPUTED_VALUE"""),"MATIAT ISEIWE")</f>
        <v>MATIAT ISEIWE</v>
      </c>
      <c r="P235" s="96" t="str">
        <f>IFERROR(__xludf.DUMMYFUNCTION("""COMPUTED_VALUE"""),"GAS  (MANAGER)")</f>
        <v>GAS  (MANAGER)</v>
      </c>
      <c r="Q235" s="99">
        <f>IFERROR(__xludf.DUMMYFUNCTION("""COMPUTED_VALUE"""),10000.0)</f>
        <v>10000</v>
      </c>
      <c r="R235" s="96" t="str">
        <f>IFERROR(__xludf.DUMMYFUNCTION("""COMPUTED_VALUE"""),"General Expenses")</f>
        <v>General Expenses</v>
      </c>
      <c r="S235" s="99">
        <f>IFERROR(__xludf.DUMMYFUNCTION("""COMPUTED_VALUE"""),0.0)</f>
        <v>0</v>
      </c>
      <c r="T235" s="99">
        <f>IFERROR(__xludf.DUMMYFUNCTION("""COMPUTED_VALUE"""),10000.0)</f>
        <v>10000</v>
      </c>
      <c r="U235" s="99">
        <f>IFERROR(__xludf.DUMMYFUNCTION("""COMPUTED_VALUE"""),0.0)</f>
        <v>0</v>
      </c>
      <c r="V235" s="99">
        <f>IFERROR(__xludf.DUMMYFUNCTION("""COMPUTED_VALUE"""),0.0)</f>
        <v>0</v>
      </c>
      <c r="W235" s="99">
        <f>IFERROR(__xludf.DUMMYFUNCTION("""COMPUTED_VALUE"""),0.0)</f>
        <v>0</v>
      </c>
    </row>
    <row r="236">
      <c r="N236" s="98">
        <f>IFERROR(__xludf.DUMMYFUNCTION("""COMPUTED_VALUE"""),44048.0)</f>
        <v>44048</v>
      </c>
      <c r="O236" s="96" t="str">
        <f>IFERROR(__xludf.DUMMYFUNCTION("""COMPUTED_VALUE"""),"OTU KOKO KEIBO")</f>
        <v>OTU KOKO KEIBO</v>
      </c>
      <c r="P236" s="96" t="str">
        <f>IFERROR(__xludf.DUMMYFUNCTION("""COMPUTED_VALUE"""),"CHEMICAL")</f>
        <v>CHEMICAL</v>
      </c>
      <c r="Q236" s="99">
        <f>IFERROR(__xludf.DUMMYFUNCTION("""COMPUTED_VALUE"""),5000.0)</f>
        <v>5000</v>
      </c>
      <c r="R236" s="96" t="str">
        <f>IFERROR(__xludf.DUMMYFUNCTION("""COMPUTED_VALUE"""),"General Expenses")</f>
        <v>General Expenses</v>
      </c>
      <c r="S236" s="99">
        <f>IFERROR(__xludf.DUMMYFUNCTION("""COMPUTED_VALUE"""),0.0)</f>
        <v>0</v>
      </c>
      <c r="T236" s="99">
        <f>IFERROR(__xludf.DUMMYFUNCTION("""COMPUTED_VALUE"""),5000.0)</f>
        <v>5000</v>
      </c>
      <c r="U236" s="99">
        <f>IFERROR(__xludf.DUMMYFUNCTION("""COMPUTED_VALUE"""),0.0)</f>
        <v>0</v>
      </c>
      <c r="V236" s="99">
        <f>IFERROR(__xludf.DUMMYFUNCTION("""COMPUTED_VALUE"""),0.0)</f>
        <v>0</v>
      </c>
      <c r="W236" s="99">
        <f>IFERROR(__xludf.DUMMYFUNCTION("""COMPUTED_VALUE"""),0.0)</f>
        <v>0</v>
      </c>
    </row>
    <row r="237">
      <c r="N237" s="98">
        <f>IFERROR(__xludf.DUMMYFUNCTION("""COMPUTED_VALUE"""),44048.0)</f>
        <v>44048</v>
      </c>
      <c r="O237" s="96" t="str">
        <f>IFERROR(__xludf.DUMMYFUNCTION("""COMPUTED_VALUE"""),"DIAMOND")</f>
        <v>DIAMOND</v>
      </c>
      <c r="P237" s="96" t="str">
        <f>IFERROR(__xludf.DUMMYFUNCTION("""COMPUTED_VALUE"""),"SALARY")</f>
        <v>SALARY</v>
      </c>
      <c r="Q237" s="99">
        <f>IFERROR(__xludf.DUMMYFUNCTION("""COMPUTED_VALUE"""),20000.0)</f>
        <v>20000</v>
      </c>
      <c r="R237" s="96" t="str">
        <f>IFERROR(__xludf.DUMMYFUNCTION("""COMPUTED_VALUE"""),"General Expenses")</f>
        <v>General Expenses</v>
      </c>
      <c r="S237" s="99">
        <f>IFERROR(__xludf.DUMMYFUNCTION("""COMPUTED_VALUE"""),0.0)</f>
        <v>0</v>
      </c>
      <c r="T237" s="99">
        <f>IFERROR(__xludf.DUMMYFUNCTION("""COMPUTED_VALUE"""),20000.0)</f>
        <v>20000</v>
      </c>
      <c r="U237" s="99">
        <f>IFERROR(__xludf.DUMMYFUNCTION("""COMPUTED_VALUE"""),0.0)</f>
        <v>0</v>
      </c>
      <c r="V237" s="99">
        <f>IFERROR(__xludf.DUMMYFUNCTION("""COMPUTED_VALUE"""),0.0)</f>
        <v>0</v>
      </c>
      <c r="W237" s="99">
        <f>IFERROR(__xludf.DUMMYFUNCTION("""COMPUTED_VALUE"""),0.0)</f>
        <v>0</v>
      </c>
    </row>
    <row r="238">
      <c r="N238" s="98">
        <f>IFERROR(__xludf.DUMMYFUNCTION("""COMPUTED_VALUE"""),44048.0)</f>
        <v>44048</v>
      </c>
      <c r="O238" s="96" t="str">
        <f>IFERROR(__xludf.DUMMYFUNCTION("""COMPUTED_VALUE"""),"LYDIA HNSON ")</f>
        <v>LYDIA HNSON </v>
      </c>
      <c r="P238" s="96" t="str">
        <f>IFERROR(__xludf.DUMMYFUNCTION("""COMPUTED_VALUE"""),"ADVANCE ")</f>
        <v>ADVANCE </v>
      </c>
      <c r="Q238" s="99">
        <f>IFERROR(__xludf.DUMMYFUNCTION("""COMPUTED_VALUE"""),500000.0)</f>
        <v>500000</v>
      </c>
      <c r="R238" s="96" t="str">
        <f>IFERROR(__xludf.DUMMYFUNCTION("""COMPUTED_VALUE"""),"Prefinance")</f>
        <v>Prefinance</v>
      </c>
      <c r="S238" s="99">
        <f>IFERROR(__xludf.DUMMYFUNCTION("""COMPUTED_VALUE"""),0.0)</f>
        <v>0</v>
      </c>
      <c r="T238" s="99">
        <f>IFERROR(__xludf.DUMMYFUNCTION("""COMPUTED_VALUE"""),0.0)</f>
        <v>0</v>
      </c>
      <c r="U238" s="99">
        <f>IFERROR(__xludf.DUMMYFUNCTION("""COMPUTED_VALUE"""),0.0)</f>
        <v>0</v>
      </c>
      <c r="V238" s="99">
        <f>IFERROR(__xludf.DUMMYFUNCTION("""COMPUTED_VALUE"""),0.0)</f>
        <v>0</v>
      </c>
      <c r="W238" s="99">
        <f>IFERROR(__xludf.DUMMYFUNCTION("""COMPUTED_VALUE"""),0.0)</f>
        <v>0</v>
      </c>
    </row>
    <row r="239">
      <c r="N239" s="98">
        <f>IFERROR(__xludf.DUMMYFUNCTION("""COMPUTED_VALUE"""),44048.0)</f>
        <v>44048</v>
      </c>
      <c r="O239" s="96" t="str">
        <f>IFERROR(__xludf.DUMMYFUNCTION("""COMPUTED_VALUE"""),"NDOMA PETER")</f>
        <v>NDOMA PETER</v>
      </c>
      <c r="P239" s="96" t="str">
        <f>IFERROR(__xludf.DUMMYFUNCTION("""COMPUTED_VALUE"""),"ADVANCE")</f>
        <v>ADVANCE</v>
      </c>
      <c r="Q239" s="99">
        <f>IFERROR(__xludf.DUMMYFUNCTION("""COMPUTED_VALUE"""),200000.0)</f>
        <v>200000</v>
      </c>
      <c r="R239" s="96" t="str">
        <f>IFERROR(__xludf.DUMMYFUNCTION("""COMPUTED_VALUE"""),"Prefinance")</f>
        <v>Prefinance</v>
      </c>
      <c r="S239" s="99">
        <f>IFERROR(__xludf.DUMMYFUNCTION("""COMPUTED_VALUE"""),0.0)</f>
        <v>0</v>
      </c>
      <c r="T239" s="99">
        <f>IFERROR(__xludf.DUMMYFUNCTION("""COMPUTED_VALUE"""),0.0)</f>
        <v>0</v>
      </c>
      <c r="U239" s="99">
        <f>IFERROR(__xludf.DUMMYFUNCTION("""COMPUTED_VALUE"""),0.0)</f>
        <v>0</v>
      </c>
      <c r="V239" s="99">
        <f>IFERROR(__xludf.DUMMYFUNCTION("""COMPUTED_VALUE"""),0.0)</f>
        <v>0</v>
      </c>
      <c r="W239" s="99">
        <f>IFERROR(__xludf.DUMMYFUNCTION("""COMPUTED_VALUE"""),0.0)</f>
        <v>0</v>
      </c>
    </row>
    <row r="240">
      <c r="N240" s="98">
        <f>IFERROR(__xludf.DUMMYFUNCTION("""COMPUTED_VALUE"""),44048.0)</f>
        <v>44048</v>
      </c>
      <c r="O240" s="96" t="str">
        <f>IFERROR(__xludf.DUMMYFUNCTION("""COMPUTED_VALUE"""),"ALFRED ALABI")</f>
        <v>ALFRED ALABI</v>
      </c>
      <c r="P240" s="96" t="str">
        <f>IFERROR(__xludf.DUMMYFUNCTION("""COMPUTED_VALUE"""),"ADVANCE")</f>
        <v>ADVANCE</v>
      </c>
      <c r="Q240" s="99">
        <f>IFERROR(__xludf.DUMMYFUNCTION("""COMPUTED_VALUE"""),5000.0)</f>
        <v>5000</v>
      </c>
      <c r="R240" s="96" t="str">
        <f>IFERROR(__xludf.DUMMYFUNCTION("""COMPUTED_VALUE"""),"Prefinance")</f>
        <v>Prefinance</v>
      </c>
      <c r="S240" s="99">
        <f>IFERROR(__xludf.DUMMYFUNCTION("""COMPUTED_VALUE"""),0.0)</f>
        <v>0</v>
      </c>
      <c r="T240" s="99">
        <f>IFERROR(__xludf.DUMMYFUNCTION("""COMPUTED_VALUE"""),0.0)</f>
        <v>0</v>
      </c>
      <c r="U240" s="99">
        <f>IFERROR(__xludf.DUMMYFUNCTION("""COMPUTED_VALUE"""),0.0)</f>
        <v>0</v>
      </c>
      <c r="V240" s="99">
        <f>IFERROR(__xludf.DUMMYFUNCTION("""COMPUTED_VALUE"""),0.0)</f>
        <v>0</v>
      </c>
      <c r="W240" s="99">
        <f>IFERROR(__xludf.DUMMYFUNCTION("""COMPUTED_VALUE"""),0.0)</f>
        <v>0</v>
      </c>
    </row>
    <row r="241">
      <c r="N241" s="98">
        <f>IFERROR(__xludf.DUMMYFUNCTION("""COMPUTED_VALUE"""),44048.0)</f>
        <v>44048</v>
      </c>
      <c r="O241" s="96" t="str">
        <f>IFERROR(__xludf.DUMMYFUNCTION("""COMPUTED_VALUE"""),"BLESSING CHAPMAN")</f>
        <v>BLESSING CHAPMAN</v>
      </c>
      <c r="P241" s="96" t="str">
        <f>IFERROR(__xludf.DUMMYFUNCTION("""COMPUTED_VALUE"""),"CASH COLLECTED")</f>
        <v>CASH COLLECTED</v>
      </c>
      <c r="Q241" s="99">
        <f>IFERROR(__xludf.DUMMYFUNCTION("""COMPUTED_VALUE"""),728200.0)</f>
        <v>728200</v>
      </c>
      <c r="R241" s="96" t="str">
        <f>IFERROR(__xludf.DUMMYFUNCTION("""COMPUTED_VALUE"""),"Petty Cash")</f>
        <v>Petty Cash</v>
      </c>
      <c r="S241" s="99">
        <f>IFERROR(__xludf.DUMMYFUNCTION("""COMPUTED_VALUE"""),0.0)</f>
        <v>0</v>
      </c>
      <c r="T241" s="99">
        <f>IFERROR(__xludf.DUMMYFUNCTION("""COMPUTED_VALUE"""),0.0)</f>
        <v>0</v>
      </c>
      <c r="U241" s="99">
        <f>IFERROR(__xludf.DUMMYFUNCTION("""COMPUTED_VALUE"""),0.0)</f>
        <v>0</v>
      </c>
      <c r="V241" s="99">
        <f>IFERROR(__xludf.DUMMYFUNCTION("""COMPUTED_VALUE"""),728200.0)</f>
        <v>728200</v>
      </c>
      <c r="W241" s="99">
        <f>IFERROR(__xludf.DUMMYFUNCTION("""COMPUTED_VALUE"""),0.0)</f>
        <v>0</v>
      </c>
    </row>
    <row r="242">
      <c r="N242" s="98">
        <f>IFERROR(__xludf.DUMMYFUNCTION("""COMPUTED_VALUE"""),44048.0)</f>
        <v>44048</v>
      </c>
      <c r="O242" s="96" t="str">
        <f>IFERROR(__xludf.DUMMYFUNCTION("""COMPUTED_VALUE"""),"MANAGER")</f>
        <v>MANAGER</v>
      </c>
      <c r="P242" s="96" t="str">
        <f>IFERROR(__xludf.DUMMYFUNCTION("""COMPUTED_VALUE"""),"CASH-IN")</f>
        <v>CASH-IN</v>
      </c>
      <c r="Q242" s="99">
        <f>IFERROR(__xludf.DUMMYFUNCTION("""COMPUTED_VALUE"""),2200000.0)</f>
        <v>2200000</v>
      </c>
      <c r="R242" s="96" t="str">
        <f>IFERROR(__xludf.DUMMYFUNCTION("""COMPUTED_VALUE"""),"From Bank")</f>
        <v>From Bank</v>
      </c>
      <c r="S242" s="99">
        <f>IFERROR(__xludf.DUMMYFUNCTION("""COMPUTED_VALUE"""),0.0)</f>
        <v>0</v>
      </c>
      <c r="T242" s="99">
        <f>IFERROR(__xludf.DUMMYFUNCTION("""COMPUTED_VALUE"""),0.0)</f>
        <v>0</v>
      </c>
      <c r="U242" s="99">
        <f>IFERROR(__xludf.DUMMYFUNCTION("""COMPUTED_VALUE"""),2200000.0)</f>
        <v>2200000</v>
      </c>
      <c r="V242" s="99">
        <f>IFERROR(__xludf.DUMMYFUNCTION("""COMPUTED_VALUE"""),0.0)</f>
        <v>0</v>
      </c>
      <c r="W242" s="99">
        <f>IFERROR(__xludf.DUMMYFUNCTION("""COMPUTED_VALUE"""),0.0)</f>
        <v>0</v>
      </c>
    </row>
    <row r="243">
      <c r="N243" s="98">
        <f>IFERROR(__xludf.DUMMYFUNCTION("""COMPUTED_VALUE"""),44048.0)</f>
        <v>44048</v>
      </c>
      <c r="O243" s="96" t="str">
        <f>IFERROR(__xludf.DUMMYFUNCTION("""COMPUTED_VALUE"""),"ALFRED ALABI")</f>
        <v>ALFRED ALABI</v>
      </c>
      <c r="P243" s="96" t="str">
        <f>IFERROR(__xludf.DUMMYFUNCTION("""COMPUTED_VALUE"""),"advance")</f>
        <v>advance</v>
      </c>
      <c r="Q243" s="99">
        <f>IFERROR(__xludf.DUMMYFUNCTION("""COMPUTED_VALUE"""),5000.0)</f>
        <v>5000</v>
      </c>
      <c r="R243" s="96" t="str">
        <f>IFERROR(__xludf.DUMMYFUNCTION("""COMPUTED_VALUE"""),"Prefinance")</f>
        <v>Prefinance</v>
      </c>
      <c r="S243" s="99">
        <f>IFERROR(__xludf.DUMMYFUNCTION("""COMPUTED_VALUE"""),0.0)</f>
        <v>0</v>
      </c>
      <c r="T243" s="99">
        <f>IFERROR(__xludf.DUMMYFUNCTION("""COMPUTED_VALUE"""),0.0)</f>
        <v>0</v>
      </c>
      <c r="U243" s="99">
        <f>IFERROR(__xludf.DUMMYFUNCTION("""COMPUTED_VALUE"""),0.0)</f>
        <v>0</v>
      </c>
      <c r="V243" s="99">
        <f>IFERROR(__xludf.DUMMYFUNCTION("""COMPUTED_VALUE"""),0.0)</f>
        <v>0</v>
      </c>
      <c r="W243" s="99">
        <f>IFERROR(__xludf.DUMMYFUNCTION("""COMPUTED_VALUE"""),0.0)</f>
        <v>0</v>
      </c>
    </row>
    <row r="244">
      <c r="N244" s="98">
        <f>IFERROR(__xludf.DUMMYFUNCTION("""COMPUTED_VALUE"""),44049.0)</f>
        <v>44049</v>
      </c>
      <c r="O244" s="96" t="str">
        <f>IFERROR(__xludf.DUMMYFUNCTION("""COMPUTED_VALUE"""),"CONNECT")</f>
        <v>CONNECT</v>
      </c>
      <c r="P244" s="96" t="str">
        <f>IFERROR(__xludf.DUMMYFUNCTION("""COMPUTED_VALUE"""),"advance")</f>
        <v>advance</v>
      </c>
      <c r="Q244" s="99">
        <f>IFERROR(__xludf.DUMMYFUNCTION("""COMPUTED_VALUE"""),500000.0)</f>
        <v>500000</v>
      </c>
      <c r="R244" s="96" t="str">
        <f>IFERROR(__xludf.DUMMYFUNCTION("""COMPUTED_VALUE"""),"Prefinance")</f>
        <v>Prefinance</v>
      </c>
      <c r="S244" s="99">
        <f>IFERROR(__xludf.DUMMYFUNCTION("""COMPUTED_VALUE"""),0.0)</f>
        <v>0</v>
      </c>
      <c r="T244" s="99">
        <f>IFERROR(__xludf.DUMMYFUNCTION("""COMPUTED_VALUE"""),0.0)</f>
        <v>0</v>
      </c>
      <c r="U244" s="99">
        <f>IFERROR(__xludf.DUMMYFUNCTION("""COMPUTED_VALUE"""),0.0)</f>
        <v>0</v>
      </c>
      <c r="V244" s="99">
        <f>IFERROR(__xludf.DUMMYFUNCTION("""COMPUTED_VALUE"""),0.0)</f>
        <v>0</v>
      </c>
      <c r="W244" s="99">
        <f>IFERROR(__xludf.DUMMYFUNCTION("""COMPUTED_VALUE"""),0.0)</f>
        <v>0</v>
      </c>
    </row>
    <row r="245">
      <c r="N245" s="98">
        <f>IFERROR(__xludf.DUMMYFUNCTION("""COMPUTED_VALUE"""),44049.0)</f>
        <v>44049</v>
      </c>
      <c r="O245" s="96" t="str">
        <f>IFERROR(__xludf.DUMMYFUNCTION("""COMPUTED_VALUE"""),"CONNECT")</f>
        <v>CONNECT</v>
      </c>
      <c r="P245" s="96" t="str">
        <f>IFERROR(__xludf.DUMMYFUNCTION("""COMPUTED_VALUE"""),"fual")</f>
        <v>fual</v>
      </c>
      <c r="Q245" s="99">
        <f>IFERROR(__xludf.DUMMYFUNCTION("""COMPUTED_VALUE"""),5000.0)</f>
        <v>5000</v>
      </c>
      <c r="R245" s="96" t="str">
        <f>IFERROR(__xludf.DUMMYFUNCTION("""COMPUTED_VALUE"""),"Prefinance")</f>
        <v>Prefinance</v>
      </c>
      <c r="S245" s="99">
        <f>IFERROR(__xludf.DUMMYFUNCTION("""COMPUTED_VALUE"""),0.0)</f>
        <v>0</v>
      </c>
      <c r="T245" s="99">
        <f>IFERROR(__xludf.DUMMYFUNCTION("""COMPUTED_VALUE"""),0.0)</f>
        <v>0</v>
      </c>
      <c r="U245" s="99">
        <f>IFERROR(__xludf.DUMMYFUNCTION("""COMPUTED_VALUE"""),0.0)</f>
        <v>0</v>
      </c>
      <c r="V245" s="99">
        <f>IFERROR(__xludf.DUMMYFUNCTION("""COMPUTED_VALUE"""),0.0)</f>
        <v>0</v>
      </c>
      <c r="W245" s="99">
        <f>IFERROR(__xludf.DUMMYFUNCTION("""COMPUTED_VALUE"""),0.0)</f>
        <v>0</v>
      </c>
    </row>
    <row r="246">
      <c r="N246" s="98">
        <f>IFERROR(__xludf.DUMMYFUNCTION("""COMPUTED_VALUE"""),44049.0)</f>
        <v>44049</v>
      </c>
      <c r="O246" s="96" t="str">
        <f>IFERROR(__xludf.DUMMYFUNCTION("""COMPUTED_VALUE"""),"RECTOR W.")</f>
        <v>RECTOR W.</v>
      </c>
      <c r="P246" s="96" t="str">
        <f>IFERROR(__xludf.DUMMYFUNCTION("""COMPUTED_VALUE"""),"Transport")</f>
        <v>Transport</v>
      </c>
      <c r="Q246" s="99">
        <f>IFERROR(__xludf.DUMMYFUNCTION("""COMPUTED_VALUE"""),111800.0)</f>
        <v>111800</v>
      </c>
      <c r="R246" s="96" t="str">
        <f>IFERROR(__xludf.DUMMYFUNCTION("""COMPUTED_VALUE"""),"Prefinance")</f>
        <v>Prefinance</v>
      </c>
      <c r="S246" s="99">
        <f>IFERROR(__xludf.DUMMYFUNCTION("""COMPUTED_VALUE"""),0.0)</f>
        <v>0</v>
      </c>
      <c r="T246" s="99">
        <f>IFERROR(__xludf.DUMMYFUNCTION("""COMPUTED_VALUE"""),0.0)</f>
        <v>0</v>
      </c>
      <c r="U246" s="99">
        <f>IFERROR(__xludf.DUMMYFUNCTION("""COMPUTED_VALUE"""),0.0)</f>
        <v>0</v>
      </c>
      <c r="V246" s="99">
        <f>IFERROR(__xludf.DUMMYFUNCTION("""COMPUTED_VALUE"""),0.0)</f>
        <v>0</v>
      </c>
      <c r="W246" s="99">
        <f>IFERROR(__xludf.DUMMYFUNCTION("""COMPUTED_VALUE"""),0.0)</f>
        <v>0</v>
      </c>
    </row>
    <row r="247">
      <c r="N247" s="98">
        <f>IFERROR(__xludf.DUMMYFUNCTION("""COMPUTED_VALUE"""),44049.0)</f>
        <v>44049</v>
      </c>
      <c r="O247" s="96" t="str">
        <f>IFERROR(__xludf.DUMMYFUNCTION("""COMPUTED_VALUE""")," MAXWELL AGRO")</f>
        <v> MAXWELL AGRO</v>
      </c>
      <c r="P247" s="96" t="str">
        <f>IFERROR(__xludf.DUMMYFUNCTION("""COMPUTED_VALUE"""),"fual")</f>
        <v>fual</v>
      </c>
      <c r="Q247" s="99">
        <f>IFERROR(__xludf.DUMMYFUNCTION("""COMPUTED_VALUE"""),2000.0)</f>
        <v>2000</v>
      </c>
      <c r="R247" s="96" t="str">
        <f>IFERROR(__xludf.DUMMYFUNCTION("""COMPUTED_VALUE"""),"Prefinance")</f>
        <v>Prefinance</v>
      </c>
      <c r="S247" s="99">
        <f>IFERROR(__xludf.DUMMYFUNCTION("""COMPUTED_VALUE"""),0.0)</f>
        <v>0</v>
      </c>
      <c r="T247" s="99">
        <f>IFERROR(__xludf.DUMMYFUNCTION("""COMPUTED_VALUE"""),0.0)</f>
        <v>0</v>
      </c>
      <c r="U247" s="99">
        <f>IFERROR(__xludf.DUMMYFUNCTION("""COMPUTED_VALUE"""),0.0)</f>
        <v>0</v>
      </c>
      <c r="V247" s="99">
        <f>IFERROR(__xludf.DUMMYFUNCTION("""COMPUTED_VALUE"""),0.0)</f>
        <v>0</v>
      </c>
      <c r="W247" s="99">
        <f>IFERROR(__xludf.DUMMYFUNCTION("""COMPUTED_VALUE"""),0.0)</f>
        <v>0</v>
      </c>
    </row>
    <row r="248">
      <c r="N248" s="98">
        <f>IFERROR(__xludf.DUMMYFUNCTION("""COMPUTED_VALUE"""),44049.0)</f>
        <v>44049</v>
      </c>
      <c r="O248" s="96" t="str">
        <f>IFERROR(__xludf.DUMMYFUNCTION("""COMPUTED_VALUE"""),"OBIM TIWA HNSON")</f>
        <v>OBIM TIWA HNSON</v>
      </c>
      <c r="P248" s="96" t="str">
        <f>IFERROR(__xludf.DUMMYFUNCTION("""COMPUTED_VALUE"""),"Chemical")</f>
        <v>Chemical</v>
      </c>
      <c r="Q248" s="99">
        <f>IFERROR(__xludf.DUMMYFUNCTION("""COMPUTED_VALUE"""),90000.0)</f>
        <v>90000</v>
      </c>
      <c r="R248" s="96" t="str">
        <f>IFERROR(__xludf.DUMMYFUNCTION("""COMPUTED_VALUE"""),"Prefinance")</f>
        <v>Prefinance</v>
      </c>
      <c r="S248" s="99">
        <f>IFERROR(__xludf.DUMMYFUNCTION("""COMPUTED_VALUE"""),0.0)</f>
        <v>0</v>
      </c>
      <c r="T248" s="99">
        <f>IFERROR(__xludf.DUMMYFUNCTION("""COMPUTED_VALUE"""),0.0)</f>
        <v>0</v>
      </c>
      <c r="U248" s="99">
        <f>IFERROR(__xludf.DUMMYFUNCTION("""COMPUTED_VALUE"""),0.0)</f>
        <v>0</v>
      </c>
      <c r="V248" s="99">
        <f>IFERROR(__xludf.DUMMYFUNCTION("""COMPUTED_VALUE"""),0.0)</f>
        <v>0</v>
      </c>
      <c r="W248" s="99">
        <f>IFERROR(__xludf.DUMMYFUNCTION("""COMPUTED_VALUE"""),0.0)</f>
        <v>0</v>
      </c>
    </row>
    <row r="249">
      <c r="N249" s="98">
        <f>IFERROR(__xludf.DUMMYFUNCTION("""COMPUTED_VALUE"""),44049.0)</f>
        <v>44049</v>
      </c>
      <c r="O249" s="96" t="str">
        <f>IFERROR(__xludf.DUMMYFUNCTION("""COMPUTED_VALUE"""),"DUN SUNDAY NDOMA (NATION)")</f>
        <v>DUN SUNDAY NDOMA (NATION)</v>
      </c>
      <c r="P249" s="96" t="str">
        <f>IFERROR(__xludf.DUMMYFUNCTION("""COMPUTED_VALUE"""),"advance")</f>
        <v>advance</v>
      </c>
      <c r="Q249" s="99">
        <f>IFERROR(__xludf.DUMMYFUNCTION("""COMPUTED_VALUE"""),100000.0)</f>
        <v>100000</v>
      </c>
      <c r="R249" s="96" t="str">
        <f>IFERROR(__xludf.DUMMYFUNCTION("""COMPUTED_VALUE"""),"Prefinance")</f>
        <v>Prefinance</v>
      </c>
      <c r="S249" s="99">
        <f>IFERROR(__xludf.DUMMYFUNCTION("""COMPUTED_VALUE"""),0.0)</f>
        <v>0</v>
      </c>
      <c r="T249" s="99">
        <f>IFERROR(__xludf.DUMMYFUNCTION("""COMPUTED_VALUE"""),0.0)</f>
        <v>0</v>
      </c>
      <c r="U249" s="99">
        <f>IFERROR(__xludf.DUMMYFUNCTION("""COMPUTED_VALUE"""),0.0)</f>
        <v>0</v>
      </c>
      <c r="V249" s="99">
        <f>IFERROR(__xludf.DUMMYFUNCTION("""COMPUTED_VALUE"""),0.0)</f>
        <v>0</v>
      </c>
      <c r="W249" s="99">
        <f>IFERROR(__xludf.DUMMYFUNCTION("""COMPUTED_VALUE"""),0.0)</f>
        <v>0</v>
      </c>
    </row>
    <row r="250">
      <c r="N250" s="98">
        <f>IFERROR(__xludf.DUMMYFUNCTION("""COMPUTED_VALUE"""),44049.0)</f>
        <v>44049</v>
      </c>
      <c r="O250" s="96" t="str">
        <f>IFERROR(__xludf.DUMMYFUNCTION("""COMPUTED_VALUE"""),"ALFRED ALABI")</f>
        <v>ALFRED ALABI</v>
      </c>
      <c r="P250" s="96" t="str">
        <f>IFERROR(__xludf.DUMMYFUNCTION("""COMPUTED_VALUE"""),"advance")</f>
        <v>advance</v>
      </c>
      <c r="Q250" s="99">
        <f>IFERROR(__xludf.DUMMYFUNCTION("""COMPUTED_VALUE"""),1000000.0)</f>
        <v>1000000</v>
      </c>
      <c r="R250" s="96" t="str">
        <f>IFERROR(__xludf.DUMMYFUNCTION("""COMPUTED_VALUE"""),"Prefinance")</f>
        <v>Prefinance</v>
      </c>
      <c r="S250" s="99">
        <f>IFERROR(__xludf.DUMMYFUNCTION("""COMPUTED_VALUE"""),0.0)</f>
        <v>0</v>
      </c>
      <c r="T250" s="99">
        <f>IFERROR(__xludf.DUMMYFUNCTION("""COMPUTED_VALUE"""),0.0)</f>
        <v>0</v>
      </c>
      <c r="U250" s="99">
        <f>IFERROR(__xludf.DUMMYFUNCTION("""COMPUTED_VALUE"""),0.0)</f>
        <v>0</v>
      </c>
      <c r="V250" s="99">
        <f>IFERROR(__xludf.DUMMYFUNCTION("""COMPUTED_VALUE"""),0.0)</f>
        <v>0</v>
      </c>
      <c r="W250" s="99">
        <f>IFERROR(__xludf.DUMMYFUNCTION("""COMPUTED_VALUE"""),0.0)</f>
        <v>0</v>
      </c>
    </row>
    <row r="251">
      <c r="N251" s="98">
        <f>IFERROR(__xludf.DUMMYFUNCTION("""COMPUTED_VALUE"""),44049.0)</f>
        <v>44049</v>
      </c>
      <c r="O251" s="96" t="str">
        <f>IFERROR(__xludf.DUMMYFUNCTION("""COMPUTED_VALUE"""),"A. D. FREDERICK")</f>
        <v>A. D. FREDERICK</v>
      </c>
      <c r="P251" s="96" t="str">
        <f>IFERROR(__xludf.DUMMYFUNCTION("""COMPUTED_VALUE"""),"advance")</f>
        <v>advance</v>
      </c>
      <c r="Q251" s="99">
        <f>IFERROR(__xludf.DUMMYFUNCTION("""COMPUTED_VALUE"""),250000.0)</f>
        <v>250000</v>
      </c>
      <c r="R251" s="96" t="str">
        <f>IFERROR(__xludf.DUMMYFUNCTION("""COMPUTED_VALUE"""),"Prefinance")</f>
        <v>Prefinance</v>
      </c>
      <c r="S251" s="99">
        <f>IFERROR(__xludf.DUMMYFUNCTION("""COMPUTED_VALUE"""),0.0)</f>
        <v>0</v>
      </c>
      <c r="T251" s="99">
        <f>IFERROR(__xludf.DUMMYFUNCTION("""COMPUTED_VALUE"""),0.0)</f>
        <v>0</v>
      </c>
      <c r="U251" s="99">
        <f>IFERROR(__xludf.DUMMYFUNCTION("""COMPUTED_VALUE"""),0.0)</f>
        <v>0</v>
      </c>
      <c r="V251" s="99">
        <f>IFERROR(__xludf.DUMMYFUNCTION("""COMPUTED_VALUE"""),0.0)</f>
        <v>0</v>
      </c>
      <c r="W251" s="99">
        <f>IFERROR(__xludf.DUMMYFUNCTION("""COMPUTED_VALUE"""),0.0)</f>
        <v>0</v>
      </c>
    </row>
    <row r="252">
      <c r="N252" s="98">
        <f>IFERROR(__xludf.DUMMYFUNCTION("""COMPUTED_VALUE"""),44049.0)</f>
        <v>44049</v>
      </c>
      <c r="O252" s="96" t="str">
        <f>IFERROR(__xludf.DUMMYFUNCTION("""COMPUTED_VALUE"""),"EMMANUEL OKO ")</f>
        <v>EMMANUEL OKO </v>
      </c>
      <c r="P252" s="96" t="str">
        <f>IFERROR(__xludf.DUMMYFUNCTION("""COMPUTED_VALUE"""),"advance")</f>
        <v>advance</v>
      </c>
      <c r="Q252" s="99">
        <f>IFERROR(__xludf.DUMMYFUNCTION("""COMPUTED_VALUE"""),245000.0)</f>
        <v>245000</v>
      </c>
      <c r="R252" s="96" t="str">
        <f>IFERROR(__xludf.DUMMYFUNCTION("""COMPUTED_VALUE"""),"Prefinance")</f>
        <v>Prefinance</v>
      </c>
      <c r="S252" s="99">
        <f>IFERROR(__xludf.DUMMYFUNCTION("""COMPUTED_VALUE"""),0.0)</f>
        <v>0</v>
      </c>
      <c r="T252" s="99">
        <f>IFERROR(__xludf.DUMMYFUNCTION("""COMPUTED_VALUE"""),0.0)</f>
        <v>0</v>
      </c>
      <c r="U252" s="99">
        <f>IFERROR(__xludf.DUMMYFUNCTION("""COMPUTED_VALUE"""),0.0)</f>
        <v>0</v>
      </c>
      <c r="V252" s="99">
        <f>IFERROR(__xludf.DUMMYFUNCTION("""COMPUTED_VALUE"""),0.0)</f>
        <v>0</v>
      </c>
      <c r="W252" s="99">
        <f>IFERROR(__xludf.DUMMYFUNCTION("""COMPUTED_VALUE"""),0.0)</f>
        <v>0</v>
      </c>
    </row>
    <row r="253">
      <c r="N253" s="98">
        <f>IFERROR(__xludf.DUMMYFUNCTION("""COMPUTED_VALUE"""),44049.0)</f>
        <v>44049</v>
      </c>
      <c r="O253" s="96" t="str">
        <f>IFERROR(__xludf.DUMMYFUNCTION("""COMPUTED_VALUE"""),"RECTOR W.")</f>
        <v>RECTOR W.</v>
      </c>
      <c r="P253" s="96" t="str">
        <f>IFERROR(__xludf.DUMMYFUNCTION("""COMPUTED_VALUE"""),"up-keep")</f>
        <v>up-keep</v>
      </c>
      <c r="Q253" s="99">
        <f>IFERROR(__xludf.DUMMYFUNCTION("""COMPUTED_VALUE"""),3000.0)</f>
        <v>3000</v>
      </c>
      <c r="R253" s="96" t="str">
        <f>IFERROR(__xludf.DUMMYFUNCTION("""COMPUTED_VALUE"""),"Prefinance")</f>
        <v>Prefinance</v>
      </c>
      <c r="S253" s="99">
        <f>IFERROR(__xludf.DUMMYFUNCTION("""COMPUTED_VALUE"""),0.0)</f>
        <v>0</v>
      </c>
      <c r="T253" s="99">
        <f>IFERROR(__xludf.DUMMYFUNCTION("""COMPUTED_VALUE"""),0.0)</f>
        <v>0</v>
      </c>
      <c r="U253" s="99">
        <f>IFERROR(__xludf.DUMMYFUNCTION("""COMPUTED_VALUE"""),0.0)</f>
        <v>0</v>
      </c>
      <c r="V253" s="99">
        <f>IFERROR(__xludf.DUMMYFUNCTION("""COMPUTED_VALUE"""),0.0)</f>
        <v>0</v>
      </c>
      <c r="W253" s="99">
        <f>IFERROR(__xludf.DUMMYFUNCTION("""COMPUTED_VALUE"""),0.0)</f>
        <v>0</v>
      </c>
    </row>
    <row r="254">
      <c r="N254" s="98">
        <f>IFERROR(__xludf.DUMMYFUNCTION("""COMPUTED_VALUE"""),44049.0)</f>
        <v>44049</v>
      </c>
      <c r="O254" s="96" t="str">
        <f>IFERROR(__xludf.DUMMYFUNCTION("""COMPUTED_VALUE"""),"DIAMOND")</f>
        <v>DIAMOND</v>
      </c>
      <c r="P254" s="96" t="str">
        <f>IFERROR(__xludf.DUMMYFUNCTION("""COMPUTED_VALUE"""),"GAS")</f>
        <v>GAS</v>
      </c>
      <c r="Q254" s="99">
        <f>IFERROR(__xludf.DUMMYFUNCTION("""COMPUTED_VALUE"""),4000.0)</f>
        <v>4000</v>
      </c>
      <c r="R254" s="96" t="str">
        <f>IFERROR(__xludf.DUMMYFUNCTION("""COMPUTED_VALUE"""),"General Expenses")</f>
        <v>General Expenses</v>
      </c>
      <c r="S254" s="99">
        <f>IFERROR(__xludf.DUMMYFUNCTION("""COMPUTED_VALUE"""),0.0)</f>
        <v>0</v>
      </c>
      <c r="T254" s="99">
        <f>IFERROR(__xludf.DUMMYFUNCTION("""COMPUTED_VALUE"""),4000.0)</f>
        <v>4000</v>
      </c>
      <c r="U254" s="99">
        <f>IFERROR(__xludf.DUMMYFUNCTION("""COMPUTED_VALUE"""),0.0)</f>
        <v>0</v>
      </c>
      <c r="V254" s="99">
        <f>IFERROR(__xludf.DUMMYFUNCTION("""COMPUTED_VALUE"""),0.0)</f>
        <v>0</v>
      </c>
      <c r="W254" s="99">
        <f>IFERROR(__xludf.DUMMYFUNCTION("""COMPUTED_VALUE"""),0.0)</f>
        <v>0</v>
      </c>
    </row>
    <row r="255">
      <c r="N255" s="98">
        <f>IFERROR(__xludf.DUMMYFUNCTION("""COMPUTED_VALUE"""),44049.0)</f>
        <v>44049</v>
      </c>
      <c r="O255" s="96" t="str">
        <f>IFERROR(__xludf.DUMMYFUNCTION("""COMPUTED_VALUE"""),"DIRECTOR")</f>
        <v>DIRECTOR</v>
      </c>
      <c r="P255" s="96" t="str">
        <f>IFERROR(__xludf.DUMMYFUNCTION("""COMPUTED_VALUE"""),"ISIEWU")</f>
        <v>ISIEWU</v>
      </c>
      <c r="Q255" s="99">
        <f>IFERROR(__xludf.DUMMYFUNCTION("""COMPUTED_VALUE"""),10000.0)</f>
        <v>10000</v>
      </c>
      <c r="R255" s="96" t="str">
        <f>IFERROR(__xludf.DUMMYFUNCTION("""COMPUTED_VALUE"""),"General Expenses")</f>
        <v>General Expenses</v>
      </c>
      <c r="S255" s="99">
        <f>IFERROR(__xludf.DUMMYFUNCTION("""COMPUTED_VALUE"""),0.0)</f>
        <v>0</v>
      </c>
      <c r="T255" s="99">
        <f>IFERROR(__xludf.DUMMYFUNCTION("""COMPUTED_VALUE"""),10000.0)</f>
        <v>10000</v>
      </c>
      <c r="U255" s="99">
        <f>IFERROR(__xludf.DUMMYFUNCTION("""COMPUTED_VALUE"""),0.0)</f>
        <v>0</v>
      </c>
      <c r="V255" s="99">
        <f>IFERROR(__xludf.DUMMYFUNCTION("""COMPUTED_VALUE"""),0.0)</f>
        <v>0</v>
      </c>
      <c r="W255" s="99">
        <f>IFERROR(__xludf.DUMMYFUNCTION("""COMPUTED_VALUE"""),0.0)</f>
        <v>0</v>
      </c>
    </row>
    <row r="256">
      <c r="N256" s="98">
        <f>IFERROR(__xludf.DUMMYFUNCTION("""COMPUTED_VALUE"""),44049.0)</f>
        <v>44049</v>
      </c>
      <c r="O256" s="96" t="str">
        <f>IFERROR(__xludf.DUMMYFUNCTION("""COMPUTED_VALUE"""),"BLESSING CHAPMAN")</f>
        <v>BLESSING CHAPMAN</v>
      </c>
      <c r="P256" s="96" t="str">
        <f>IFERROR(__xludf.DUMMYFUNCTION("""COMPUTED_VALUE"""),"STATIONERY")</f>
        <v>STATIONERY</v>
      </c>
      <c r="Q256" s="99">
        <f>IFERROR(__xludf.DUMMYFUNCTION("""COMPUTED_VALUE"""),3400.0)</f>
        <v>3400</v>
      </c>
      <c r="R256" s="96" t="str">
        <f>IFERROR(__xludf.DUMMYFUNCTION("""COMPUTED_VALUE"""),"General Expenses")</f>
        <v>General Expenses</v>
      </c>
      <c r="S256" s="99">
        <f>IFERROR(__xludf.DUMMYFUNCTION("""COMPUTED_VALUE"""),0.0)</f>
        <v>0</v>
      </c>
      <c r="T256" s="99">
        <f>IFERROR(__xludf.DUMMYFUNCTION("""COMPUTED_VALUE"""),3400.0)</f>
        <v>3400</v>
      </c>
      <c r="U256" s="99">
        <f>IFERROR(__xludf.DUMMYFUNCTION("""COMPUTED_VALUE"""),0.0)</f>
        <v>0</v>
      </c>
      <c r="V256" s="99">
        <f>IFERROR(__xludf.DUMMYFUNCTION("""COMPUTED_VALUE"""),0.0)</f>
        <v>0</v>
      </c>
      <c r="W256" s="99">
        <f>IFERROR(__xludf.DUMMYFUNCTION("""COMPUTED_VALUE"""),0.0)</f>
        <v>0</v>
      </c>
    </row>
    <row r="257">
      <c r="N257" s="98">
        <f>IFERROR(__xludf.DUMMYFUNCTION("""COMPUTED_VALUE"""),44049.0)</f>
        <v>44049</v>
      </c>
      <c r="O257" s="96" t="str">
        <f>IFERROR(__xludf.DUMMYFUNCTION("""COMPUTED_VALUE"""),"EGBA")</f>
        <v>EGBA</v>
      </c>
      <c r="P257" s="96" t="str">
        <f>IFERROR(__xludf.DUMMYFUNCTION("""COMPUTED_VALUE"""),"DIRECTOR ORDER")</f>
        <v>DIRECTOR ORDER</v>
      </c>
      <c r="Q257" s="99">
        <f>IFERROR(__xludf.DUMMYFUNCTION("""COMPUTED_VALUE"""),7000.0)</f>
        <v>7000</v>
      </c>
      <c r="R257" s="96" t="str">
        <f>IFERROR(__xludf.DUMMYFUNCTION("""COMPUTED_VALUE"""),"General Expenses")</f>
        <v>General Expenses</v>
      </c>
      <c r="S257" s="99">
        <f>IFERROR(__xludf.DUMMYFUNCTION("""COMPUTED_VALUE"""),0.0)</f>
        <v>0</v>
      </c>
      <c r="T257" s="99">
        <f>IFERROR(__xludf.DUMMYFUNCTION("""COMPUTED_VALUE"""),7000.0)</f>
        <v>7000</v>
      </c>
      <c r="U257" s="99">
        <f>IFERROR(__xludf.DUMMYFUNCTION("""COMPUTED_VALUE"""),0.0)</f>
        <v>0</v>
      </c>
      <c r="V257" s="99">
        <f>IFERROR(__xludf.DUMMYFUNCTION("""COMPUTED_VALUE"""),0.0)</f>
        <v>0</v>
      </c>
      <c r="W257" s="99">
        <f>IFERROR(__xludf.DUMMYFUNCTION("""COMPUTED_VALUE"""),0.0)</f>
        <v>0</v>
      </c>
    </row>
    <row r="258">
      <c r="N258" s="98">
        <f>IFERROR(__xludf.DUMMYFUNCTION("""COMPUTED_VALUE"""),44049.0)</f>
        <v>44049</v>
      </c>
      <c r="O258" s="96" t="str">
        <f>IFERROR(__xludf.DUMMYFUNCTION("""COMPUTED_VALUE"""),"OBI-DRIVER")</f>
        <v>OBI-DRIVER</v>
      </c>
      <c r="P258" s="96" t="str">
        <f>IFERROR(__xludf.DUMMYFUNCTION("""COMPUTED_VALUE"""),"Salary")</f>
        <v>Salary</v>
      </c>
      <c r="Q258" s="99">
        <f>IFERROR(__xludf.DUMMYFUNCTION("""COMPUTED_VALUE"""),15000.0)</f>
        <v>15000</v>
      </c>
      <c r="R258" s="96" t="str">
        <f>IFERROR(__xludf.DUMMYFUNCTION("""COMPUTED_VALUE"""),"General Expenses")</f>
        <v>General Expenses</v>
      </c>
      <c r="S258" s="99">
        <f>IFERROR(__xludf.DUMMYFUNCTION("""COMPUTED_VALUE"""),0.0)</f>
        <v>0</v>
      </c>
      <c r="T258" s="99">
        <f>IFERROR(__xludf.DUMMYFUNCTION("""COMPUTED_VALUE"""),15000.0)</f>
        <v>15000</v>
      </c>
      <c r="U258" s="99">
        <f>IFERROR(__xludf.DUMMYFUNCTION("""COMPUTED_VALUE"""),0.0)</f>
        <v>0</v>
      </c>
      <c r="V258" s="99">
        <f>IFERROR(__xludf.DUMMYFUNCTION("""COMPUTED_VALUE"""),0.0)</f>
        <v>0</v>
      </c>
      <c r="W258" s="99">
        <f>IFERROR(__xludf.DUMMYFUNCTION("""COMPUTED_VALUE"""),0.0)</f>
        <v>0</v>
      </c>
    </row>
    <row r="259">
      <c r="N259" s="98">
        <f>IFERROR(__xludf.DUMMYFUNCTION("""COMPUTED_VALUE"""),44049.0)</f>
        <v>44049</v>
      </c>
      <c r="O259" s="96" t="str">
        <f>IFERROR(__xludf.DUMMYFUNCTION("""COMPUTED_VALUE"""),"OBI-DRIVER")</f>
        <v>OBI-DRIVER</v>
      </c>
      <c r="P259" s="96" t="str">
        <f>IFERROR(__xludf.DUMMYFUNCTION("""COMPUTED_VALUE"""),"fuel")</f>
        <v>fuel</v>
      </c>
      <c r="Q259" s="99">
        <f>IFERROR(__xludf.DUMMYFUNCTION("""COMPUTED_VALUE"""),4000.0)</f>
        <v>4000</v>
      </c>
      <c r="R259" s="96" t="str">
        <f>IFERROR(__xludf.DUMMYFUNCTION("""COMPUTED_VALUE"""),"General Expenses")</f>
        <v>General Expenses</v>
      </c>
      <c r="S259" s="99">
        <f>IFERROR(__xludf.DUMMYFUNCTION("""COMPUTED_VALUE"""),0.0)</f>
        <v>0</v>
      </c>
      <c r="T259" s="99">
        <f>IFERROR(__xludf.DUMMYFUNCTION("""COMPUTED_VALUE"""),4000.0)</f>
        <v>4000</v>
      </c>
      <c r="U259" s="99">
        <f>IFERROR(__xludf.DUMMYFUNCTION("""COMPUTED_VALUE"""),0.0)</f>
        <v>0</v>
      </c>
      <c r="V259" s="99">
        <f>IFERROR(__xludf.DUMMYFUNCTION("""COMPUTED_VALUE"""),0.0)</f>
        <v>0</v>
      </c>
      <c r="W259" s="99">
        <f>IFERROR(__xludf.DUMMYFUNCTION("""COMPUTED_VALUE"""),0.0)</f>
        <v>0</v>
      </c>
    </row>
    <row r="260">
      <c r="N260" s="98">
        <f>IFERROR(__xludf.DUMMYFUNCTION("""COMPUTED_VALUE"""),44049.0)</f>
        <v>44049</v>
      </c>
      <c r="O260" s="96" t="str">
        <f>IFERROR(__xludf.DUMMYFUNCTION("""COMPUTED_VALUE"""),"MANAGER")</f>
        <v>MANAGER</v>
      </c>
      <c r="P260" s="96" t="str">
        <f>IFERROR(__xludf.DUMMYFUNCTION("""COMPUTED_VALUE"""),"Salary")</f>
        <v>Salary</v>
      </c>
      <c r="Q260" s="99">
        <f>IFERROR(__xludf.DUMMYFUNCTION("""COMPUTED_VALUE"""),35000.0)</f>
        <v>35000</v>
      </c>
      <c r="R260" s="96" t="str">
        <f>IFERROR(__xludf.DUMMYFUNCTION("""COMPUTED_VALUE"""),"General Expenses")</f>
        <v>General Expenses</v>
      </c>
      <c r="S260" s="99">
        <f>IFERROR(__xludf.DUMMYFUNCTION("""COMPUTED_VALUE"""),0.0)</f>
        <v>0</v>
      </c>
      <c r="T260" s="99">
        <f>IFERROR(__xludf.DUMMYFUNCTION("""COMPUTED_VALUE"""),35000.0)</f>
        <v>35000</v>
      </c>
      <c r="U260" s="99">
        <f>IFERROR(__xludf.DUMMYFUNCTION("""COMPUTED_VALUE"""),0.0)</f>
        <v>0</v>
      </c>
      <c r="V260" s="99">
        <f>IFERROR(__xludf.DUMMYFUNCTION("""COMPUTED_VALUE"""),0.0)</f>
        <v>0</v>
      </c>
      <c r="W260" s="99">
        <f>IFERROR(__xludf.DUMMYFUNCTION("""COMPUTED_VALUE"""),0.0)</f>
        <v>0</v>
      </c>
    </row>
    <row r="261">
      <c r="N261" s="98">
        <f>IFERROR(__xludf.DUMMYFUNCTION("""COMPUTED_VALUE"""),44049.0)</f>
        <v>44049</v>
      </c>
      <c r="O261" s="96" t="str">
        <f>IFERROR(__xludf.DUMMYFUNCTION("""COMPUTED_VALUE"""),"BLESSING AYUK")</f>
        <v>BLESSING AYUK</v>
      </c>
      <c r="P261" s="96" t="str">
        <f>IFERROR(__xludf.DUMMYFUNCTION("""COMPUTED_VALUE"""),"Salary")</f>
        <v>Salary</v>
      </c>
      <c r="Q261" s="99">
        <f>IFERROR(__xludf.DUMMYFUNCTION("""COMPUTED_VALUE"""),17500.0)</f>
        <v>17500</v>
      </c>
      <c r="R261" s="96" t="str">
        <f>IFERROR(__xludf.DUMMYFUNCTION("""COMPUTED_VALUE"""),"General Expenses")</f>
        <v>General Expenses</v>
      </c>
      <c r="S261" s="99">
        <f>IFERROR(__xludf.DUMMYFUNCTION("""COMPUTED_VALUE"""),0.0)</f>
        <v>0</v>
      </c>
      <c r="T261" s="99">
        <f>IFERROR(__xludf.DUMMYFUNCTION("""COMPUTED_VALUE"""),17500.0)</f>
        <v>17500</v>
      </c>
      <c r="U261" s="99">
        <f>IFERROR(__xludf.DUMMYFUNCTION("""COMPUTED_VALUE"""),0.0)</f>
        <v>0</v>
      </c>
      <c r="V261" s="99">
        <f>IFERROR(__xludf.DUMMYFUNCTION("""COMPUTED_VALUE"""),0.0)</f>
        <v>0</v>
      </c>
      <c r="W261" s="99">
        <f>IFERROR(__xludf.DUMMYFUNCTION("""COMPUTED_VALUE"""),0.0)</f>
        <v>0</v>
      </c>
    </row>
    <row r="262">
      <c r="N262" s="98">
        <f>IFERROR(__xludf.DUMMYFUNCTION("""COMPUTED_VALUE"""),44049.0)</f>
        <v>44049</v>
      </c>
      <c r="O262" s="96" t="str">
        <f>IFERROR(__xludf.DUMMYFUNCTION("""COMPUTED_VALUE"""),"DIRECTOR")</f>
        <v>DIRECTOR</v>
      </c>
      <c r="P262" s="96" t="str">
        <f>IFERROR(__xludf.DUMMYFUNCTION("""COMPUTED_VALUE"""),"Salary")</f>
        <v>Salary</v>
      </c>
      <c r="Q262" s="99">
        <f>IFERROR(__xludf.DUMMYFUNCTION("""COMPUTED_VALUE"""),15000.0)</f>
        <v>15000</v>
      </c>
      <c r="R262" s="96" t="str">
        <f>IFERROR(__xludf.DUMMYFUNCTION("""COMPUTED_VALUE"""),"General Expenses")</f>
        <v>General Expenses</v>
      </c>
      <c r="S262" s="99">
        <f>IFERROR(__xludf.DUMMYFUNCTION("""COMPUTED_VALUE"""),0.0)</f>
        <v>0</v>
      </c>
      <c r="T262" s="99">
        <f>IFERROR(__xludf.DUMMYFUNCTION("""COMPUTED_VALUE"""),15000.0)</f>
        <v>15000</v>
      </c>
      <c r="U262" s="99">
        <f>IFERROR(__xludf.DUMMYFUNCTION("""COMPUTED_VALUE"""),0.0)</f>
        <v>0</v>
      </c>
      <c r="V262" s="99">
        <f>IFERROR(__xludf.DUMMYFUNCTION("""COMPUTED_VALUE"""),0.0)</f>
        <v>0</v>
      </c>
      <c r="W262" s="99">
        <f>IFERROR(__xludf.DUMMYFUNCTION("""COMPUTED_VALUE"""),0.0)</f>
        <v>0</v>
      </c>
    </row>
    <row r="263">
      <c r="N263" s="98">
        <f>IFERROR(__xludf.DUMMYFUNCTION("""COMPUTED_VALUE"""),44049.0)</f>
        <v>44049</v>
      </c>
      <c r="O263" s="96" t="str">
        <f>IFERROR(__xludf.DUMMYFUNCTION("""COMPUTED_VALUE"""),"MANAGER")</f>
        <v>MANAGER</v>
      </c>
      <c r="P263" s="96" t="str">
        <f>IFERROR(__xludf.DUMMYFUNCTION("""COMPUTED_VALUE"""),"jud bags tulip")</f>
        <v>jud bags tulip</v>
      </c>
      <c r="Q263" s="99">
        <f>IFERROR(__xludf.DUMMYFUNCTION("""COMPUTED_VALUE"""),1000.0)</f>
        <v>1000</v>
      </c>
      <c r="R263" s="96" t="str">
        <f>IFERROR(__xludf.DUMMYFUNCTION("""COMPUTED_VALUE"""),"General Expenses")</f>
        <v>General Expenses</v>
      </c>
      <c r="S263" s="99">
        <f>IFERROR(__xludf.DUMMYFUNCTION("""COMPUTED_VALUE"""),0.0)</f>
        <v>0</v>
      </c>
      <c r="T263" s="99">
        <f>IFERROR(__xludf.DUMMYFUNCTION("""COMPUTED_VALUE"""),1000.0)</f>
        <v>1000</v>
      </c>
      <c r="U263" s="99">
        <f>IFERROR(__xludf.DUMMYFUNCTION("""COMPUTED_VALUE"""),0.0)</f>
        <v>0</v>
      </c>
      <c r="V263" s="99">
        <f>IFERROR(__xludf.DUMMYFUNCTION("""COMPUTED_VALUE"""),0.0)</f>
        <v>0</v>
      </c>
      <c r="W263" s="99">
        <f>IFERROR(__xludf.DUMMYFUNCTION("""COMPUTED_VALUE"""),0.0)</f>
        <v>0</v>
      </c>
    </row>
    <row r="264">
      <c r="N264" s="98">
        <f>IFERROR(__xludf.DUMMYFUNCTION("""COMPUTED_VALUE"""),44049.0)</f>
        <v>44049</v>
      </c>
      <c r="O264" s="96" t="str">
        <f>IFERROR(__xludf.DUMMYFUNCTION("""COMPUTED_VALUE"""),"Clifford")</f>
        <v>Clifford</v>
      </c>
      <c r="P264" s="96" t="str">
        <f>IFERROR(__xludf.DUMMYFUNCTION("""COMPUTED_VALUE"""),"DIRECTOR ORDER")</f>
        <v>DIRECTOR ORDER</v>
      </c>
      <c r="Q264" s="99">
        <f>IFERROR(__xludf.DUMMYFUNCTION("""COMPUTED_VALUE"""),5000.0)</f>
        <v>5000</v>
      </c>
      <c r="R264" s="96" t="str">
        <f>IFERROR(__xludf.DUMMYFUNCTION("""COMPUTED_VALUE"""),"General Expenses")</f>
        <v>General Expenses</v>
      </c>
      <c r="S264" s="99">
        <f>IFERROR(__xludf.DUMMYFUNCTION("""COMPUTED_VALUE"""),0.0)</f>
        <v>0</v>
      </c>
      <c r="T264" s="99">
        <f>IFERROR(__xludf.DUMMYFUNCTION("""COMPUTED_VALUE"""),5000.0)</f>
        <v>5000</v>
      </c>
      <c r="U264" s="99">
        <f>IFERROR(__xludf.DUMMYFUNCTION("""COMPUTED_VALUE"""),0.0)</f>
        <v>0</v>
      </c>
      <c r="V264" s="99">
        <f>IFERROR(__xludf.DUMMYFUNCTION("""COMPUTED_VALUE"""),0.0)</f>
        <v>0</v>
      </c>
      <c r="W264" s="99">
        <f>IFERROR(__xludf.DUMMYFUNCTION("""COMPUTED_VALUE"""),0.0)</f>
        <v>0</v>
      </c>
    </row>
    <row r="265">
      <c r="N265" s="98">
        <f>IFERROR(__xludf.DUMMYFUNCTION("""COMPUTED_VALUE"""),44049.0)</f>
        <v>44049</v>
      </c>
      <c r="O265" s="96" t="str">
        <f>IFERROR(__xludf.DUMMYFUNCTION("""COMPUTED_VALUE"""),"ENGINEER")</f>
        <v>ENGINEER</v>
      </c>
      <c r="P265" s="96" t="str">
        <f>IFERROR(__xludf.DUMMYFUNCTION("""COMPUTED_VALUE"""),"dryer repairs")</f>
        <v>dryer repairs</v>
      </c>
      <c r="Q265" s="99">
        <f>IFERROR(__xludf.DUMMYFUNCTION("""COMPUTED_VALUE"""),50000.0)</f>
        <v>50000</v>
      </c>
      <c r="R265" s="96" t="str">
        <f>IFERROR(__xludf.DUMMYFUNCTION("""COMPUTED_VALUE"""),"General Expenses")</f>
        <v>General Expenses</v>
      </c>
      <c r="S265" s="99">
        <f>IFERROR(__xludf.DUMMYFUNCTION("""COMPUTED_VALUE"""),0.0)</f>
        <v>0</v>
      </c>
      <c r="T265" s="99">
        <f>IFERROR(__xludf.DUMMYFUNCTION("""COMPUTED_VALUE"""),50000.0)</f>
        <v>50000</v>
      </c>
      <c r="U265" s="99">
        <f>IFERROR(__xludf.DUMMYFUNCTION("""COMPUTED_VALUE"""),0.0)</f>
        <v>0</v>
      </c>
      <c r="V265" s="99">
        <f>IFERROR(__xludf.DUMMYFUNCTION("""COMPUTED_VALUE"""),0.0)</f>
        <v>0</v>
      </c>
      <c r="W265" s="99">
        <f>IFERROR(__xludf.DUMMYFUNCTION("""COMPUTED_VALUE"""),0.0)</f>
        <v>0</v>
      </c>
    </row>
    <row r="266">
      <c r="N266" s="98">
        <f>IFERROR(__xludf.DUMMYFUNCTION("""COMPUTED_VALUE"""),44049.0)</f>
        <v>44049</v>
      </c>
      <c r="O266" s="96" t="str">
        <f>IFERROR(__xludf.DUMMYFUNCTION("""COMPUTED_VALUE"""),"BLESSING CHAPMAN")</f>
        <v>BLESSING CHAPMAN</v>
      </c>
      <c r="P266" s="96" t="str">
        <f>IFERROR(__xludf.DUMMYFUNCTION("""COMPUTED_VALUE"""),"CASH COLLECTED")</f>
        <v>CASH COLLECTED</v>
      </c>
      <c r="Q266" s="99">
        <f>IFERROR(__xludf.DUMMYFUNCTION("""COMPUTED_VALUE"""),577300.0)</f>
        <v>577300</v>
      </c>
      <c r="R266" s="96" t="str">
        <f>IFERROR(__xludf.DUMMYFUNCTION("""COMPUTED_VALUE"""),"Petty Cash")</f>
        <v>Petty Cash</v>
      </c>
      <c r="S266" s="99">
        <f>IFERROR(__xludf.DUMMYFUNCTION("""COMPUTED_VALUE"""),0.0)</f>
        <v>0</v>
      </c>
      <c r="T266" s="99">
        <f>IFERROR(__xludf.DUMMYFUNCTION("""COMPUTED_VALUE"""),0.0)</f>
        <v>0</v>
      </c>
      <c r="U266" s="99">
        <f>IFERROR(__xludf.DUMMYFUNCTION("""COMPUTED_VALUE"""),0.0)</f>
        <v>0</v>
      </c>
      <c r="V266" s="99">
        <f>IFERROR(__xludf.DUMMYFUNCTION("""COMPUTED_VALUE"""),577300.0)</f>
        <v>577300</v>
      </c>
      <c r="W266" s="99">
        <f>IFERROR(__xludf.DUMMYFUNCTION("""COMPUTED_VALUE"""),0.0)</f>
        <v>0</v>
      </c>
    </row>
    <row r="267">
      <c r="N267" s="98">
        <f>IFERROR(__xludf.DUMMYFUNCTION("""COMPUTED_VALUE"""),44049.0)</f>
        <v>44049</v>
      </c>
      <c r="O267" s="96" t="str">
        <f>IFERROR(__xludf.DUMMYFUNCTION("""COMPUTED_VALUE"""),"MANAGER")</f>
        <v>MANAGER</v>
      </c>
      <c r="P267" s="96" t="str">
        <f>IFERROR(__xludf.DUMMYFUNCTION("""COMPUTED_VALUE"""),"CASH-IN")</f>
        <v>CASH-IN</v>
      </c>
      <c r="Q267" s="99">
        <f>IFERROR(__xludf.DUMMYFUNCTION("""COMPUTED_VALUE"""),2000000.0)</f>
        <v>2000000</v>
      </c>
      <c r="R267" s="96" t="str">
        <f>IFERROR(__xludf.DUMMYFUNCTION("""COMPUTED_VALUE"""),"From Bank")</f>
        <v>From Bank</v>
      </c>
      <c r="S267" s="99">
        <f>IFERROR(__xludf.DUMMYFUNCTION("""COMPUTED_VALUE"""),0.0)</f>
        <v>0</v>
      </c>
      <c r="T267" s="99">
        <f>IFERROR(__xludf.DUMMYFUNCTION("""COMPUTED_VALUE"""),0.0)</f>
        <v>0</v>
      </c>
      <c r="U267" s="99">
        <f>IFERROR(__xludf.DUMMYFUNCTION("""COMPUTED_VALUE"""),2000000.0)</f>
        <v>2000000</v>
      </c>
      <c r="V267" s="99">
        <f>IFERROR(__xludf.DUMMYFUNCTION("""COMPUTED_VALUE"""),0.0)</f>
        <v>0</v>
      </c>
      <c r="W267" s="99">
        <f>IFERROR(__xludf.DUMMYFUNCTION("""COMPUTED_VALUE"""),0.0)</f>
        <v>0</v>
      </c>
    </row>
    <row r="268">
      <c r="N268" s="98">
        <f>IFERROR(__xludf.DUMMYFUNCTION("""COMPUTED_VALUE"""),44049.0)</f>
        <v>44049</v>
      </c>
      <c r="O268" s="96" t="str">
        <f>IFERROR(__xludf.DUMMYFUNCTION("""COMPUTED_VALUE"""),"DIRECTOR")</f>
        <v>DIRECTOR</v>
      </c>
      <c r="P268" s="96" t="str">
        <f>IFERROR(__xludf.DUMMYFUNCTION("""COMPUTED_VALUE"""),"CASH-IN (TRANSFERED)")</f>
        <v>CASH-IN (TRANSFERED)</v>
      </c>
      <c r="Q268" s="99">
        <f>IFERROR(__xludf.DUMMYFUNCTION("""COMPUTED_VALUE"""),808800.0)</f>
        <v>808800</v>
      </c>
      <c r="R268" s="96" t="str">
        <f>IFERROR(__xludf.DUMMYFUNCTION("""COMPUTED_VALUE"""),"From Bank")</f>
        <v>From Bank</v>
      </c>
      <c r="S268" s="99">
        <f>IFERROR(__xludf.DUMMYFUNCTION("""COMPUTED_VALUE"""),0.0)</f>
        <v>0</v>
      </c>
      <c r="T268" s="99">
        <f>IFERROR(__xludf.DUMMYFUNCTION("""COMPUTED_VALUE"""),0.0)</f>
        <v>0</v>
      </c>
      <c r="U268" s="99">
        <f>IFERROR(__xludf.DUMMYFUNCTION("""COMPUTED_VALUE"""),808800.0)</f>
        <v>808800</v>
      </c>
      <c r="V268" s="99">
        <f>IFERROR(__xludf.DUMMYFUNCTION("""COMPUTED_VALUE"""),0.0)</f>
        <v>0</v>
      </c>
      <c r="W268" s="99">
        <f>IFERROR(__xludf.DUMMYFUNCTION("""COMPUTED_VALUE"""),0.0)</f>
        <v>0</v>
      </c>
    </row>
    <row r="269">
      <c r="N269" s="98">
        <f>IFERROR(__xludf.DUMMYFUNCTION("""COMPUTED_VALUE"""),44049.0)</f>
        <v>44049</v>
      </c>
      <c r="O269" s="96" t="str">
        <f>IFERROR(__xludf.DUMMYFUNCTION("""COMPUTED_VALUE"""),"CORNWELL")</f>
        <v>CORNWELL</v>
      </c>
      <c r="P269" s="96" t="str">
        <f>IFERROR(__xludf.DUMMYFUNCTION("""COMPUTED_VALUE"""),"advance")</f>
        <v>advance</v>
      </c>
      <c r="Q269" s="99">
        <f>IFERROR(__xludf.DUMMYFUNCTION("""COMPUTED_VALUE"""),3.642825E7)</f>
        <v>36428250</v>
      </c>
      <c r="R269" s="96" t="str">
        <f>IFERROR(__xludf.DUMMYFUNCTION("""COMPUTED_VALUE"""),"Prefinance")</f>
        <v>Prefinance</v>
      </c>
      <c r="S269" s="99">
        <f>IFERROR(__xludf.DUMMYFUNCTION("""COMPUTED_VALUE"""),0.0)</f>
        <v>0</v>
      </c>
      <c r="T269" s="99">
        <f>IFERROR(__xludf.DUMMYFUNCTION("""COMPUTED_VALUE"""),0.0)</f>
        <v>0</v>
      </c>
      <c r="U269" s="99">
        <f>IFERROR(__xludf.DUMMYFUNCTION("""COMPUTED_VALUE"""),0.0)</f>
        <v>0</v>
      </c>
      <c r="V269" s="99">
        <f>IFERROR(__xludf.DUMMYFUNCTION("""COMPUTED_VALUE"""),0.0)</f>
        <v>0</v>
      </c>
      <c r="W269" s="99">
        <f>IFERROR(__xludf.DUMMYFUNCTION("""COMPUTED_VALUE"""),0.0)</f>
        <v>0</v>
      </c>
    </row>
    <row r="270">
      <c r="N270" s="98">
        <f>IFERROR(__xludf.DUMMYFUNCTION("""COMPUTED_VALUE"""),44049.0)</f>
        <v>44049</v>
      </c>
      <c r="O270" s="96" t="str">
        <f>IFERROR(__xludf.DUMMYFUNCTION("""COMPUTED_VALUE"""),"DIRECTOR")</f>
        <v>DIRECTOR</v>
      </c>
      <c r="P270" s="96" t="str">
        <f>IFERROR(__xludf.DUMMYFUNCTION("""COMPUTED_VALUE"""),"CASH-IN")</f>
        <v>CASH-IN</v>
      </c>
      <c r="Q270" s="99">
        <f>IFERROR(__xludf.DUMMYFUNCTION("""COMPUTED_VALUE"""),3.642825E7)</f>
        <v>36428250</v>
      </c>
      <c r="R270" s="96" t="str">
        <f>IFERROR(__xludf.DUMMYFUNCTION("""COMPUTED_VALUE"""),"From Bank")</f>
        <v>From Bank</v>
      </c>
      <c r="S270" s="99">
        <f>IFERROR(__xludf.DUMMYFUNCTION("""COMPUTED_VALUE"""),0.0)</f>
        <v>0</v>
      </c>
      <c r="T270" s="99">
        <f>IFERROR(__xludf.DUMMYFUNCTION("""COMPUTED_VALUE"""),0.0)</f>
        <v>0</v>
      </c>
      <c r="U270" s="99">
        <f>IFERROR(__xludf.DUMMYFUNCTION("""COMPUTED_VALUE"""),3.642825E7)</f>
        <v>36428250</v>
      </c>
      <c r="V270" s="99">
        <f>IFERROR(__xludf.DUMMYFUNCTION("""COMPUTED_VALUE"""),0.0)</f>
        <v>0</v>
      </c>
      <c r="W270" s="99">
        <f>IFERROR(__xludf.DUMMYFUNCTION("""COMPUTED_VALUE"""),0.0)</f>
        <v>0</v>
      </c>
    </row>
    <row r="271">
      <c r="N271" s="98">
        <f>IFERROR(__xludf.DUMMYFUNCTION("""COMPUTED_VALUE"""),44050.0)</f>
        <v>44050</v>
      </c>
      <c r="O271" s="96" t="str">
        <f>IFERROR(__xludf.DUMMYFUNCTION("""COMPUTED_VALUE"""),"RECTOR W.")</f>
        <v>RECTOR W.</v>
      </c>
      <c r="P271" s="96" t="str">
        <f>IFERROR(__xludf.DUMMYFUNCTION("""COMPUTED_VALUE"""),"advance")</f>
        <v>advance</v>
      </c>
      <c r="Q271" s="99">
        <f>IFERROR(__xludf.DUMMYFUNCTION("""COMPUTED_VALUE"""),2500000.0)</f>
        <v>2500000</v>
      </c>
      <c r="R271" s="96" t="str">
        <f>IFERROR(__xludf.DUMMYFUNCTION("""COMPUTED_VALUE"""),"Prefinance")</f>
        <v>Prefinance</v>
      </c>
      <c r="S271" s="99">
        <f>IFERROR(__xludf.DUMMYFUNCTION("""COMPUTED_VALUE"""),0.0)</f>
        <v>0</v>
      </c>
      <c r="T271" s="99">
        <f>IFERROR(__xludf.DUMMYFUNCTION("""COMPUTED_VALUE"""),0.0)</f>
        <v>0</v>
      </c>
      <c r="U271" s="99">
        <f>IFERROR(__xludf.DUMMYFUNCTION("""COMPUTED_VALUE"""),0.0)</f>
        <v>0</v>
      </c>
      <c r="V271" s="99">
        <f>IFERROR(__xludf.DUMMYFUNCTION("""COMPUTED_VALUE"""),0.0)</f>
        <v>0</v>
      </c>
      <c r="W271" s="99">
        <f>IFERROR(__xludf.DUMMYFUNCTION("""COMPUTED_VALUE"""),0.0)</f>
        <v>0</v>
      </c>
    </row>
    <row r="272">
      <c r="N272" s="98">
        <f>IFERROR(__xludf.DUMMYFUNCTION("""COMPUTED_VALUE"""),44050.0)</f>
        <v>44050</v>
      </c>
      <c r="O272" s="96" t="str">
        <f>IFERROR(__xludf.DUMMYFUNCTION("""COMPUTED_VALUE"""),"ZULU &amp; NDOMA")</f>
        <v>ZULU &amp; NDOMA</v>
      </c>
      <c r="P272" s="96" t="str">
        <f>IFERROR(__xludf.DUMMYFUNCTION("""COMPUTED_VALUE"""),"advance")</f>
        <v>advance</v>
      </c>
      <c r="Q272" s="99">
        <f>IFERROR(__xludf.DUMMYFUNCTION("""COMPUTED_VALUE"""),5000.0)</f>
        <v>5000</v>
      </c>
      <c r="R272" s="96" t="str">
        <f>IFERROR(__xludf.DUMMYFUNCTION("""COMPUTED_VALUE"""),"Prefinance")</f>
        <v>Prefinance</v>
      </c>
      <c r="S272" s="99">
        <f>IFERROR(__xludf.DUMMYFUNCTION("""COMPUTED_VALUE"""),0.0)</f>
        <v>0</v>
      </c>
      <c r="T272" s="99">
        <f>IFERROR(__xludf.DUMMYFUNCTION("""COMPUTED_VALUE"""),0.0)</f>
        <v>0</v>
      </c>
      <c r="U272" s="99">
        <f>IFERROR(__xludf.DUMMYFUNCTION("""COMPUTED_VALUE"""),0.0)</f>
        <v>0</v>
      </c>
      <c r="V272" s="99">
        <f>IFERROR(__xludf.DUMMYFUNCTION("""COMPUTED_VALUE"""),0.0)</f>
        <v>0</v>
      </c>
      <c r="W272" s="99">
        <f>IFERROR(__xludf.DUMMYFUNCTION("""COMPUTED_VALUE"""),0.0)</f>
        <v>0</v>
      </c>
    </row>
    <row r="273">
      <c r="N273" s="98">
        <f>IFERROR(__xludf.DUMMYFUNCTION("""COMPUTED_VALUE"""),44050.0)</f>
        <v>44050</v>
      </c>
      <c r="O273" s="96" t="str">
        <f>IFERROR(__xludf.DUMMYFUNCTION("""COMPUTED_VALUE"""),"RECTOR W.")</f>
        <v>RECTOR W.</v>
      </c>
      <c r="P273" s="96" t="str">
        <f>IFERROR(__xludf.DUMMYFUNCTION("""COMPUTED_VALUE"""),"advance(director)")</f>
        <v>advance(director)</v>
      </c>
      <c r="Q273" s="99">
        <f>IFERROR(__xludf.DUMMYFUNCTION("""COMPUTED_VALUE"""),1530000.0)</f>
        <v>1530000</v>
      </c>
      <c r="R273" s="96" t="str">
        <f>IFERROR(__xludf.DUMMYFUNCTION("""COMPUTED_VALUE"""),"Prefinance")</f>
        <v>Prefinance</v>
      </c>
      <c r="S273" s="99">
        <f>IFERROR(__xludf.DUMMYFUNCTION("""COMPUTED_VALUE"""),0.0)</f>
        <v>0</v>
      </c>
      <c r="T273" s="99">
        <f>IFERROR(__xludf.DUMMYFUNCTION("""COMPUTED_VALUE"""),0.0)</f>
        <v>0</v>
      </c>
      <c r="U273" s="99">
        <f>IFERROR(__xludf.DUMMYFUNCTION("""COMPUTED_VALUE"""),0.0)</f>
        <v>0</v>
      </c>
      <c r="V273" s="99">
        <f>IFERROR(__xludf.DUMMYFUNCTION("""COMPUTED_VALUE"""),0.0)</f>
        <v>0</v>
      </c>
      <c r="W273" s="99">
        <f>IFERROR(__xludf.DUMMYFUNCTION("""COMPUTED_VALUE"""),0.0)</f>
        <v>0</v>
      </c>
    </row>
    <row r="274">
      <c r="N274" s="98">
        <f>IFERROR(__xludf.DUMMYFUNCTION("""COMPUTED_VALUE"""),44050.0)</f>
        <v>44050</v>
      </c>
      <c r="O274" s="96" t="str">
        <f>IFERROR(__xludf.DUMMYFUNCTION("""COMPUTED_VALUE"""),"OLATUNDE STAFF")</f>
        <v>OLATUNDE STAFF</v>
      </c>
      <c r="P274" s="96" t="str">
        <f>IFERROR(__xludf.DUMMYFUNCTION("""COMPUTED_VALUE"""),"Director order")</f>
        <v>Director order</v>
      </c>
      <c r="Q274" s="99">
        <f>IFERROR(__xludf.DUMMYFUNCTION("""COMPUTED_VALUE"""),15000.0)</f>
        <v>15000</v>
      </c>
      <c r="R274" s="96" t="str">
        <f>IFERROR(__xludf.DUMMYFUNCTION("""COMPUTED_VALUE"""),"General Expenses")</f>
        <v>General Expenses</v>
      </c>
      <c r="S274" s="99">
        <f>IFERROR(__xludf.DUMMYFUNCTION("""COMPUTED_VALUE"""),0.0)</f>
        <v>0</v>
      </c>
      <c r="T274" s="99">
        <f>IFERROR(__xludf.DUMMYFUNCTION("""COMPUTED_VALUE"""),15000.0)</f>
        <v>15000</v>
      </c>
      <c r="U274" s="99">
        <f>IFERROR(__xludf.DUMMYFUNCTION("""COMPUTED_VALUE"""),0.0)</f>
        <v>0</v>
      </c>
      <c r="V274" s="99">
        <f>IFERROR(__xludf.DUMMYFUNCTION("""COMPUTED_VALUE"""),0.0)</f>
        <v>0</v>
      </c>
      <c r="W274" s="99">
        <f>IFERROR(__xludf.DUMMYFUNCTION("""COMPUTED_VALUE"""),0.0)</f>
        <v>0</v>
      </c>
    </row>
    <row r="275">
      <c r="N275" s="98">
        <f>IFERROR(__xludf.DUMMYFUNCTION("""COMPUTED_VALUE"""),44050.0)</f>
        <v>44050</v>
      </c>
      <c r="O275" s="96" t="str">
        <f>IFERROR(__xludf.DUMMYFUNCTION("""COMPUTED_VALUE"""),"BLESSING CHAPMAN")</f>
        <v>BLESSING CHAPMAN</v>
      </c>
      <c r="P275" s="96" t="str">
        <f>IFERROR(__xludf.DUMMYFUNCTION("""COMPUTED_VALUE"""),"Transport")</f>
        <v>Transport</v>
      </c>
      <c r="Q275" s="99">
        <f>IFERROR(__xludf.DUMMYFUNCTION("""COMPUTED_VALUE"""),200.0)</f>
        <v>200</v>
      </c>
      <c r="R275" s="96" t="str">
        <f>IFERROR(__xludf.DUMMYFUNCTION("""COMPUTED_VALUE"""),"General Expenses")</f>
        <v>General Expenses</v>
      </c>
      <c r="S275" s="99">
        <f>IFERROR(__xludf.DUMMYFUNCTION("""COMPUTED_VALUE"""),0.0)</f>
        <v>0</v>
      </c>
      <c r="T275" s="99">
        <f>IFERROR(__xludf.DUMMYFUNCTION("""COMPUTED_VALUE"""),200.0)</f>
        <v>200</v>
      </c>
      <c r="U275" s="99">
        <f>IFERROR(__xludf.DUMMYFUNCTION("""COMPUTED_VALUE"""),0.0)</f>
        <v>0</v>
      </c>
      <c r="V275" s="99">
        <f>IFERROR(__xludf.DUMMYFUNCTION("""COMPUTED_VALUE"""),0.0)</f>
        <v>0</v>
      </c>
      <c r="W275" s="99">
        <f>IFERROR(__xludf.DUMMYFUNCTION("""COMPUTED_VALUE"""),0.0)</f>
        <v>0</v>
      </c>
    </row>
    <row r="276">
      <c r="N276" s="98">
        <f>IFERROR(__xludf.DUMMYFUNCTION("""COMPUTED_VALUE"""),44050.0)</f>
        <v>44050</v>
      </c>
      <c r="O276" s="96" t="str">
        <f>IFERROR(__xludf.DUMMYFUNCTION("""COMPUTED_VALUE"""),"MANAGER")</f>
        <v>MANAGER</v>
      </c>
      <c r="P276" s="96" t="str">
        <f>IFERROR(__xludf.DUMMYFUNCTION("""COMPUTED_VALUE"""),"Grading paper")</f>
        <v>Grading paper</v>
      </c>
      <c r="Q276" s="99">
        <f>IFERROR(__xludf.DUMMYFUNCTION("""COMPUTED_VALUE"""),185000.0)</f>
        <v>185000</v>
      </c>
      <c r="R276" s="96" t="str">
        <f>IFERROR(__xludf.DUMMYFUNCTION("""COMPUTED_VALUE"""),"General Expenses")</f>
        <v>General Expenses</v>
      </c>
      <c r="S276" s="99">
        <f>IFERROR(__xludf.DUMMYFUNCTION("""COMPUTED_VALUE"""),0.0)</f>
        <v>0</v>
      </c>
      <c r="T276" s="99">
        <f>IFERROR(__xludf.DUMMYFUNCTION("""COMPUTED_VALUE"""),185000.0)</f>
        <v>185000</v>
      </c>
      <c r="U276" s="99">
        <f>IFERROR(__xludf.DUMMYFUNCTION("""COMPUTED_VALUE"""),0.0)</f>
        <v>0</v>
      </c>
      <c r="V276" s="99">
        <f>IFERROR(__xludf.DUMMYFUNCTION("""COMPUTED_VALUE"""),0.0)</f>
        <v>0</v>
      </c>
      <c r="W276" s="99">
        <f>IFERROR(__xludf.DUMMYFUNCTION("""COMPUTED_VALUE"""),0.0)</f>
        <v>0</v>
      </c>
    </row>
    <row r="277">
      <c r="N277" s="98">
        <f>IFERROR(__xludf.DUMMYFUNCTION("""COMPUTED_VALUE"""),44050.0)</f>
        <v>44050</v>
      </c>
      <c r="O277" s="96" t="str">
        <f>IFERROR(__xludf.DUMMYFUNCTION("""COMPUTED_VALUE"""),"BLESSING CHAPMAN")</f>
        <v>BLESSING CHAPMAN</v>
      </c>
      <c r="P277" s="96" t="str">
        <f>IFERROR(__xludf.DUMMYFUNCTION("""COMPUTED_VALUE"""),"cash collected")</f>
        <v>cash collected</v>
      </c>
      <c r="Q277" s="99">
        <f>IFERROR(__xludf.DUMMYFUNCTION("""COMPUTED_VALUE"""),229500.0)</f>
        <v>229500</v>
      </c>
      <c r="R277" s="96" t="str">
        <f>IFERROR(__xludf.DUMMYFUNCTION("""COMPUTED_VALUE"""),"Petty Cash")</f>
        <v>Petty Cash</v>
      </c>
      <c r="S277" s="99">
        <f>IFERROR(__xludf.DUMMYFUNCTION("""COMPUTED_VALUE"""),0.0)</f>
        <v>0</v>
      </c>
      <c r="T277" s="99">
        <f>IFERROR(__xludf.DUMMYFUNCTION("""COMPUTED_VALUE"""),0.0)</f>
        <v>0</v>
      </c>
      <c r="U277" s="99">
        <f>IFERROR(__xludf.DUMMYFUNCTION("""COMPUTED_VALUE"""),0.0)</f>
        <v>0</v>
      </c>
      <c r="V277" s="99">
        <f>IFERROR(__xludf.DUMMYFUNCTION("""COMPUTED_VALUE"""),229500.0)</f>
        <v>229500</v>
      </c>
      <c r="W277" s="99">
        <f>IFERROR(__xludf.DUMMYFUNCTION("""COMPUTED_VALUE"""),0.0)</f>
        <v>0</v>
      </c>
    </row>
    <row r="278">
      <c r="N278" s="98">
        <f>IFERROR(__xludf.DUMMYFUNCTION("""COMPUTED_VALUE"""),44050.0)</f>
        <v>44050</v>
      </c>
      <c r="O278" s="96" t="str">
        <f>IFERROR(__xludf.DUMMYFUNCTION("""COMPUTED_VALUE"""),"MANAGER")</f>
        <v>MANAGER</v>
      </c>
      <c r="P278" s="96" t="str">
        <f>IFERROR(__xludf.DUMMYFUNCTION("""COMPUTED_VALUE"""),"cash-in")</f>
        <v>cash-in</v>
      </c>
      <c r="Q278" s="99">
        <f>IFERROR(__xludf.DUMMYFUNCTION("""COMPUTED_VALUE"""),3000000.0)</f>
        <v>3000000</v>
      </c>
      <c r="R278" s="96" t="str">
        <f>IFERROR(__xludf.DUMMYFUNCTION("""COMPUTED_VALUE"""),"From Bank")</f>
        <v>From Bank</v>
      </c>
      <c r="S278" s="99">
        <f>IFERROR(__xludf.DUMMYFUNCTION("""COMPUTED_VALUE"""),0.0)</f>
        <v>0</v>
      </c>
      <c r="T278" s="99">
        <f>IFERROR(__xludf.DUMMYFUNCTION("""COMPUTED_VALUE"""),0.0)</f>
        <v>0</v>
      </c>
      <c r="U278" s="99">
        <f>IFERROR(__xludf.DUMMYFUNCTION("""COMPUTED_VALUE"""),3000000.0)</f>
        <v>3000000</v>
      </c>
      <c r="V278" s="99">
        <f>IFERROR(__xludf.DUMMYFUNCTION("""COMPUTED_VALUE"""),0.0)</f>
        <v>0</v>
      </c>
      <c r="W278" s="99">
        <f>IFERROR(__xludf.DUMMYFUNCTION("""COMPUTED_VALUE"""),0.0)</f>
        <v>0</v>
      </c>
    </row>
    <row r="279">
      <c r="N279" s="98">
        <f>IFERROR(__xludf.DUMMYFUNCTION("""COMPUTED_VALUE"""),44050.0)</f>
        <v>44050</v>
      </c>
      <c r="O279" s="96" t="str">
        <f>IFERROR(__xludf.DUMMYFUNCTION("""COMPUTED_VALUE"""),"MANAGER")</f>
        <v>MANAGER</v>
      </c>
      <c r="P279" s="96" t="str">
        <f>IFERROR(__xludf.DUMMYFUNCTION("""COMPUTED_VALUE"""),"cash-in(director)")</f>
        <v>cash-in(director)</v>
      </c>
      <c r="Q279" s="99">
        <f>IFERROR(__xludf.DUMMYFUNCTION("""COMPUTED_VALUE"""),1530000.0)</f>
        <v>1530000</v>
      </c>
      <c r="R279" s="96" t="str">
        <f>IFERROR(__xludf.DUMMYFUNCTION("""COMPUTED_VALUE"""),"From Bank")</f>
        <v>From Bank</v>
      </c>
      <c r="S279" s="99">
        <f>IFERROR(__xludf.DUMMYFUNCTION("""COMPUTED_VALUE"""),0.0)</f>
        <v>0</v>
      </c>
      <c r="T279" s="99">
        <f>IFERROR(__xludf.DUMMYFUNCTION("""COMPUTED_VALUE"""),0.0)</f>
        <v>0</v>
      </c>
      <c r="U279" s="99">
        <f>IFERROR(__xludf.DUMMYFUNCTION("""COMPUTED_VALUE"""),1530000.0)</f>
        <v>1530000</v>
      </c>
      <c r="V279" s="99">
        <f>IFERROR(__xludf.DUMMYFUNCTION("""COMPUTED_VALUE"""),0.0)</f>
        <v>0</v>
      </c>
      <c r="W279" s="99">
        <f>IFERROR(__xludf.DUMMYFUNCTION("""COMPUTED_VALUE"""),0.0)</f>
        <v>0</v>
      </c>
    </row>
    <row r="280">
      <c r="N280" s="98">
        <f>IFERROR(__xludf.DUMMYFUNCTION("""COMPUTED_VALUE"""),44051.0)</f>
        <v>44051</v>
      </c>
      <c r="O280" s="96" t="str">
        <f>IFERROR(__xludf.DUMMYFUNCTION("""COMPUTED_VALUE"""),"ETUK EFFI")</f>
        <v>ETUK EFFI</v>
      </c>
      <c r="P280" s="96" t="str">
        <f>IFERROR(__xludf.DUMMYFUNCTION("""COMPUTED_VALUE"""),"advance (Director)")</f>
        <v>advance (Director)</v>
      </c>
      <c r="Q280" s="99">
        <f>IFERROR(__xludf.DUMMYFUNCTION("""COMPUTED_VALUE"""),1379140.0)</f>
        <v>1379140</v>
      </c>
      <c r="R280" s="96" t="str">
        <f>IFERROR(__xludf.DUMMYFUNCTION("""COMPUTED_VALUE"""),"Prefinance")</f>
        <v>Prefinance</v>
      </c>
      <c r="S280" s="99">
        <f>IFERROR(__xludf.DUMMYFUNCTION("""COMPUTED_VALUE"""),0.0)</f>
        <v>0</v>
      </c>
      <c r="T280" s="99">
        <f>IFERROR(__xludf.DUMMYFUNCTION("""COMPUTED_VALUE"""),0.0)</f>
        <v>0</v>
      </c>
      <c r="U280" s="99">
        <f>IFERROR(__xludf.DUMMYFUNCTION("""COMPUTED_VALUE"""),0.0)</f>
        <v>0</v>
      </c>
      <c r="V280" s="99">
        <f>IFERROR(__xludf.DUMMYFUNCTION("""COMPUTED_VALUE"""),0.0)</f>
        <v>0</v>
      </c>
      <c r="W280" s="99">
        <f>IFERROR(__xludf.DUMMYFUNCTION("""COMPUTED_VALUE"""),0.0)</f>
        <v>0</v>
      </c>
    </row>
    <row r="281">
      <c r="N281" s="98">
        <f>IFERROR(__xludf.DUMMYFUNCTION("""COMPUTED_VALUE"""),44051.0)</f>
        <v>44051</v>
      </c>
      <c r="O281" s="96" t="str">
        <f>IFERROR(__xludf.DUMMYFUNCTION("""COMPUTED_VALUE"""),"RECTOR W.")</f>
        <v>RECTOR W.</v>
      </c>
      <c r="P281" s="96" t="str">
        <f>IFERROR(__xludf.DUMMYFUNCTION("""COMPUTED_VALUE"""),"TP &amp; huallage")</f>
        <v>TP &amp; huallage</v>
      </c>
      <c r="Q281" s="99">
        <f>IFERROR(__xludf.DUMMYFUNCTION("""COMPUTED_VALUE"""),75000.0)</f>
        <v>75000</v>
      </c>
      <c r="R281" s="96" t="str">
        <f>IFERROR(__xludf.DUMMYFUNCTION("""COMPUTED_VALUE"""),"Prefinance")</f>
        <v>Prefinance</v>
      </c>
      <c r="S281" s="99">
        <f>IFERROR(__xludf.DUMMYFUNCTION("""COMPUTED_VALUE"""),0.0)</f>
        <v>0</v>
      </c>
      <c r="T281" s="99">
        <f>IFERROR(__xludf.DUMMYFUNCTION("""COMPUTED_VALUE"""),0.0)</f>
        <v>0</v>
      </c>
      <c r="U281" s="99">
        <f>IFERROR(__xludf.DUMMYFUNCTION("""COMPUTED_VALUE"""),0.0)</f>
        <v>0</v>
      </c>
      <c r="V281" s="99">
        <f>IFERROR(__xludf.DUMMYFUNCTION("""COMPUTED_VALUE"""),0.0)</f>
        <v>0</v>
      </c>
      <c r="W281" s="99">
        <f>IFERROR(__xludf.DUMMYFUNCTION("""COMPUTED_VALUE"""),0.0)</f>
        <v>0</v>
      </c>
    </row>
    <row r="282">
      <c r="N282" s="98">
        <f>IFERROR(__xludf.DUMMYFUNCTION("""COMPUTED_VALUE"""),44051.0)</f>
        <v>44051</v>
      </c>
      <c r="O282" s="96" t="str">
        <f>IFERROR(__xludf.DUMMYFUNCTION("""COMPUTED_VALUE"""),"BOSURU  BOSURU")</f>
        <v>BOSURU  BOSURU</v>
      </c>
      <c r="P282" s="96" t="str">
        <f>IFERROR(__xludf.DUMMYFUNCTION("""COMPUTED_VALUE"""),"advance (Director)")</f>
        <v>advance (Director)</v>
      </c>
      <c r="Q282" s="99">
        <f>IFERROR(__xludf.DUMMYFUNCTION("""COMPUTED_VALUE"""),200000.0)</f>
        <v>200000</v>
      </c>
      <c r="R282" s="96" t="str">
        <f>IFERROR(__xludf.DUMMYFUNCTION("""COMPUTED_VALUE"""),"Prefinance")</f>
        <v>Prefinance</v>
      </c>
      <c r="S282" s="99">
        <f>IFERROR(__xludf.DUMMYFUNCTION("""COMPUTED_VALUE"""),0.0)</f>
        <v>0</v>
      </c>
      <c r="T282" s="99">
        <f>IFERROR(__xludf.DUMMYFUNCTION("""COMPUTED_VALUE"""),0.0)</f>
        <v>0</v>
      </c>
      <c r="U282" s="99">
        <f>IFERROR(__xludf.DUMMYFUNCTION("""COMPUTED_VALUE"""),0.0)</f>
        <v>0</v>
      </c>
      <c r="V282" s="99">
        <f>IFERROR(__xludf.DUMMYFUNCTION("""COMPUTED_VALUE"""),0.0)</f>
        <v>0</v>
      </c>
      <c r="W282" s="99">
        <f>IFERROR(__xludf.DUMMYFUNCTION("""COMPUTED_VALUE"""),0.0)</f>
        <v>0</v>
      </c>
    </row>
    <row r="283">
      <c r="N283" s="98">
        <f>IFERROR(__xludf.DUMMYFUNCTION("""COMPUTED_VALUE"""),44051.0)</f>
        <v>44051</v>
      </c>
      <c r="O283" s="96" t="str">
        <f>IFERROR(__xludf.DUMMYFUNCTION("""COMPUTED_VALUE"""),"CORNWELL")</f>
        <v>CORNWELL</v>
      </c>
      <c r="P283" s="96" t="str">
        <f>IFERROR(__xludf.DUMMYFUNCTION("""COMPUTED_VALUE"""),"TP 48-BAGS")</f>
        <v>TP 48-BAGS</v>
      </c>
      <c r="Q283" s="99">
        <f>IFERROR(__xludf.DUMMYFUNCTION("""COMPUTED_VALUE"""),192000.0)</f>
        <v>192000</v>
      </c>
      <c r="R283" s="96" t="str">
        <f>IFERROR(__xludf.DUMMYFUNCTION("""COMPUTED_VALUE"""),"General Expenses")</f>
        <v>General Expenses</v>
      </c>
      <c r="S283" s="99">
        <f>IFERROR(__xludf.DUMMYFUNCTION("""COMPUTED_VALUE"""),0.0)</f>
        <v>0</v>
      </c>
      <c r="T283" s="99">
        <f>IFERROR(__xludf.DUMMYFUNCTION("""COMPUTED_VALUE"""),192000.0)</f>
        <v>192000</v>
      </c>
      <c r="U283" s="99">
        <f>IFERROR(__xludf.DUMMYFUNCTION("""COMPUTED_VALUE"""),0.0)</f>
        <v>0</v>
      </c>
      <c r="V283" s="99">
        <f>IFERROR(__xludf.DUMMYFUNCTION("""COMPUTED_VALUE"""),0.0)</f>
        <v>0</v>
      </c>
      <c r="W283" s="99">
        <f>IFERROR(__xludf.DUMMYFUNCTION("""COMPUTED_VALUE"""),0.0)</f>
        <v>0</v>
      </c>
    </row>
    <row r="284">
      <c r="N284" s="98">
        <f>IFERROR(__xludf.DUMMYFUNCTION("""COMPUTED_VALUE"""),44051.0)</f>
        <v>44051</v>
      </c>
      <c r="O284" s="96" t="str">
        <f>IFERROR(__xludf.DUMMYFUNCTION("""COMPUTED_VALUE"""),"T.F.C.")</f>
        <v>T.F.C.</v>
      </c>
      <c r="P284" s="96" t="str">
        <f>IFERROR(__xludf.DUMMYFUNCTION("""COMPUTED_VALUE"""),"TP 4-BAGS")</f>
        <v>TP 4-BAGS</v>
      </c>
      <c r="Q284" s="99">
        <f>IFERROR(__xludf.DUMMYFUNCTION("""COMPUTED_VALUE"""),16000.0)</f>
        <v>16000</v>
      </c>
      <c r="R284" s="96" t="str">
        <f>IFERROR(__xludf.DUMMYFUNCTION("""COMPUTED_VALUE"""),"General Expenses")</f>
        <v>General Expenses</v>
      </c>
      <c r="S284" s="99">
        <f>IFERROR(__xludf.DUMMYFUNCTION("""COMPUTED_VALUE"""),0.0)</f>
        <v>0</v>
      </c>
      <c r="T284" s="99">
        <f>IFERROR(__xludf.DUMMYFUNCTION("""COMPUTED_VALUE"""),16000.0)</f>
        <v>16000</v>
      </c>
      <c r="U284" s="99">
        <f>IFERROR(__xludf.DUMMYFUNCTION("""COMPUTED_VALUE"""),0.0)</f>
        <v>0</v>
      </c>
      <c r="V284" s="99">
        <f>IFERROR(__xludf.DUMMYFUNCTION("""COMPUTED_VALUE"""),0.0)</f>
        <v>0</v>
      </c>
      <c r="W284" s="99">
        <f>IFERROR(__xludf.DUMMYFUNCTION("""COMPUTED_VALUE"""),0.0)</f>
        <v>0</v>
      </c>
    </row>
    <row r="285">
      <c r="N285" s="98">
        <f>IFERROR(__xludf.DUMMYFUNCTION("""COMPUTED_VALUE"""),44051.0)</f>
        <v>44051</v>
      </c>
      <c r="O285" s="96" t="str">
        <f>IFERROR(__xludf.DUMMYFUNCTION("""COMPUTED_VALUE"""),"PRINCE")</f>
        <v>PRINCE</v>
      </c>
      <c r="P285" s="96" t="str">
        <f>IFERROR(__xludf.DUMMYFUNCTION("""COMPUTED_VALUE"""),"TP 39-BAGS")</f>
        <v>TP 39-BAGS</v>
      </c>
      <c r="Q285" s="99">
        <f>IFERROR(__xludf.DUMMYFUNCTION("""COMPUTED_VALUE"""),156000.0)</f>
        <v>156000</v>
      </c>
      <c r="R285" s="96" t="str">
        <f>IFERROR(__xludf.DUMMYFUNCTION("""COMPUTED_VALUE"""),"General Expenses")</f>
        <v>General Expenses</v>
      </c>
      <c r="S285" s="99">
        <f>IFERROR(__xludf.DUMMYFUNCTION("""COMPUTED_VALUE"""),0.0)</f>
        <v>0</v>
      </c>
      <c r="T285" s="99">
        <f>IFERROR(__xludf.DUMMYFUNCTION("""COMPUTED_VALUE"""),156000.0)</f>
        <v>156000</v>
      </c>
      <c r="U285" s="99">
        <f>IFERROR(__xludf.DUMMYFUNCTION("""COMPUTED_VALUE"""),0.0)</f>
        <v>0</v>
      </c>
      <c r="V285" s="99">
        <f>IFERROR(__xludf.DUMMYFUNCTION("""COMPUTED_VALUE"""),0.0)</f>
        <v>0</v>
      </c>
      <c r="W285" s="99">
        <f>IFERROR(__xludf.DUMMYFUNCTION("""COMPUTED_VALUE"""),0.0)</f>
        <v>0</v>
      </c>
    </row>
    <row r="286">
      <c r="N286" s="98">
        <f>IFERROR(__xludf.DUMMYFUNCTION("""COMPUTED_VALUE"""),44051.0)</f>
        <v>44051</v>
      </c>
      <c r="O286" s="96" t="str">
        <f>IFERROR(__xludf.DUMMYFUNCTION("""COMPUTED_VALUE"""),"PRESIDO")</f>
        <v>PRESIDO</v>
      </c>
      <c r="P286" s="96" t="str">
        <f>IFERROR(__xludf.DUMMYFUNCTION("""COMPUTED_VALUE"""),"Huallage")</f>
        <v>Huallage</v>
      </c>
      <c r="Q286" s="99">
        <f>IFERROR(__xludf.DUMMYFUNCTION("""COMPUTED_VALUE"""),30000.0)</f>
        <v>30000</v>
      </c>
      <c r="R286" s="96" t="str">
        <f>IFERROR(__xludf.DUMMYFUNCTION("""COMPUTED_VALUE"""),"General Expenses")</f>
        <v>General Expenses</v>
      </c>
      <c r="S286" s="99">
        <f>IFERROR(__xludf.DUMMYFUNCTION("""COMPUTED_VALUE"""),0.0)</f>
        <v>0</v>
      </c>
      <c r="T286" s="99">
        <f>IFERROR(__xludf.DUMMYFUNCTION("""COMPUTED_VALUE"""),30000.0)</f>
        <v>30000</v>
      </c>
      <c r="U286" s="99">
        <f>IFERROR(__xludf.DUMMYFUNCTION("""COMPUTED_VALUE"""),0.0)</f>
        <v>0</v>
      </c>
      <c r="V286" s="99">
        <f>IFERROR(__xludf.DUMMYFUNCTION("""COMPUTED_VALUE"""),0.0)</f>
        <v>0</v>
      </c>
      <c r="W286" s="99">
        <f>IFERROR(__xludf.DUMMYFUNCTION("""COMPUTED_VALUE"""),0.0)</f>
        <v>0</v>
      </c>
    </row>
    <row r="287">
      <c r="N287" s="98">
        <f>IFERROR(__xludf.DUMMYFUNCTION("""COMPUTED_VALUE"""),44051.0)</f>
        <v>44051</v>
      </c>
      <c r="O287" s="96" t="str">
        <f>IFERROR(__xludf.DUMMYFUNCTION("""COMPUTED_VALUE"""),"presido")</f>
        <v>presido</v>
      </c>
      <c r="P287" s="96" t="str">
        <f>IFERROR(__xludf.DUMMYFUNCTION("""COMPUTED_VALUE"""),"TP  99-BAGS")</f>
        <v>TP  99-BAGS</v>
      </c>
      <c r="Q287" s="99">
        <f>IFERROR(__xludf.DUMMYFUNCTION("""COMPUTED_VALUE"""),350000.0)</f>
        <v>350000</v>
      </c>
      <c r="R287" s="96" t="str">
        <f>IFERROR(__xludf.DUMMYFUNCTION("""COMPUTED_VALUE"""),"General Expenses")</f>
        <v>General Expenses</v>
      </c>
      <c r="S287" s="99">
        <f>IFERROR(__xludf.DUMMYFUNCTION("""COMPUTED_VALUE"""),0.0)</f>
        <v>0</v>
      </c>
      <c r="T287" s="99">
        <f>IFERROR(__xludf.DUMMYFUNCTION("""COMPUTED_VALUE"""),350000.0)</f>
        <v>350000</v>
      </c>
      <c r="U287" s="99">
        <f>IFERROR(__xludf.DUMMYFUNCTION("""COMPUTED_VALUE"""),0.0)</f>
        <v>0</v>
      </c>
      <c r="V287" s="99">
        <f>IFERROR(__xludf.DUMMYFUNCTION("""COMPUTED_VALUE"""),0.0)</f>
        <v>0</v>
      </c>
      <c r="W287" s="99">
        <f>IFERROR(__xludf.DUMMYFUNCTION("""COMPUTED_VALUE"""),0.0)</f>
        <v>0</v>
      </c>
    </row>
    <row r="288">
      <c r="N288" s="98">
        <f>IFERROR(__xludf.DUMMYFUNCTION("""COMPUTED_VALUE"""),44051.0)</f>
        <v>44051</v>
      </c>
      <c r="O288" s="96" t="str">
        <f>IFERROR(__xludf.DUMMYFUNCTION("""COMPUTED_VALUE"""),"ANDY")</f>
        <v>ANDY</v>
      </c>
      <c r="P288" s="96" t="str">
        <f>IFERROR(__xludf.DUMMYFUNCTION("""COMPUTED_VALUE"""),"DRYER")</f>
        <v>DRYER</v>
      </c>
      <c r="Q288" s="99">
        <f>IFERROR(__xludf.DUMMYFUNCTION("""COMPUTED_VALUE"""),20000.0)</f>
        <v>20000</v>
      </c>
      <c r="R288" s="96" t="str">
        <f>IFERROR(__xludf.DUMMYFUNCTION("""COMPUTED_VALUE"""),"General Expenses")</f>
        <v>General Expenses</v>
      </c>
      <c r="S288" s="99">
        <f>IFERROR(__xludf.DUMMYFUNCTION("""COMPUTED_VALUE"""),0.0)</f>
        <v>0</v>
      </c>
      <c r="T288" s="99">
        <f>IFERROR(__xludf.DUMMYFUNCTION("""COMPUTED_VALUE"""),20000.0)</f>
        <v>20000</v>
      </c>
      <c r="U288" s="99">
        <f>IFERROR(__xludf.DUMMYFUNCTION("""COMPUTED_VALUE"""),0.0)</f>
        <v>0</v>
      </c>
      <c r="V288" s="99">
        <f>IFERROR(__xludf.DUMMYFUNCTION("""COMPUTED_VALUE"""),0.0)</f>
        <v>0</v>
      </c>
      <c r="W288" s="99">
        <f>IFERROR(__xludf.DUMMYFUNCTION("""COMPUTED_VALUE"""),0.0)</f>
        <v>0</v>
      </c>
    </row>
    <row r="289">
      <c r="N289" s="98">
        <f>IFERROR(__xludf.DUMMYFUNCTION("""COMPUTED_VALUE"""),44051.0)</f>
        <v>44051</v>
      </c>
      <c r="O289" s="96" t="str">
        <f>IFERROR(__xludf.DUMMYFUNCTION("""COMPUTED_VALUE"""),"ENGINEER")</f>
        <v>ENGINEER</v>
      </c>
      <c r="P289" s="96" t="str">
        <f>IFERROR(__xludf.DUMMYFUNCTION("""COMPUTED_VALUE"""),"DRYER")</f>
        <v>DRYER</v>
      </c>
      <c r="Q289" s="99">
        <f>IFERROR(__xludf.DUMMYFUNCTION("""COMPUTED_VALUE"""),15000.0)</f>
        <v>15000</v>
      </c>
      <c r="R289" s="96" t="str">
        <f>IFERROR(__xludf.DUMMYFUNCTION("""COMPUTED_VALUE"""),"General Expenses")</f>
        <v>General Expenses</v>
      </c>
      <c r="S289" s="99">
        <f>IFERROR(__xludf.DUMMYFUNCTION("""COMPUTED_VALUE"""),0.0)</f>
        <v>0</v>
      </c>
      <c r="T289" s="99">
        <f>IFERROR(__xludf.DUMMYFUNCTION("""COMPUTED_VALUE"""),15000.0)</f>
        <v>15000</v>
      </c>
      <c r="U289" s="99">
        <f>IFERROR(__xludf.DUMMYFUNCTION("""COMPUTED_VALUE"""),0.0)</f>
        <v>0</v>
      </c>
      <c r="V289" s="99">
        <f>IFERROR(__xludf.DUMMYFUNCTION("""COMPUTED_VALUE"""),0.0)</f>
        <v>0</v>
      </c>
      <c r="W289" s="99">
        <f>IFERROR(__xludf.DUMMYFUNCTION("""COMPUTED_VALUE"""),0.0)</f>
        <v>0</v>
      </c>
    </row>
    <row r="290">
      <c r="N290" s="98">
        <f>IFERROR(__xludf.DUMMYFUNCTION("""COMPUTED_VALUE"""),44051.0)</f>
        <v>44051</v>
      </c>
      <c r="O290" s="96" t="str">
        <f>IFERROR(__xludf.DUMMYFUNCTION("""COMPUTED_VALUE"""),"DIRECTOR")</f>
        <v>DIRECTOR</v>
      </c>
      <c r="P290" s="96" t="str">
        <f>IFERROR(__xludf.DUMMYFUNCTION("""COMPUTED_VALUE"""),"PERSONAL USE")</f>
        <v>PERSONAL USE</v>
      </c>
      <c r="Q290" s="99">
        <f>IFERROR(__xludf.DUMMYFUNCTION("""COMPUTED_VALUE"""),10000.0)</f>
        <v>10000</v>
      </c>
      <c r="R290" s="96" t="str">
        <f>IFERROR(__xludf.DUMMYFUNCTION("""COMPUTED_VALUE"""),"General Expenses")</f>
        <v>General Expenses</v>
      </c>
      <c r="S290" s="99">
        <f>IFERROR(__xludf.DUMMYFUNCTION("""COMPUTED_VALUE"""),0.0)</f>
        <v>0</v>
      </c>
      <c r="T290" s="99">
        <f>IFERROR(__xludf.DUMMYFUNCTION("""COMPUTED_VALUE"""),10000.0)</f>
        <v>10000</v>
      </c>
      <c r="U290" s="99">
        <f>IFERROR(__xludf.DUMMYFUNCTION("""COMPUTED_VALUE"""),0.0)</f>
        <v>0</v>
      </c>
      <c r="V290" s="99">
        <f>IFERROR(__xludf.DUMMYFUNCTION("""COMPUTED_VALUE"""),0.0)</f>
        <v>0</v>
      </c>
      <c r="W290" s="99">
        <f>IFERROR(__xludf.DUMMYFUNCTION("""COMPUTED_VALUE"""),0.0)</f>
        <v>0</v>
      </c>
    </row>
    <row r="291">
      <c r="N291" s="98">
        <f>IFERROR(__xludf.DUMMYFUNCTION("""COMPUTED_VALUE"""),44051.0)</f>
        <v>44051</v>
      </c>
      <c r="O291" s="96" t="str">
        <f>IFERROR(__xludf.DUMMYFUNCTION("""COMPUTED_VALUE"""),"LABOUR  BOY")</f>
        <v>LABOUR  BOY</v>
      </c>
      <c r="P291" s="96" t="str">
        <f>IFERROR(__xludf.DUMMYFUNCTION("""COMPUTED_VALUE"""),"WAGES")</f>
        <v>WAGES</v>
      </c>
      <c r="Q291" s="99">
        <f>IFERROR(__xludf.DUMMYFUNCTION("""COMPUTED_VALUE"""),69000.0)</f>
        <v>69000</v>
      </c>
      <c r="R291" s="96" t="str">
        <f>IFERROR(__xludf.DUMMYFUNCTION("""COMPUTED_VALUE"""),"General Expenses")</f>
        <v>General Expenses</v>
      </c>
      <c r="S291" s="99">
        <f>IFERROR(__xludf.DUMMYFUNCTION("""COMPUTED_VALUE"""),0.0)</f>
        <v>0</v>
      </c>
      <c r="T291" s="99">
        <f>IFERROR(__xludf.DUMMYFUNCTION("""COMPUTED_VALUE"""),69000.0)</f>
        <v>69000</v>
      </c>
      <c r="U291" s="99">
        <f>IFERROR(__xludf.DUMMYFUNCTION("""COMPUTED_VALUE"""),0.0)</f>
        <v>0</v>
      </c>
      <c r="V291" s="99">
        <f>IFERROR(__xludf.DUMMYFUNCTION("""COMPUTED_VALUE"""),0.0)</f>
        <v>0</v>
      </c>
      <c r="W291" s="99">
        <f>IFERROR(__xludf.DUMMYFUNCTION("""COMPUTED_VALUE"""),0.0)</f>
        <v>0</v>
      </c>
    </row>
    <row r="292">
      <c r="N292" s="98">
        <f>IFERROR(__xludf.DUMMYFUNCTION("""COMPUTED_VALUE"""),44051.0)</f>
        <v>44051</v>
      </c>
      <c r="O292" s="96" t="str">
        <f>IFERROR(__xludf.DUMMYFUNCTION("""COMPUTED_VALUE"""),"DIAMOND")</f>
        <v>DIAMOND</v>
      </c>
      <c r="P292" s="96" t="str">
        <f>IFERROR(__xludf.DUMMYFUNCTION("""COMPUTED_VALUE"""),"ROAD EXP.")</f>
        <v>ROAD EXP.</v>
      </c>
      <c r="Q292" s="99">
        <f>IFERROR(__xludf.DUMMYFUNCTION("""COMPUTED_VALUE"""),1000.0)</f>
        <v>1000</v>
      </c>
      <c r="R292" s="96" t="str">
        <f>IFERROR(__xludf.DUMMYFUNCTION("""COMPUTED_VALUE"""),"General Expenses")</f>
        <v>General Expenses</v>
      </c>
      <c r="S292" s="99">
        <f>IFERROR(__xludf.DUMMYFUNCTION("""COMPUTED_VALUE"""),0.0)</f>
        <v>0</v>
      </c>
      <c r="T292" s="99">
        <f>IFERROR(__xludf.DUMMYFUNCTION("""COMPUTED_VALUE"""),1000.0)</f>
        <v>1000</v>
      </c>
      <c r="U292" s="99">
        <f>IFERROR(__xludf.DUMMYFUNCTION("""COMPUTED_VALUE"""),0.0)</f>
        <v>0</v>
      </c>
      <c r="V292" s="99">
        <f>IFERROR(__xludf.DUMMYFUNCTION("""COMPUTED_VALUE"""),0.0)</f>
        <v>0</v>
      </c>
      <c r="W292" s="99">
        <f>IFERROR(__xludf.DUMMYFUNCTION("""COMPUTED_VALUE"""),0.0)</f>
        <v>0</v>
      </c>
    </row>
    <row r="293">
      <c r="N293" s="98">
        <f>IFERROR(__xludf.DUMMYFUNCTION("""COMPUTED_VALUE"""),44051.0)</f>
        <v>44051</v>
      </c>
      <c r="O293" s="96" t="str">
        <f>IFERROR(__xludf.DUMMYFUNCTION("""COMPUTED_VALUE"""),"MANAGER")</f>
        <v>MANAGER</v>
      </c>
      <c r="P293" s="96" t="str">
        <f>IFERROR(__xludf.DUMMYFUNCTION("""COMPUTED_VALUE"""),"GAS")</f>
        <v>GAS</v>
      </c>
      <c r="Q293" s="99">
        <f>IFERROR(__xludf.DUMMYFUNCTION("""COMPUTED_VALUE"""),10000.0)</f>
        <v>10000</v>
      </c>
      <c r="R293" s="96" t="str">
        <f>IFERROR(__xludf.DUMMYFUNCTION("""COMPUTED_VALUE"""),"General Expenses")</f>
        <v>General Expenses</v>
      </c>
      <c r="S293" s="99">
        <f>IFERROR(__xludf.DUMMYFUNCTION("""COMPUTED_VALUE"""),0.0)</f>
        <v>0</v>
      </c>
      <c r="T293" s="99">
        <f>IFERROR(__xludf.DUMMYFUNCTION("""COMPUTED_VALUE"""),10000.0)</f>
        <v>10000</v>
      </c>
      <c r="U293" s="99">
        <f>IFERROR(__xludf.DUMMYFUNCTION("""COMPUTED_VALUE"""),0.0)</f>
        <v>0</v>
      </c>
      <c r="V293" s="99">
        <f>IFERROR(__xludf.DUMMYFUNCTION("""COMPUTED_VALUE"""),0.0)</f>
        <v>0</v>
      </c>
      <c r="W293" s="99">
        <f>IFERROR(__xludf.DUMMYFUNCTION("""COMPUTED_VALUE"""),0.0)</f>
        <v>0</v>
      </c>
    </row>
    <row r="294">
      <c r="N294" s="98">
        <f>IFERROR(__xludf.DUMMYFUNCTION("""COMPUTED_VALUE"""),44051.0)</f>
        <v>44051</v>
      </c>
      <c r="O294" s="96" t="str">
        <f>IFERROR(__xludf.DUMMYFUNCTION("""COMPUTED_VALUE"""),"MANAGER")</f>
        <v>MANAGER</v>
      </c>
      <c r="P294" s="96" t="str">
        <f>IFERROR(__xludf.DUMMYFUNCTION("""COMPUTED_VALUE"""),"UPKEEP/AIRTIME")</f>
        <v>UPKEEP/AIRTIME</v>
      </c>
      <c r="Q294" s="99">
        <f>IFERROR(__xludf.DUMMYFUNCTION("""COMPUTED_VALUE"""),3000.0)</f>
        <v>3000</v>
      </c>
      <c r="R294" s="96" t="str">
        <f>IFERROR(__xludf.DUMMYFUNCTION("""COMPUTED_VALUE"""),"General Expenses")</f>
        <v>General Expenses</v>
      </c>
      <c r="S294" s="99">
        <f>IFERROR(__xludf.DUMMYFUNCTION("""COMPUTED_VALUE"""),0.0)</f>
        <v>0</v>
      </c>
      <c r="T294" s="99">
        <f>IFERROR(__xludf.DUMMYFUNCTION("""COMPUTED_VALUE"""),3000.0)</f>
        <v>3000</v>
      </c>
      <c r="U294" s="99">
        <f>IFERROR(__xludf.DUMMYFUNCTION("""COMPUTED_VALUE"""),0.0)</f>
        <v>0</v>
      </c>
      <c r="V294" s="99">
        <f>IFERROR(__xludf.DUMMYFUNCTION("""COMPUTED_VALUE"""),0.0)</f>
        <v>0</v>
      </c>
      <c r="W294" s="99">
        <f>IFERROR(__xludf.DUMMYFUNCTION("""COMPUTED_VALUE"""),0.0)</f>
        <v>0</v>
      </c>
    </row>
    <row r="295">
      <c r="N295" s="98">
        <f>IFERROR(__xludf.DUMMYFUNCTION("""COMPUTED_VALUE"""),44051.0)</f>
        <v>44051</v>
      </c>
      <c r="O295" s="96" t="str">
        <f>IFERROR(__xludf.DUMMYFUNCTION("""COMPUTED_VALUE"""),"CHINEDU")</f>
        <v>CHINEDU</v>
      </c>
      <c r="P295" s="96" t="str">
        <f>IFERROR(__xludf.DUMMYFUNCTION("""COMPUTED_VALUE"""),"DIRECTOR ORDER")</f>
        <v>DIRECTOR ORDER</v>
      </c>
      <c r="Q295" s="99">
        <f>IFERROR(__xludf.DUMMYFUNCTION("""COMPUTED_VALUE"""),5000.0)</f>
        <v>5000</v>
      </c>
      <c r="R295" s="96" t="str">
        <f>IFERROR(__xludf.DUMMYFUNCTION("""COMPUTED_VALUE"""),"General Expenses")</f>
        <v>General Expenses</v>
      </c>
      <c r="S295" s="99">
        <f>IFERROR(__xludf.DUMMYFUNCTION("""COMPUTED_VALUE"""),0.0)</f>
        <v>0</v>
      </c>
      <c r="T295" s="99">
        <f>IFERROR(__xludf.DUMMYFUNCTION("""COMPUTED_VALUE"""),5000.0)</f>
        <v>5000</v>
      </c>
      <c r="U295" s="99">
        <f>IFERROR(__xludf.DUMMYFUNCTION("""COMPUTED_VALUE"""),0.0)</f>
        <v>0</v>
      </c>
      <c r="V295" s="99">
        <f>IFERROR(__xludf.DUMMYFUNCTION("""COMPUTED_VALUE"""),0.0)</f>
        <v>0</v>
      </c>
      <c r="W295" s="99">
        <f>IFERROR(__xludf.DUMMYFUNCTION("""COMPUTED_VALUE"""),0.0)</f>
        <v>0</v>
      </c>
    </row>
    <row r="296">
      <c r="N296" s="98">
        <f>IFERROR(__xludf.DUMMYFUNCTION("""COMPUTED_VALUE"""),44051.0)</f>
        <v>44051</v>
      </c>
      <c r="O296" s="96" t="str">
        <f>IFERROR(__xludf.DUMMYFUNCTION("""COMPUTED_VALUE"""),"BLESSING CHAPMAN")</f>
        <v>BLESSING CHAPMAN</v>
      </c>
      <c r="P296" s="96" t="str">
        <f>IFERROR(__xludf.DUMMYFUNCTION("""COMPUTED_VALUE"""),"CASH COLLECTED")</f>
        <v>CASH COLLECTED</v>
      </c>
      <c r="Q296" s="99">
        <f>IFERROR(__xludf.DUMMYFUNCTION("""COMPUTED_VALUE"""),877000.0)</f>
        <v>877000</v>
      </c>
      <c r="R296" s="96" t="str">
        <f>IFERROR(__xludf.DUMMYFUNCTION("""COMPUTED_VALUE"""),"Petty Cash")</f>
        <v>Petty Cash</v>
      </c>
      <c r="S296" s="99">
        <f>IFERROR(__xludf.DUMMYFUNCTION("""COMPUTED_VALUE"""),0.0)</f>
        <v>0</v>
      </c>
      <c r="T296" s="99">
        <f>IFERROR(__xludf.DUMMYFUNCTION("""COMPUTED_VALUE"""),0.0)</f>
        <v>0</v>
      </c>
      <c r="U296" s="99">
        <f>IFERROR(__xludf.DUMMYFUNCTION("""COMPUTED_VALUE"""),0.0)</f>
        <v>0</v>
      </c>
      <c r="V296" s="99">
        <f>IFERROR(__xludf.DUMMYFUNCTION("""COMPUTED_VALUE"""),877000.0)</f>
        <v>877000</v>
      </c>
      <c r="W296" s="99">
        <f>IFERROR(__xludf.DUMMYFUNCTION("""COMPUTED_VALUE"""),0.0)</f>
        <v>0</v>
      </c>
    </row>
    <row r="297">
      <c r="N297" s="98">
        <f>IFERROR(__xludf.DUMMYFUNCTION("""COMPUTED_VALUE"""),44051.0)</f>
        <v>44051</v>
      </c>
      <c r="O297" s="96" t="str">
        <f>IFERROR(__xludf.DUMMYFUNCTION("""COMPUTED_VALUE"""),"DIRECTOR")</f>
        <v>DIRECTOR</v>
      </c>
      <c r="P297" s="96" t="str">
        <f>IFERROR(__xludf.DUMMYFUNCTION("""COMPUTED_VALUE"""),"CASH-IN")</f>
        <v>CASH-IN</v>
      </c>
      <c r="Q297" s="99">
        <f>IFERROR(__xludf.DUMMYFUNCTION("""COMPUTED_VALUE"""),1579140.0)</f>
        <v>1579140</v>
      </c>
      <c r="R297" s="96" t="str">
        <f>IFERROR(__xludf.DUMMYFUNCTION("""COMPUTED_VALUE"""),"From Bank")</f>
        <v>From Bank</v>
      </c>
      <c r="S297" s="99">
        <f>IFERROR(__xludf.DUMMYFUNCTION("""COMPUTED_VALUE"""),0.0)</f>
        <v>0</v>
      </c>
      <c r="T297" s="99">
        <f>IFERROR(__xludf.DUMMYFUNCTION("""COMPUTED_VALUE"""),0.0)</f>
        <v>0</v>
      </c>
      <c r="U297" s="99">
        <f>IFERROR(__xludf.DUMMYFUNCTION("""COMPUTED_VALUE"""),1579140.0)</f>
        <v>1579140</v>
      </c>
      <c r="V297" s="99">
        <f>IFERROR(__xludf.DUMMYFUNCTION("""COMPUTED_VALUE"""),0.0)</f>
        <v>0</v>
      </c>
      <c r="W297" s="99">
        <f>IFERROR(__xludf.DUMMYFUNCTION("""COMPUTED_VALUE"""),0.0)</f>
        <v>0</v>
      </c>
    </row>
    <row r="298">
      <c r="N298" s="98">
        <f>IFERROR(__xludf.DUMMYFUNCTION("""COMPUTED_VALUE"""),44053.0)</f>
        <v>44053</v>
      </c>
      <c r="O298" s="96" t="str">
        <f>IFERROR(__xludf.DUMMYFUNCTION("""COMPUTED_VALUE"""),"AYUK BLESSING")</f>
        <v>AYUK BLESSING</v>
      </c>
      <c r="P298" s="96" t="str">
        <f>IFERROR(__xludf.DUMMYFUNCTION("""COMPUTED_VALUE"""),"tally paper")</f>
        <v>tally paper</v>
      </c>
      <c r="Q298" s="99">
        <f>IFERROR(__xludf.DUMMYFUNCTION("""COMPUTED_VALUE"""),1000.0)</f>
        <v>1000</v>
      </c>
      <c r="R298" s="96" t="str">
        <f>IFERROR(__xludf.DUMMYFUNCTION("""COMPUTED_VALUE"""),"General Expenses")</f>
        <v>General Expenses</v>
      </c>
      <c r="S298" s="99">
        <f>IFERROR(__xludf.DUMMYFUNCTION("""COMPUTED_VALUE"""),0.0)</f>
        <v>0</v>
      </c>
      <c r="T298" s="99">
        <f>IFERROR(__xludf.DUMMYFUNCTION("""COMPUTED_VALUE"""),1000.0)</f>
        <v>1000</v>
      </c>
      <c r="U298" s="99">
        <f>IFERROR(__xludf.DUMMYFUNCTION("""COMPUTED_VALUE"""),0.0)</f>
        <v>0</v>
      </c>
      <c r="V298" s="99">
        <f>IFERROR(__xludf.DUMMYFUNCTION("""COMPUTED_VALUE"""),0.0)</f>
        <v>0</v>
      </c>
      <c r="W298" s="99">
        <f>IFERROR(__xludf.DUMMYFUNCTION("""COMPUTED_VALUE"""),0.0)</f>
        <v>0</v>
      </c>
    </row>
    <row r="299">
      <c r="N299" s="98">
        <f>IFERROR(__xludf.DUMMYFUNCTION("""COMPUTED_VALUE"""),44053.0)</f>
        <v>44053</v>
      </c>
      <c r="O299" s="96" t="str">
        <f>IFERROR(__xludf.DUMMYFUNCTION("""COMPUTED_VALUE"""),"BLESSING CHAPMAN")</f>
        <v>BLESSING CHAPMAN</v>
      </c>
      <c r="P299" s="96" t="str">
        <f>IFERROR(__xludf.DUMMYFUNCTION("""COMPUTED_VALUE"""),"CASH COLLECTED")</f>
        <v>CASH COLLECTED</v>
      </c>
      <c r="Q299" s="99">
        <f>IFERROR(__xludf.DUMMYFUNCTION("""COMPUTED_VALUE"""),1000.0)</f>
        <v>1000</v>
      </c>
      <c r="R299" s="96" t="str">
        <f>IFERROR(__xludf.DUMMYFUNCTION("""COMPUTED_VALUE"""),"Petty Cash")</f>
        <v>Petty Cash</v>
      </c>
      <c r="S299" s="99">
        <f>IFERROR(__xludf.DUMMYFUNCTION("""COMPUTED_VALUE"""),0.0)</f>
        <v>0</v>
      </c>
      <c r="T299" s="99">
        <f>IFERROR(__xludf.DUMMYFUNCTION("""COMPUTED_VALUE"""),0.0)</f>
        <v>0</v>
      </c>
      <c r="U299" s="99">
        <f>IFERROR(__xludf.DUMMYFUNCTION("""COMPUTED_VALUE"""),0.0)</f>
        <v>0</v>
      </c>
      <c r="V299" s="99">
        <f>IFERROR(__xludf.DUMMYFUNCTION("""COMPUTED_VALUE"""),1000.0)</f>
        <v>1000</v>
      </c>
      <c r="W299" s="99">
        <f>IFERROR(__xludf.DUMMYFUNCTION("""COMPUTED_VALUE"""),0.0)</f>
        <v>0</v>
      </c>
    </row>
    <row r="300">
      <c r="N300" s="98">
        <f>IFERROR(__xludf.DUMMYFUNCTION("""COMPUTED_VALUE"""),44054.0)</f>
        <v>44054</v>
      </c>
      <c r="O300" s="96" t="str">
        <f>IFERROR(__xludf.DUMMYFUNCTION("""COMPUTED_VALUE"""),"NDOMA PETER")</f>
        <v>NDOMA PETER</v>
      </c>
      <c r="P300" s="96" t="str">
        <f>IFERROR(__xludf.DUMMYFUNCTION("""COMPUTED_VALUE"""),"PAYMENT")</f>
        <v>PAYMENT</v>
      </c>
      <c r="Q300" s="99">
        <f>IFERROR(__xludf.DUMMYFUNCTION("""COMPUTED_VALUE"""),484800.0)</f>
        <v>484800</v>
      </c>
      <c r="R300" s="96" t="str">
        <f>IFERROR(__xludf.DUMMYFUNCTION("""COMPUTED_VALUE"""),"Prefinance")</f>
        <v>Prefinance</v>
      </c>
      <c r="S300" s="99">
        <f>IFERROR(__xludf.DUMMYFUNCTION("""COMPUTED_VALUE"""),0.0)</f>
        <v>0</v>
      </c>
      <c r="T300" s="99">
        <f>IFERROR(__xludf.DUMMYFUNCTION("""COMPUTED_VALUE"""),0.0)</f>
        <v>0</v>
      </c>
      <c r="U300" s="99">
        <f>IFERROR(__xludf.DUMMYFUNCTION("""COMPUTED_VALUE"""),0.0)</f>
        <v>0</v>
      </c>
      <c r="V300" s="99">
        <f>IFERROR(__xludf.DUMMYFUNCTION("""COMPUTED_VALUE"""),0.0)</f>
        <v>0</v>
      </c>
      <c r="W300" s="99">
        <f>IFERROR(__xludf.DUMMYFUNCTION("""COMPUTED_VALUE"""),0.0)</f>
        <v>0</v>
      </c>
    </row>
    <row r="301">
      <c r="N301" s="98">
        <f>IFERROR(__xludf.DUMMYFUNCTION("""COMPUTED_VALUE"""),44054.0)</f>
        <v>44054</v>
      </c>
      <c r="O301" s="96" t="str">
        <f>IFERROR(__xludf.DUMMYFUNCTION("""COMPUTED_VALUE"""),"NDOMA BODE I.D")</f>
        <v>NDOMA BODE I.D</v>
      </c>
      <c r="P301" s="96" t="str">
        <f>IFERROR(__xludf.DUMMYFUNCTION("""COMPUTED_VALUE"""),"PAYMENT")</f>
        <v>PAYMENT</v>
      </c>
      <c r="Q301" s="99">
        <f>IFERROR(__xludf.DUMMYFUNCTION("""COMPUTED_VALUE"""),14400.0)</f>
        <v>14400</v>
      </c>
      <c r="R301" s="96" t="str">
        <f>IFERROR(__xludf.DUMMYFUNCTION("""COMPUTED_VALUE"""),"Prefinance")</f>
        <v>Prefinance</v>
      </c>
      <c r="S301" s="99">
        <f>IFERROR(__xludf.DUMMYFUNCTION("""COMPUTED_VALUE"""),0.0)</f>
        <v>0</v>
      </c>
      <c r="T301" s="99">
        <f>IFERROR(__xludf.DUMMYFUNCTION("""COMPUTED_VALUE"""),0.0)</f>
        <v>0</v>
      </c>
      <c r="U301" s="99">
        <f>IFERROR(__xludf.DUMMYFUNCTION("""COMPUTED_VALUE"""),0.0)</f>
        <v>0</v>
      </c>
      <c r="V301" s="99">
        <f>IFERROR(__xludf.DUMMYFUNCTION("""COMPUTED_VALUE"""),0.0)</f>
        <v>0</v>
      </c>
      <c r="W301" s="99">
        <f>IFERROR(__xludf.DUMMYFUNCTION("""COMPUTED_VALUE"""),0.0)</f>
        <v>0</v>
      </c>
    </row>
    <row r="302">
      <c r="N302" s="98">
        <f>IFERROR(__xludf.DUMMYFUNCTION("""COMPUTED_VALUE"""),44054.0)</f>
        <v>44054</v>
      </c>
      <c r="O302" s="96" t="str">
        <f>IFERROR(__xludf.DUMMYFUNCTION("""COMPUTED_VALUE"""),"EGBA")</f>
        <v>EGBA</v>
      </c>
      <c r="P302" s="96" t="str">
        <f>IFERROR(__xludf.DUMMYFUNCTION("""COMPUTED_VALUE"""),"DIRECTOR ORDER")</f>
        <v>DIRECTOR ORDER</v>
      </c>
      <c r="Q302" s="99">
        <f>IFERROR(__xludf.DUMMYFUNCTION("""COMPUTED_VALUE"""),15000.0)</f>
        <v>15000</v>
      </c>
      <c r="R302" s="96" t="str">
        <f>IFERROR(__xludf.DUMMYFUNCTION("""COMPUTED_VALUE"""),"General Expenses")</f>
        <v>General Expenses</v>
      </c>
      <c r="S302" s="99">
        <f>IFERROR(__xludf.DUMMYFUNCTION("""COMPUTED_VALUE"""),0.0)</f>
        <v>0</v>
      </c>
      <c r="T302" s="99">
        <f>IFERROR(__xludf.DUMMYFUNCTION("""COMPUTED_VALUE"""),15000.0)</f>
        <v>15000</v>
      </c>
      <c r="U302" s="99">
        <f>IFERROR(__xludf.DUMMYFUNCTION("""COMPUTED_VALUE"""),0.0)</f>
        <v>0</v>
      </c>
      <c r="V302" s="99">
        <f>IFERROR(__xludf.DUMMYFUNCTION("""COMPUTED_VALUE"""),0.0)</f>
        <v>0</v>
      </c>
      <c r="W302" s="99">
        <f>IFERROR(__xludf.DUMMYFUNCTION("""COMPUTED_VALUE"""),0.0)</f>
        <v>0</v>
      </c>
    </row>
    <row r="303">
      <c r="N303" s="98">
        <f>IFERROR(__xludf.DUMMYFUNCTION("""COMPUTED_VALUE"""),44054.0)</f>
        <v>44054</v>
      </c>
      <c r="O303" s="96" t="str">
        <f>IFERROR(__xludf.DUMMYFUNCTION("""COMPUTED_VALUE"""),"SECURITY")</f>
        <v>SECURITY</v>
      </c>
      <c r="P303" s="96" t="str">
        <f>IFERROR(__xludf.DUMMYFUNCTION("""COMPUTED_VALUE"""),"SALARY")</f>
        <v>SALARY</v>
      </c>
      <c r="Q303" s="99">
        <f>IFERROR(__xludf.DUMMYFUNCTION("""COMPUTED_VALUE"""),20000.0)</f>
        <v>20000</v>
      </c>
      <c r="R303" s="96" t="str">
        <f>IFERROR(__xludf.DUMMYFUNCTION("""COMPUTED_VALUE"""),"General Expenses")</f>
        <v>General Expenses</v>
      </c>
      <c r="S303" s="99">
        <f>IFERROR(__xludf.DUMMYFUNCTION("""COMPUTED_VALUE"""),0.0)</f>
        <v>0</v>
      </c>
      <c r="T303" s="99">
        <f>IFERROR(__xludf.DUMMYFUNCTION("""COMPUTED_VALUE"""),20000.0)</f>
        <v>20000</v>
      </c>
      <c r="U303" s="99">
        <f>IFERROR(__xludf.DUMMYFUNCTION("""COMPUTED_VALUE"""),0.0)</f>
        <v>0</v>
      </c>
      <c r="V303" s="99">
        <f>IFERROR(__xludf.DUMMYFUNCTION("""COMPUTED_VALUE"""),0.0)</f>
        <v>0</v>
      </c>
      <c r="W303" s="99">
        <f>IFERROR(__xludf.DUMMYFUNCTION("""COMPUTED_VALUE"""),0.0)</f>
        <v>0</v>
      </c>
    </row>
    <row r="304">
      <c r="N304" s="98">
        <f>IFERROR(__xludf.DUMMYFUNCTION("""COMPUTED_VALUE"""),44054.0)</f>
        <v>44054</v>
      </c>
      <c r="O304" s="96" t="str">
        <f>IFERROR(__xludf.DUMMYFUNCTION("""COMPUTED_VALUE"""),"DIRECTOR")</f>
        <v>DIRECTOR</v>
      </c>
      <c r="P304" s="96" t="str">
        <f>IFERROR(__xludf.DUMMYFUNCTION("""COMPUTED_VALUE"""),"ISIEWU")</f>
        <v>ISIEWU</v>
      </c>
      <c r="Q304" s="99">
        <f>IFERROR(__xludf.DUMMYFUNCTION("""COMPUTED_VALUE"""),10000.0)</f>
        <v>10000</v>
      </c>
      <c r="R304" s="96" t="str">
        <f>IFERROR(__xludf.DUMMYFUNCTION("""COMPUTED_VALUE"""),"General Expenses")</f>
        <v>General Expenses</v>
      </c>
      <c r="S304" s="99">
        <f>IFERROR(__xludf.DUMMYFUNCTION("""COMPUTED_VALUE"""),0.0)</f>
        <v>0</v>
      </c>
      <c r="T304" s="99">
        <f>IFERROR(__xludf.DUMMYFUNCTION("""COMPUTED_VALUE"""),10000.0)</f>
        <v>10000</v>
      </c>
      <c r="U304" s="99">
        <f>IFERROR(__xludf.DUMMYFUNCTION("""COMPUTED_VALUE"""),0.0)</f>
        <v>0</v>
      </c>
      <c r="V304" s="99">
        <f>IFERROR(__xludf.DUMMYFUNCTION("""COMPUTED_VALUE"""),0.0)</f>
        <v>0</v>
      </c>
      <c r="W304" s="99">
        <f>IFERROR(__xludf.DUMMYFUNCTION("""COMPUTED_VALUE"""),0.0)</f>
        <v>0</v>
      </c>
    </row>
    <row r="305">
      <c r="N305" s="98">
        <f>IFERROR(__xludf.DUMMYFUNCTION("""COMPUTED_VALUE"""),44054.0)</f>
        <v>44054</v>
      </c>
      <c r="O305" s="96" t="str">
        <f>IFERROR(__xludf.DUMMYFUNCTION("""COMPUTED_VALUE"""),"BLESSING")</f>
        <v>BLESSING</v>
      </c>
      <c r="P305" s="96" t="str">
        <f>IFERROR(__xludf.DUMMYFUNCTION("""COMPUTED_VALUE"""),"DIRECTOR SIS")</f>
        <v>DIRECTOR SIS</v>
      </c>
      <c r="Q305" s="99">
        <f>IFERROR(__xludf.DUMMYFUNCTION("""COMPUTED_VALUE"""),66000.0)</f>
        <v>66000</v>
      </c>
      <c r="R305" s="96" t="str">
        <f>IFERROR(__xludf.DUMMYFUNCTION("""COMPUTED_VALUE"""),"General Expenses")</f>
        <v>General Expenses</v>
      </c>
      <c r="S305" s="99">
        <f>IFERROR(__xludf.DUMMYFUNCTION("""COMPUTED_VALUE"""),0.0)</f>
        <v>0</v>
      </c>
      <c r="T305" s="99">
        <f>IFERROR(__xludf.DUMMYFUNCTION("""COMPUTED_VALUE"""),66000.0)</f>
        <v>66000</v>
      </c>
      <c r="U305" s="99">
        <f>IFERROR(__xludf.DUMMYFUNCTION("""COMPUTED_VALUE"""),0.0)</f>
        <v>0</v>
      </c>
      <c r="V305" s="99">
        <f>IFERROR(__xludf.DUMMYFUNCTION("""COMPUTED_VALUE"""),0.0)</f>
        <v>0</v>
      </c>
      <c r="W305" s="99">
        <f>IFERROR(__xludf.DUMMYFUNCTION("""COMPUTED_VALUE"""),0.0)</f>
        <v>0</v>
      </c>
    </row>
    <row r="306">
      <c r="N306" s="98">
        <f>IFERROR(__xludf.DUMMYFUNCTION("""COMPUTED_VALUE"""),44054.0)</f>
        <v>44054</v>
      </c>
      <c r="O306" s="96" t="str">
        <f>IFERROR(__xludf.DUMMYFUNCTION("""COMPUTED_VALUE"""),"ECOTEX")</f>
        <v>ECOTEX</v>
      </c>
      <c r="P306" s="96" t="str">
        <f>IFERROR(__xludf.DUMMYFUNCTION("""COMPUTED_VALUE"""),"HAULLAGE")</f>
        <v>HAULLAGE</v>
      </c>
      <c r="Q306" s="99">
        <f>IFERROR(__xludf.DUMMYFUNCTION("""COMPUTED_VALUE"""),16500.0)</f>
        <v>16500</v>
      </c>
      <c r="R306" s="96" t="str">
        <f>IFERROR(__xludf.DUMMYFUNCTION("""COMPUTED_VALUE"""),"General Expenses")</f>
        <v>General Expenses</v>
      </c>
      <c r="S306" s="99">
        <f>IFERROR(__xludf.DUMMYFUNCTION("""COMPUTED_VALUE"""),0.0)</f>
        <v>0</v>
      </c>
      <c r="T306" s="99">
        <f>IFERROR(__xludf.DUMMYFUNCTION("""COMPUTED_VALUE"""),16500.0)</f>
        <v>16500</v>
      </c>
      <c r="U306" s="99">
        <f>IFERROR(__xludf.DUMMYFUNCTION("""COMPUTED_VALUE"""),0.0)</f>
        <v>0</v>
      </c>
      <c r="V306" s="99">
        <f>IFERROR(__xludf.DUMMYFUNCTION("""COMPUTED_VALUE"""),0.0)</f>
        <v>0</v>
      </c>
      <c r="W306" s="99">
        <f>IFERROR(__xludf.DUMMYFUNCTION("""COMPUTED_VALUE"""),0.0)</f>
        <v>0</v>
      </c>
    </row>
    <row r="307">
      <c r="N307" s="98">
        <f>IFERROR(__xludf.DUMMYFUNCTION("""COMPUTED_VALUE"""),44054.0)</f>
        <v>44054</v>
      </c>
      <c r="O307" s="96" t="str">
        <f>IFERROR(__xludf.DUMMYFUNCTION("""COMPUTED_VALUE"""),"SLY")</f>
        <v>SLY</v>
      </c>
      <c r="P307" s="96" t="str">
        <f>IFERROR(__xludf.DUMMYFUNCTION("""COMPUTED_VALUE"""),"DIRECTOR ORDER")</f>
        <v>DIRECTOR ORDER</v>
      </c>
      <c r="Q307" s="99">
        <f>IFERROR(__xludf.DUMMYFUNCTION("""COMPUTED_VALUE"""),10000.0)</f>
        <v>10000</v>
      </c>
      <c r="R307" s="96" t="str">
        <f>IFERROR(__xludf.DUMMYFUNCTION("""COMPUTED_VALUE"""),"General Expenses")</f>
        <v>General Expenses</v>
      </c>
      <c r="S307" s="99">
        <f>IFERROR(__xludf.DUMMYFUNCTION("""COMPUTED_VALUE"""),0.0)</f>
        <v>0</v>
      </c>
      <c r="T307" s="99">
        <f>IFERROR(__xludf.DUMMYFUNCTION("""COMPUTED_VALUE"""),10000.0)</f>
        <v>10000</v>
      </c>
      <c r="U307" s="99">
        <f>IFERROR(__xludf.DUMMYFUNCTION("""COMPUTED_VALUE"""),0.0)</f>
        <v>0</v>
      </c>
      <c r="V307" s="99">
        <f>IFERROR(__xludf.DUMMYFUNCTION("""COMPUTED_VALUE"""),0.0)</f>
        <v>0</v>
      </c>
      <c r="W307" s="99">
        <f>IFERROR(__xludf.DUMMYFUNCTION("""COMPUTED_VALUE"""),0.0)</f>
        <v>0</v>
      </c>
    </row>
    <row r="308">
      <c r="N308" s="98">
        <f>IFERROR(__xludf.DUMMYFUNCTION("""COMPUTED_VALUE"""),44054.0)</f>
        <v>44054</v>
      </c>
      <c r="O308" s="96" t="str">
        <f>IFERROR(__xludf.DUMMYFUNCTION("""COMPUTED_VALUE"""),"BLESSING CHAPMAN")</f>
        <v>BLESSING CHAPMAN</v>
      </c>
      <c r="P308" s="96" t="str">
        <f>IFERROR(__xludf.DUMMYFUNCTION("""COMPUTED_VALUE"""),"CASH COLLECTED")</f>
        <v>CASH COLLECTED</v>
      </c>
      <c r="Q308" s="99">
        <f>IFERROR(__xludf.DUMMYFUNCTION("""COMPUTED_VALUE"""),375900.0)</f>
        <v>375900</v>
      </c>
      <c r="R308" s="96" t="str">
        <f>IFERROR(__xludf.DUMMYFUNCTION("""COMPUTED_VALUE"""),"Petty Cash")</f>
        <v>Petty Cash</v>
      </c>
      <c r="S308" s="99">
        <f>IFERROR(__xludf.DUMMYFUNCTION("""COMPUTED_VALUE"""),0.0)</f>
        <v>0</v>
      </c>
      <c r="T308" s="99">
        <f>IFERROR(__xludf.DUMMYFUNCTION("""COMPUTED_VALUE"""),0.0)</f>
        <v>0</v>
      </c>
      <c r="U308" s="99">
        <f>IFERROR(__xludf.DUMMYFUNCTION("""COMPUTED_VALUE"""),0.0)</f>
        <v>0</v>
      </c>
      <c r="V308" s="99">
        <f>IFERROR(__xludf.DUMMYFUNCTION("""COMPUTED_VALUE"""),375900.0)</f>
        <v>375900</v>
      </c>
      <c r="W308" s="99">
        <f>IFERROR(__xludf.DUMMYFUNCTION("""COMPUTED_VALUE"""),0.0)</f>
        <v>0</v>
      </c>
    </row>
    <row r="309">
      <c r="N309" s="98">
        <f>IFERROR(__xludf.DUMMYFUNCTION("""COMPUTED_VALUE"""),44054.0)</f>
        <v>44054</v>
      </c>
      <c r="O309" s="96" t="str">
        <f>IFERROR(__xludf.DUMMYFUNCTION("""COMPUTED_VALUE"""),"MANAGER")</f>
        <v>MANAGER</v>
      </c>
      <c r="P309" s="96" t="str">
        <f>IFERROR(__xludf.DUMMYFUNCTION("""COMPUTED_VALUE"""),"CASH-IN")</f>
        <v>CASH-IN</v>
      </c>
      <c r="Q309" s="99">
        <f>IFERROR(__xludf.DUMMYFUNCTION("""COMPUTED_VALUE"""),6000000.0)</f>
        <v>6000000</v>
      </c>
      <c r="R309" s="96" t="str">
        <f>IFERROR(__xludf.DUMMYFUNCTION("""COMPUTED_VALUE"""),"From Bank")</f>
        <v>From Bank</v>
      </c>
      <c r="S309" s="99">
        <f>IFERROR(__xludf.DUMMYFUNCTION("""COMPUTED_VALUE"""),0.0)</f>
        <v>0</v>
      </c>
      <c r="T309" s="99">
        <f>IFERROR(__xludf.DUMMYFUNCTION("""COMPUTED_VALUE"""),0.0)</f>
        <v>0</v>
      </c>
      <c r="U309" s="99">
        <f>IFERROR(__xludf.DUMMYFUNCTION("""COMPUTED_VALUE"""),6000000.0)</f>
        <v>6000000</v>
      </c>
      <c r="V309" s="99">
        <f>IFERROR(__xludf.DUMMYFUNCTION("""COMPUTED_VALUE"""),0.0)</f>
        <v>0</v>
      </c>
      <c r="W309" s="99">
        <f>IFERROR(__xludf.DUMMYFUNCTION("""COMPUTED_VALUE"""),0.0)</f>
        <v>0</v>
      </c>
    </row>
    <row r="310">
      <c r="N310" s="98">
        <f>IFERROR(__xludf.DUMMYFUNCTION("""COMPUTED_VALUE"""),44054.0)</f>
        <v>44054</v>
      </c>
      <c r="O310" s="96" t="str">
        <f>IFERROR(__xludf.DUMMYFUNCTION("""COMPUTED_VALUE"""),"DIRECTOR")</f>
        <v>DIRECTOR</v>
      </c>
      <c r="P310" s="96" t="str">
        <f>IFERROR(__xludf.DUMMYFUNCTION("""COMPUTED_VALUE"""),"CASH-IN")</f>
        <v>CASH-IN</v>
      </c>
      <c r="Q310" s="99">
        <f>IFERROR(__xludf.DUMMYFUNCTION("""COMPUTED_VALUE"""),4900000.0)</f>
        <v>4900000</v>
      </c>
      <c r="R310" s="96" t="str">
        <f>IFERROR(__xludf.DUMMYFUNCTION("""COMPUTED_VALUE"""),"From Bank")</f>
        <v>From Bank</v>
      </c>
      <c r="S310" s="99">
        <f>IFERROR(__xludf.DUMMYFUNCTION("""COMPUTED_VALUE"""),0.0)</f>
        <v>0</v>
      </c>
      <c r="T310" s="99">
        <f>IFERROR(__xludf.DUMMYFUNCTION("""COMPUTED_VALUE"""),0.0)</f>
        <v>0</v>
      </c>
      <c r="U310" s="99">
        <f>IFERROR(__xludf.DUMMYFUNCTION("""COMPUTED_VALUE"""),4900000.0)</f>
        <v>4900000</v>
      </c>
      <c r="V310" s="99">
        <f>IFERROR(__xludf.DUMMYFUNCTION("""COMPUTED_VALUE"""),0.0)</f>
        <v>0</v>
      </c>
      <c r="W310" s="99">
        <f>IFERROR(__xludf.DUMMYFUNCTION("""COMPUTED_VALUE"""),0.0)</f>
        <v>0</v>
      </c>
    </row>
    <row r="311">
      <c r="N311" s="98">
        <f>IFERROR(__xludf.DUMMYFUNCTION("""COMPUTED_VALUE"""),44054.0)</f>
        <v>44054</v>
      </c>
      <c r="O311" s="96" t="str">
        <f>IFERROR(__xludf.DUMMYFUNCTION("""COMPUTED_VALUE"""),"CONNECT")</f>
        <v>CONNECT</v>
      </c>
      <c r="P311" s="96" t="str">
        <f>IFERROR(__xludf.DUMMYFUNCTION("""COMPUTED_VALUE"""),"ADVANCE( DIRECTOR)")</f>
        <v>ADVANCE( DIRECTOR)</v>
      </c>
      <c r="Q311" s="99">
        <f>IFERROR(__xludf.DUMMYFUNCTION("""COMPUTED_VALUE"""),3000000.0)</f>
        <v>3000000</v>
      </c>
      <c r="R311" s="96" t="str">
        <f>IFERROR(__xludf.DUMMYFUNCTION("""COMPUTED_VALUE"""),"Prefinance")</f>
        <v>Prefinance</v>
      </c>
      <c r="S311" s="99">
        <f>IFERROR(__xludf.DUMMYFUNCTION("""COMPUTED_VALUE"""),0.0)</f>
        <v>0</v>
      </c>
      <c r="T311" s="99">
        <f>IFERROR(__xludf.DUMMYFUNCTION("""COMPUTED_VALUE"""),0.0)</f>
        <v>0</v>
      </c>
      <c r="U311" s="99">
        <f>IFERROR(__xludf.DUMMYFUNCTION("""COMPUTED_VALUE"""),0.0)</f>
        <v>0</v>
      </c>
      <c r="V311" s="99">
        <f>IFERROR(__xludf.DUMMYFUNCTION("""COMPUTED_VALUE"""),0.0)</f>
        <v>0</v>
      </c>
      <c r="W311" s="99">
        <f>IFERROR(__xludf.DUMMYFUNCTION("""COMPUTED_VALUE"""),0.0)</f>
        <v>0</v>
      </c>
    </row>
    <row r="312">
      <c r="N312" s="98">
        <f>IFERROR(__xludf.DUMMYFUNCTION("""COMPUTED_VALUE"""),44054.0)</f>
        <v>44054</v>
      </c>
      <c r="O312" s="96" t="str">
        <f>IFERROR(__xludf.DUMMYFUNCTION("""COMPUTED_VALUE"""),"CONNECT")</f>
        <v>CONNECT</v>
      </c>
      <c r="P312" s="96" t="str">
        <f>IFERROR(__xludf.DUMMYFUNCTION("""COMPUTED_VALUE"""),"ADVANCE LAST YEAR")</f>
        <v>ADVANCE LAST YEAR</v>
      </c>
      <c r="Q312" s="99">
        <f>IFERROR(__xludf.DUMMYFUNCTION("""COMPUTED_VALUE"""),100000.0)</f>
        <v>100000</v>
      </c>
      <c r="R312" s="96" t="str">
        <f>IFERROR(__xludf.DUMMYFUNCTION("""COMPUTED_VALUE"""),"Prefinance")</f>
        <v>Prefinance</v>
      </c>
      <c r="S312" s="99">
        <f>IFERROR(__xludf.DUMMYFUNCTION("""COMPUTED_VALUE"""),0.0)</f>
        <v>0</v>
      </c>
      <c r="T312" s="99">
        <f>IFERROR(__xludf.DUMMYFUNCTION("""COMPUTED_VALUE"""),0.0)</f>
        <v>0</v>
      </c>
      <c r="U312" s="99">
        <f>IFERROR(__xludf.DUMMYFUNCTION("""COMPUTED_VALUE"""),0.0)</f>
        <v>0</v>
      </c>
      <c r="V312" s="99">
        <f>IFERROR(__xludf.DUMMYFUNCTION("""COMPUTED_VALUE"""),0.0)</f>
        <v>0</v>
      </c>
      <c r="W312" s="99">
        <f>IFERROR(__xludf.DUMMYFUNCTION("""COMPUTED_VALUE"""),0.0)</f>
        <v>0</v>
      </c>
    </row>
    <row r="313">
      <c r="N313" s="98">
        <f>IFERROR(__xludf.DUMMYFUNCTION("""COMPUTED_VALUE"""),44054.0)</f>
        <v>44054</v>
      </c>
      <c r="O313" s="96" t="str">
        <f>IFERROR(__xludf.DUMMYFUNCTION("""COMPUTED_VALUE"""),"NDOMA BODE I.D")</f>
        <v>NDOMA BODE I.D</v>
      </c>
      <c r="P313" s="96" t="str">
        <f>IFERROR(__xludf.DUMMYFUNCTION("""COMPUTED_VALUE"""),"ADVANCE")</f>
        <v>ADVANCE</v>
      </c>
      <c r="Q313" s="99">
        <f>IFERROR(__xludf.DUMMYFUNCTION("""COMPUTED_VALUE"""),1000000.0)</f>
        <v>1000000</v>
      </c>
      <c r="R313" s="96" t="str">
        <f>IFERROR(__xludf.DUMMYFUNCTION("""COMPUTED_VALUE"""),"Prefinance")</f>
        <v>Prefinance</v>
      </c>
      <c r="S313" s="99">
        <f>IFERROR(__xludf.DUMMYFUNCTION("""COMPUTED_VALUE"""),0.0)</f>
        <v>0</v>
      </c>
      <c r="T313" s="99">
        <f>IFERROR(__xludf.DUMMYFUNCTION("""COMPUTED_VALUE"""),0.0)</f>
        <v>0</v>
      </c>
      <c r="U313" s="99">
        <f>IFERROR(__xludf.DUMMYFUNCTION("""COMPUTED_VALUE"""),0.0)</f>
        <v>0</v>
      </c>
      <c r="V313" s="99">
        <f>IFERROR(__xludf.DUMMYFUNCTION("""COMPUTED_VALUE"""),0.0)</f>
        <v>0</v>
      </c>
      <c r="W313" s="99">
        <f>IFERROR(__xludf.DUMMYFUNCTION("""COMPUTED_VALUE"""),0.0)</f>
        <v>0</v>
      </c>
    </row>
    <row r="314">
      <c r="N314" s="98">
        <f>IFERROR(__xludf.DUMMYFUNCTION("""COMPUTED_VALUE"""),44054.0)</f>
        <v>44054</v>
      </c>
      <c r="O314" s="96" t="str">
        <f>IFERROR(__xludf.DUMMYFUNCTION("""COMPUTED_VALUE"""),"LIVINUS")</f>
        <v>LIVINUS</v>
      </c>
      <c r="P314" s="96" t="str">
        <f>IFERROR(__xludf.DUMMYFUNCTION("""COMPUTED_VALUE"""),"ADVANCE")</f>
        <v>ADVANCE</v>
      </c>
      <c r="Q314" s="99">
        <f>IFERROR(__xludf.DUMMYFUNCTION("""COMPUTED_VALUE"""),512000.0)</f>
        <v>512000</v>
      </c>
      <c r="R314" s="96" t="str">
        <f>IFERROR(__xludf.DUMMYFUNCTION("""COMPUTED_VALUE"""),"Prefinance")</f>
        <v>Prefinance</v>
      </c>
      <c r="S314" s="99">
        <f>IFERROR(__xludf.DUMMYFUNCTION("""COMPUTED_VALUE"""),0.0)</f>
        <v>0</v>
      </c>
      <c r="T314" s="99">
        <f>IFERROR(__xludf.DUMMYFUNCTION("""COMPUTED_VALUE"""),0.0)</f>
        <v>0</v>
      </c>
      <c r="U314" s="99">
        <f>IFERROR(__xludf.DUMMYFUNCTION("""COMPUTED_VALUE"""),0.0)</f>
        <v>0</v>
      </c>
      <c r="V314" s="99">
        <f>IFERROR(__xludf.DUMMYFUNCTION("""COMPUTED_VALUE"""),0.0)</f>
        <v>0</v>
      </c>
      <c r="W314" s="99">
        <f>IFERROR(__xludf.DUMMYFUNCTION("""COMPUTED_VALUE"""),0.0)</f>
        <v>0</v>
      </c>
    </row>
    <row r="315">
      <c r="N315" s="98">
        <f>IFERROR(__xludf.DUMMYFUNCTION("""COMPUTED_VALUE"""),44054.0)</f>
        <v>44054</v>
      </c>
      <c r="O315" s="96" t="str">
        <f>IFERROR(__xludf.DUMMYFUNCTION("""COMPUTED_VALUE"""),"ETUK EFFI")</f>
        <v>ETUK EFFI</v>
      </c>
      <c r="P315" s="96" t="str">
        <f>IFERROR(__xludf.DUMMYFUNCTION("""COMPUTED_VALUE"""),"ADVANCE (DIRECTOR)")</f>
        <v>ADVANCE (DIRECTOR)</v>
      </c>
      <c r="Q315" s="99">
        <f>IFERROR(__xludf.DUMMYFUNCTION("""COMPUTED_VALUE"""),1500000.0)</f>
        <v>1500000</v>
      </c>
      <c r="R315" s="96" t="str">
        <f>IFERROR(__xludf.DUMMYFUNCTION("""COMPUTED_VALUE"""),"Prefinance")</f>
        <v>Prefinance</v>
      </c>
      <c r="S315" s="99">
        <f>IFERROR(__xludf.DUMMYFUNCTION("""COMPUTED_VALUE"""),0.0)</f>
        <v>0</v>
      </c>
      <c r="T315" s="99">
        <f>IFERROR(__xludf.DUMMYFUNCTION("""COMPUTED_VALUE"""),0.0)</f>
        <v>0</v>
      </c>
      <c r="U315" s="99">
        <f>IFERROR(__xludf.DUMMYFUNCTION("""COMPUTED_VALUE"""),0.0)</f>
        <v>0</v>
      </c>
      <c r="V315" s="99">
        <f>IFERROR(__xludf.DUMMYFUNCTION("""COMPUTED_VALUE"""),0.0)</f>
        <v>0</v>
      </c>
      <c r="W315" s="99">
        <f>IFERROR(__xludf.DUMMYFUNCTION("""COMPUTED_VALUE"""),0.0)</f>
        <v>0</v>
      </c>
    </row>
    <row r="316">
      <c r="N316" s="98">
        <f>IFERROR(__xludf.DUMMYFUNCTION("""COMPUTED_VALUE"""),44054.0)</f>
        <v>44054</v>
      </c>
      <c r="O316" s="96" t="str">
        <f>IFERROR(__xludf.DUMMYFUNCTION("""COMPUTED_VALUE"""),"NAOMI")</f>
        <v>NAOMI</v>
      </c>
      <c r="P316" s="96" t="str">
        <f>IFERROR(__xludf.DUMMYFUNCTION("""COMPUTED_VALUE"""),"ADVANCE")</f>
        <v>ADVANCE</v>
      </c>
      <c r="Q316" s="99">
        <f>IFERROR(__xludf.DUMMYFUNCTION("""COMPUTED_VALUE"""),10000.0)</f>
        <v>10000</v>
      </c>
      <c r="R316" s="96" t="str">
        <f>IFERROR(__xludf.DUMMYFUNCTION("""COMPUTED_VALUE"""),"Prefinance")</f>
        <v>Prefinance</v>
      </c>
      <c r="S316" s="99">
        <f>IFERROR(__xludf.DUMMYFUNCTION("""COMPUTED_VALUE"""),0.0)</f>
        <v>0</v>
      </c>
      <c r="T316" s="99">
        <f>IFERROR(__xludf.DUMMYFUNCTION("""COMPUTED_VALUE"""),0.0)</f>
        <v>0</v>
      </c>
      <c r="U316" s="99">
        <f>IFERROR(__xludf.DUMMYFUNCTION("""COMPUTED_VALUE"""),0.0)</f>
        <v>0</v>
      </c>
      <c r="V316" s="99">
        <f>IFERROR(__xludf.DUMMYFUNCTION("""COMPUTED_VALUE"""),0.0)</f>
        <v>0</v>
      </c>
      <c r="W316" s="99">
        <f>IFERROR(__xludf.DUMMYFUNCTION("""COMPUTED_VALUE"""),0.0)</f>
        <v>0</v>
      </c>
    </row>
    <row r="317">
      <c r="N317" s="98">
        <f>IFERROR(__xludf.DUMMYFUNCTION("""COMPUTED_VALUE"""),44054.0)</f>
        <v>44054</v>
      </c>
      <c r="O317" s="96" t="str">
        <f>IFERROR(__xludf.DUMMYFUNCTION("""COMPUTED_VALUE"""),"RI SAMP")</f>
        <v>RI SAMP</v>
      </c>
      <c r="P317" s="96" t="str">
        <f>IFERROR(__xludf.DUMMYFUNCTION("""COMPUTED_VALUE"""),"ADVANCE")</f>
        <v>ADVANCE</v>
      </c>
      <c r="Q317" s="99">
        <f>IFERROR(__xludf.DUMMYFUNCTION("""COMPUTED_VALUE"""),429600.0)</f>
        <v>429600</v>
      </c>
      <c r="R317" s="96" t="str">
        <f>IFERROR(__xludf.DUMMYFUNCTION("""COMPUTED_VALUE"""),"Prefinance")</f>
        <v>Prefinance</v>
      </c>
      <c r="S317" s="99">
        <f>IFERROR(__xludf.DUMMYFUNCTION("""COMPUTED_VALUE"""),0.0)</f>
        <v>0</v>
      </c>
      <c r="T317" s="99">
        <f>IFERROR(__xludf.DUMMYFUNCTION("""COMPUTED_VALUE"""),0.0)</f>
        <v>0</v>
      </c>
      <c r="U317" s="99">
        <f>IFERROR(__xludf.DUMMYFUNCTION("""COMPUTED_VALUE"""),0.0)</f>
        <v>0</v>
      </c>
      <c r="V317" s="99">
        <f>IFERROR(__xludf.DUMMYFUNCTION("""COMPUTED_VALUE"""),0.0)</f>
        <v>0</v>
      </c>
      <c r="W317" s="99">
        <f>IFERROR(__xludf.DUMMYFUNCTION("""COMPUTED_VALUE"""),0.0)</f>
        <v>0</v>
      </c>
    </row>
    <row r="318">
      <c r="N318" s="98">
        <f>IFERROR(__xludf.DUMMYFUNCTION("""COMPUTED_VALUE"""),44054.0)</f>
        <v>44054</v>
      </c>
      <c r="O318" s="96" t="str">
        <f>IFERROR(__xludf.DUMMYFUNCTION("""COMPUTED_VALUE"""),"JAMES AKAN")</f>
        <v>JAMES AKAN</v>
      </c>
      <c r="P318" s="96" t="str">
        <f>IFERROR(__xludf.DUMMYFUNCTION("""COMPUTED_VALUE"""),"ADVANCE")</f>
        <v>ADVANCE</v>
      </c>
      <c r="Q318" s="99">
        <f>IFERROR(__xludf.DUMMYFUNCTION("""COMPUTED_VALUE"""),670000.0)</f>
        <v>670000</v>
      </c>
      <c r="R318" s="96" t="str">
        <f>IFERROR(__xludf.DUMMYFUNCTION("""COMPUTED_VALUE"""),"Prefinance")</f>
        <v>Prefinance</v>
      </c>
      <c r="S318" s="99">
        <f>IFERROR(__xludf.DUMMYFUNCTION("""COMPUTED_VALUE"""),0.0)</f>
        <v>0</v>
      </c>
      <c r="T318" s="99">
        <f>IFERROR(__xludf.DUMMYFUNCTION("""COMPUTED_VALUE"""),0.0)</f>
        <v>0</v>
      </c>
      <c r="U318" s="99">
        <f>IFERROR(__xludf.DUMMYFUNCTION("""COMPUTED_VALUE"""),0.0)</f>
        <v>0</v>
      </c>
      <c r="V318" s="99">
        <f>IFERROR(__xludf.DUMMYFUNCTION("""COMPUTED_VALUE"""),0.0)</f>
        <v>0</v>
      </c>
      <c r="W318" s="99">
        <f>IFERROR(__xludf.DUMMYFUNCTION("""COMPUTED_VALUE"""),0.0)</f>
        <v>0</v>
      </c>
    </row>
    <row r="319">
      <c r="N319" s="98">
        <f>IFERROR(__xludf.DUMMYFUNCTION("""COMPUTED_VALUE"""),44054.0)</f>
        <v>44054</v>
      </c>
      <c r="O319" s="96" t="str">
        <f>IFERROR(__xludf.DUMMYFUNCTION("""COMPUTED_VALUE"""),"EMMANUEL OKO ")</f>
        <v>EMMANUEL OKO </v>
      </c>
      <c r="P319" s="96" t="str">
        <f>IFERROR(__xludf.DUMMYFUNCTION("""COMPUTED_VALUE"""),"ADVANCE")</f>
        <v>ADVANCE</v>
      </c>
      <c r="Q319" s="99">
        <f>IFERROR(__xludf.DUMMYFUNCTION("""COMPUTED_VALUE"""),500000.0)</f>
        <v>500000</v>
      </c>
      <c r="R319" s="96" t="str">
        <f>IFERROR(__xludf.DUMMYFUNCTION("""COMPUTED_VALUE"""),"Prefinance")</f>
        <v>Prefinance</v>
      </c>
      <c r="S319" s="99">
        <f>IFERROR(__xludf.DUMMYFUNCTION("""COMPUTED_VALUE"""),0.0)</f>
        <v>0</v>
      </c>
      <c r="T319" s="99">
        <f>IFERROR(__xludf.DUMMYFUNCTION("""COMPUTED_VALUE"""),0.0)</f>
        <v>0</v>
      </c>
      <c r="U319" s="99">
        <f>IFERROR(__xludf.DUMMYFUNCTION("""COMPUTED_VALUE"""),0.0)</f>
        <v>0</v>
      </c>
      <c r="V319" s="99">
        <f>IFERROR(__xludf.DUMMYFUNCTION("""COMPUTED_VALUE"""),0.0)</f>
        <v>0</v>
      </c>
      <c r="W319" s="99">
        <f>IFERROR(__xludf.DUMMYFUNCTION("""COMPUTED_VALUE"""),0.0)</f>
        <v>0</v>
      </c>
    </row>
    <row r="320">
      <c r="N320" s="98">
        <f>IFERROR(__xludf.DUMMYFUNCTION("""COMPUTED_VALUE"""),44054.0)</f>
        <v>44054</v>
      </c>
      <c r="O320" s="96" t="str">
        <f>IFERROR(__xludf.DUMMYFUNCTION("""COMPUTED_VALUE"""),"EUGENE")</f>
        <v>EUGENE</v>
      </c>
      <c r="P320" s="96" t="str">
        <f>IFERROR(__xludf.DUMMYFUNCTION("""COMPUTED_VALUE"""),"ADVANCE")</f>
        <v>ADVANCE</v>
      </c>
      <c r="Q320" s="99">
        <f>IFERROR(__xludf.DUMMYFUNCTION("""COMPUTED_VALUE"""),300000.0)</f>
        <v>300000</v>
      </c>
      <c r="R320" s="96" t="str">
        <f>IFERROR(__xludf.DUMMYFUNCTION("""COMPUTED_VALUE"""),"Prefinance")</f>
        <v>Prefinance</v>
      </c>
      <c r="S320" s="99">
        <f>IFERROR(__xludf.DUMMYFUNCTION("""COMPUTED_VALUE"""),0.0)</f>
        <v>0</v>
      </c>
      <c r="T320" s="99">
        <f>IFERROR(__xludf.DUMMYFUNCTION("""COMPUTED_VALUE"""),0.0)</f>
        <v>0</v>
      </c>
      <c r="U320" s="99">
        <f>IFERROR(__xludf.DUMMYFUNCTION("""COMPUTED_VALUE"""),0.0)</f>
        <v>0</v>
      </c>
      <c r="V320" s="99">
        <f>IFERROR(__xludf.DUMMYFUNCTION("""COMPUTED_VALUE"""),0.0)</f>
        <v>0</v>
      </c>
      <c r="W320" s="99">
        <f>IFERROR(__xludf.DUMMYFUNCTION("""COMPUTED_VALUE"""),0.0)</f>
        <v>0</v>
      </c>
    </row>
    <row r="321">
      <c r="N321" s="98">
        <f>IFERROR(__xludf.DUMMYFUNCTION("""COMPUTED_VALUE"""),44054.0)</f>
        <v>44054</v>
      </c>
      <c r="O321" s="96" t="str">
        <f>IFERROR(__xludf.DUMMYFUNCTION("""COMPUTED_VALUE"""),"BOSURU  BOSURU")</f>
        <v>BOSURU  BOSURU</v>
      </c>
      <c r="P321" s="96" t="str">
        <f>IFERROR(__xludf.DUMMYFUNCTION("""COMPUTED_VALUE"""),"ADVANCE")</f>
        <v>ADVANCE</v>
      </c>
      <c r="Q321" s="99">
        <f>IFERROR(__xludf.DUMMYFUNCTION("""COMPUTED_VALUE"""),200000.0)</f>
        <v>200000</v>
      </c>
      <c r="R321" s="96" t="str">
        <f>IFERROR(__xludf.DUMMYFUNCTION("""COMPUTED_VALUE"""),"Prefinance")</f>
        <v>Prefinance</v>
      </c>
      <c r="S321" s="99">
        <f>IFERROR(__xludf.DUMMYFUNCTION("""COMPUTED_VALUE"""),0.0)</f>
        <v>0</v>
      </c>
      <c r="T321" s="99">
        <f>IFERROR(__xludf.DUMMYFUNCTION("""COMPUTED_VALUE"""),0.0)</f>
        <v>0</v>
      </c>
      <c r="U321" s="99">
        <f>IFERROR(__xludf.DUMMYFUNCTION("""COMPUTED_VALUE"""),0.0)</f>
        <v>0</v>
      </c>
      <c r="V321" s="99">
        <f>IFERROR(__xludf.DUMMYFUNCTION("""COMPUTED_VALUE"""),0.0)</f>
        <v>0</v>
      </c>
      <c r="W321" s="99">
        <f>IFERROR(__xludf.DUMMYFUNCTION("""COMPUTED_VALUE"""),0.0)</f>
        <v>0</v>
      </c>
    </row>
    <row r="322">
      <c r="N322" s="98">
        <f>IFERROR(__xludf.DUMMYFUNCTION("""COMPUTED_VALUE"""),44054.0)</f>
        <v>44054</v>
      </c>
      <c r="O322" s="96" t="str">
        <f>IFERROR(__xludf.DUMMYFUNCTION("""COMPUTED_VALUE"""),"A. D. FREDERICK")</f>
        <v>A. D. FREDERICK</v>
      </c>
      <c r="P322" s="96" t="str">
        <f>IFERROR(__xludf.DUMMYFUNCTION("""COMPUTED_VALUE"""),"ADVANCE")</f>
        <v>ADVANCE</v>
      </c>
      <c r="Q322" s="99">
        <f>IFERROR(__xludf.DUMMYFUNCTION("""COMPUTED_VALUE"""),200000.0)</f>
        <v>200000</v>
      </c>
      <c r="R322" s="96" t="str">
        <f>IFERROR(__xludf.DUMMYFUNCTION("""COMPUTED_VALUE"""),"Prefinance")</f>
        <v>Prefinance</v>
      </c>
      <c r="S322" s="99">
        <f>IFERROR(__xludf.DUMMYFUNCTION("""COMPUTED_VALUE"""),0.0)</f>
        <v>0</v>
      </c>
      <c r="T322" s="99">
        <f>IFERROR(__xludf.DUMMYFUNCTION("""COMPUTED_VALUE"""),0.0)</f>
        <v>0</v>
      </c>
      <c r="U322" s="99">
        <f>IFERROR(__xludf.DUMMYFUNCTION("""COMPUTED_VALUE"""),0.0)</f>
        <v>0</v>
      </c>
      <c r="V322" s="99">
        <f>IFERROR(__xludf.DUMMYFUNCTION("""COMPUTED_VALUE"""),0.0)</f>
        <v>0</v>
      </c>
      <c r="W322" s="99">
        <f>IFERROR(__xludf.DUMMYFUNCTION("""COMPUTED_VALUE"""),0.0)</f>
        <v>0</v>
      </c>
    </row>
    <row r="323">
      <c r="N323" s="98">
        <f>IFERROR(__xludf.DUMMYFUNCTION("""COMPUTED_VALUE"""),44054.0)</f>
        <v>44054</v>
      </c>
      <c r="O323" s="96" t="str">
        <f>IFERROR(__xludf.DUMMYFUNCTION("""COMPUTED_VALUE"""),"A. D. FREDERICK")</f>
        <v>A. D. FREDERICK</v>
      </c>
      <c r="P323" s="96" t="str">
        <f>IFERROR(__xludf.DUMMYFUNCTION("""COMPUTED_VALUE"""),"ADVANCE (DIRECTOR)")</f>
        <v>ADVANCE (DIRECTOR)</v>
      </c>
      <c r="Q323" s="99">
        <f>IFERROR(__xludf.DUMMYFUNCTION("""COMPUTED_VALUE"""),300000.0)</f>
        <v>300000</v>
      </c>
      <c r="R323" s="96" t="str">
        <f>IFERROR(__xludf.DUMMYFUNCTION("""COMPUTED_VALUE"""),"Prefinance")</f>
        <v>Prefinance</v>
      </c>
      <c r="S323" s="99">
        <f>IFERROR(__xludf.DUMMYFUNCTION("""COMPUTED_VALUE"""),0.0)</f>
        <v>0</v>
      </c>
      <c r="T323" s="99">
        <f>IFERROR(__xludf.DUMMYFUNCTION("""COMPUTED_VALUE"""),0.0)</f>
        <v>0</v>
      </c>
      <c r="U323" s="99">
        <f>IFERROR(__xludf.DUMMYFUNCTION("""COMPUTED_VALUE"""),0.0)</f>
        <v>0</v>
      </c>
      <c r="V323" s="99">
        <f>IFERROR(__xludf.DUMMYFUNCTION("""COMPUTED_VALUE"""),0.0)</f>
        <v>0</v>
      </c>
      <c r="W323" s="99">
        <f>IFERROR(__xludf.DUMMYFUNCTION("""COMPUTED_VALUE"""),0.0)</f>
        <v>0</v>
      </c>
    </row>
    <row r="324">
      <c r="N324" s="98">
        <f>IFERROR(__xludf.DUMMYFUNCTION("""COMPUTED_VALUE"""),44054.0)</f>
        <v>44054</v>
      </c>
      <c r="O324" s="96" t="str">
        <f>IFERROR(__xludf.DUMMYFUNCTION("""COMPUTED_VALUE"""),"NDOMA PETER")</f>
        <v>NDOMA PETER</v>
      </c>
      <c r="P324" s="96" t="str">
        <f>IFERROR(__xludf.DUMMYFUNCTION("""COMPUTED_VALUE"""),"ADVANCE")</f>
        <v>ADVANCE</v>
      </c>
      <c r="Q324" s="99">
        <f>IFERROR(__xludf.DUMMYFUNCTION("""COMPUTED_VALUE"""),600000.0)</f>
        <v>600000</v>
      </c>
      <c r="R324" s="96" t="str">
        <f>IFERROR(__xludf.DUMMYFUNCTION("""COMPUTED_VALUE"""),"Prefinance")</f>
        <v>Prefinance</v>
      </c>
      <c r="S324" s="99">
        <f>IFERROR(__xludf.DUMMYFUNCTION("""COMPUTED_VALUE"""),0.0)</f>
        <v>0</v>
      </c>
      <c r="T324" s="99">
        <f>IFERROR(__xludf.DUMMYFUNCTION("""COMPUTED_VALUE"""),0.0)</f>
        <v>0</v>
      </c>
      <c r="U324" s="99">
        <f>IFERROR(__xludf.DUMMYFUNCTION("""COMPUTED_VALUE"""),0.0)</f>
        <v>0</v>
      </c>
      <c r="V324" s="99">
        <f>IFERROR(__xludf.DUMMYFUNCTION("""COMPUTED_VALUE"""),0.0)</f>
        <v>0</v>
      </c>
      <c r="W324" s="99">
        <f>IFERROR(__xludf.DUMMYFUNCTION("""COMPUTED_VALUE"""),0.0)</f>
        <v>0</v>
      </c>
    </row>
    <row r="325">
      <c r="N325" s="98">
        <f>IFERROR(__xludf.DUMMYFUNCTION("""COMPUTED_VALUE"""),44054.0)</f>
        <v>44054</v>
      </c>
      <c r="O325" s="96" t="str">
        <f>IFERROR(__xludf.DUMMYFUNCTION("""COMPUTED_VALUE"""),"NDOMA NDOMA")</f>
        <v>NDOMA NDOMA</v>
      </c>
      <c r="P325" s="96" t="str">
        <f>IFERROR(__xludf.DUMMYFUNCTION("""COMPUTED_VALUE"""),"ADVANCE ")</f>
        <v>ADVANCE </v>
      </c>
      <c r="Q325" s="99">
        <f>IFERROR(__xludf.DUMMYFUNCTION("""COMPUTED_VALUE"""),200000.0)</f>
        <v>200000</v>
      </c>
      <c r="R325" s="96" t="str">
        <f>IFERROR(__xludf.DUMMYFUNCTION("""COMPUTED_VALUE"""),"Prefinance")</f>
        <v>Prefinance</v>
      </c>
      <c r="S325" s="99">
        <f>IFERROR(__xludf.DUMMYFUNCTION("""COMPUTED_VALUE"""),0.0)</f>
        <v>0</v>
      </c>
      <c r="T325" s="99">
        <f>IFERROR(__xludf.DUMMYFUNCTION("""COMPUTED_VALUE"""),0.0)</f>
        <v>0</v>
      </c>
      <c r="U325" s="99">
        <f>IFERROR(__xludf.DUMMYFUNCTION("""COMPUTED_VALUE"""),0.0)</f>
        <v>0</v>
      </c>
      <c r="V325" s="99">
        <f>IFERROR(__xludf.DUMMYFUNCTION("""COMPUTED_VALUE"""),0.0)</f>
        <v>0</v>
      </c>
      <c r="W325" s="99">
        <f>IFERROR(__xludf.DUMMYFUNCTION("""COMPUTED_VALUE"""),0.0)</f>
        <v>0</v>
      </c>
    </row>
    <row r="326">
      <c r="N326" s="98">
        <f>IFERROR(__xludf.DUMMYFUNCTION("""COMPUTED_VALUE"""),44054.0)</f>
        <v>44054</v>
      </c>
      <c r="O326" s="96" t="str">
        <f>IFERROR(__xludf.DUMMYFUNCTION("""COMPUTED_VALUE"""),"REMMY BODES")</f>
        <v>REMMY BODES</v>
      </c>
      <c r="P326" s="96" t="str">
        <f>IFERROR(__xludf.DUMMYFUNCTION("""COMPUTED_VALUE"""),"ADVANCE")</f>
        <v>ADVANCE</v>
      </c>
      <c r="Q326" s="99">
        <f>IFERROR(__xludf.DUMMYFUNCTION("""COMPUTED_VALUE"""),500000.0)</f>
        <v>500000</v>
      </c>
      <c r="R326" s="96" t="str">
        <f>IFERROR(__xludf.DUMMYFUNCTION("""COMPUTED_VALUE"""),"Prefinance")</f>
        <v>Prefinance</v>
      </c>
      <c r="S326" s="99">
        <f>IFERROR(__xludf.DUMMYFUNCTION("""COMPUTED_VALUE"""),0.0)</f>
        <v>0</v>
      </c>
      <c r="T326" s="99">
        <f>IFERROR(__xludf.DUMMYFUNCTION("""COMPUTED_VALUE"""),0.0)</f>
        <v>0</v>
      </c>
      <c r="U326" s="99">
        <f>IFERROR(__xludf.DUMMYFUNCTION("""COMPUTED_VALUE"""),0.0)</f>
        <v>0</v>
      </c>
      <c r="V326" s="99">
        <f>IFERROR(__xludf.DUMMYFUNCTION("""COMPUTED_VALUE"""),0.0)</f>
        <v>0</v>
      </c>
      <c r="W326" s="99">
        <f>IFERROR(__xludf.DUMMYFUNCTION("""COMPUTED_VALUE"""),0.0)</f>
        <v>0</v>
      </c>
    </row>
    <row r="327">
      <c r="N327" s="98">
        <f>IFERROR(__xludf.DUMMYFUNCTION("""COMPUTED_VALUE"""),44055.0)</f>
        <v>44055</v>
      </c>
      <c r="O327" s="96" t="str">
        <f>IFERROR(__xludf.DUMMYFUNCTION("""COMPUTED_VALUE"""),"ZULU &amp; NDOMA")</f>
        <v>ZULU &amp; NDOMA</v>
      </c>
      <c r="P327" s="96" t="str">
        <f>IFERROR(__xludf.DUMMYFUNCTION("""COMPUTED_VALUE"""),"Advance (NDOMA ONLY)")</f>
        <v>Advance (NDOMA ONLY)</v>
      </c>
      <c r="Q327" s="99">
        <f>IFERROR(__xludf.DUMMYFUNCTION("""COMPUTED_VALUE"""),100000.0)</f>
        <v>100000</v>
      </c>
      <c r="R327" s="96" t="str">
        <f>IFERROR(__xludf.DUMMYFUNCTION("""COMPUTED_VALUE"""),"Prefinance")</f>
        <v>Prefinance</v>
      </c>
      <c r="S327" s="99">
        <f>IFERROR(__xludf.DUMMYFUNCTION("""COMPUTED_VALUE"""),0.0)</f>
        <v>0</v>
      </c>
      <c r="T327" s="99">
        <f>IFERROR(__xludf.DUMMYFUNCTION("""COMPUTED_VALUE"""),0.0)</f>
        <v>0</v>
      </c>
      <c r="U327" s="99">
        <f>IFERROR(__xludf.DUMMYFUNCTION("""COMPUTED_VALUE"""),0.0)</f>
        <v>0</v>
      </c>
      <c r="V327" s="99">
        <f>IFERROR(__xludf.DUMMYFUNCTION("""COMPUTED_VALUE"""),0.0)</f>
        <v>0</v>
      </c>
      <c r="W327" s="99">
        <f>IFERROR(__xludf.DUMMYFUNCTION("""COMPUTED_VALUE"""),0.0)</f>
        <v>0</v>
      </c>
    </row>
    <row r="328">
      <c r="N328" s="98">
        <f>IFERROR(__xludf.DUMMYFUNCTION("""COMPUTED_VALUE"""),44055.0)</f>
        <v>44055</v>
      </c>
      <c r="O328" s="96" t="str">
        <f>IFERROR(__xludf.DUMMYFUNCTION("""COMPUTED_VALUE"""),"LIVINUS")</f>
        <v>LIVINUS</v>
      </c>
      <c r="P328" s="96" t="str">
        <f>IFERROR(__xludf.DUMMYFUNCTION("""COMPUTED_VALUE"""),"Advance ")</f>
        <v>Advance </v>
      </c>
      <c r="Q328" s="99">
        <f>IFERROR(__xludf.DUMMYFUNCTION("""COMPUTED_VALUE"""),1250000.0)</f>
        <v>1250000</v>
      </c>
      <c r="R328" s="96" t="str">
        <f>IFERROR(__xludf.DUMMYFUNCTION("""COMPUTED_VALUE"""),"Prefinance")</f>
        <v>Prefinance</v>
      </c>
      <c r="S328" s="99">
        <f>IFERROR(__xludf.DUMMYFUNCTION("""COMPUTED_VALUE"""),0.0)</f>
        <v>0</v>
      </c>
      <c r="T328" s="99">
        <f>IFERROR(__xludf.DUMMYFUNCTION("""COMPUTED_VALUE"""),0.0)</f>
        <v>0</v>
      </c>
      <c r="U328" s="99">
        <f>IFERROR(__xludf.DUMMYFUNCTION("""COMPUTED_VALUE"""),0.0)</f>
        <v>0</v>
      </c>
      <c r="V328" s="99">
        <f>IFERROR(__xludf.DUMMYFUNCTION("""COMPUTED_VALUE"""),0.0)</f>
        <v>0</v>
      </c>
      <c r="W328" s="99">
        <f>IFERROR(__xludf.DUMMYFUNCTION("""COMPUTED_VALUE"""),0.0)</f>
        <v>0</v>
      </c>
    </row>
    <row r="329">
      <c r="N329" s="98">
        <f>IFERROR(__xludf.DUMMYFUNCTION("""COMPUTED_VALUE"""),44055.0)</f>
        <v>44055</v>
      </c>
      <c r="O329" s="96" t="str">
        <f>IFERROR(__xludf.DUMMYFUNCTION("""COMPUTED_VALUE"""),"OMODION")</f>
        <v>OMODION</v>
      </c>
      <c r="P329" s="96" t="str">
        <f>IFERROR(__xludf.DUMMYFUNCTION("""COMPUTED_VALUE"""),"Advance")</f>
        <v>Advance</v>
      </c>
      <c r="Q329" s="99">
        <f>IFERROR(__xludf.DUMMYFUNCTION("""COMPUTED_VALUE"""),500000.0)</f>
        <v>500000</v>
      </c>
      <c r="R329" s="96" t="str">
        <f>IFERROR(__xludf.DUMMYFUNCTION("""COMPUTED_VALUE"""),"Prefinance")</f>
        <v>Prefinance</v>
      </c>
      <c r="S329" s="99">
        <f>IFERROR(__xludf.DUMMYFUNCTION("""COMPUTED_VALUE"""),0.0)</f>
        <v>0</v>
      </c>
      <c r="T329" s="99">
        <f>IFERROR(__xludf.DUMMYFUNCTION("""COMPUTED_VALUE"""),0.0)</f>
        <v>0</v>
      </c>
      <c r="U329" s="99">
        <f>IFERROR(__xludf.DUMMYFUNCTION("""COMPUTED_VALUE"""),0.0)</f>
        <v>0</v>
      </c>
      <c r="V329" s="99">
        <f>IFERROR(__xludf.DUMMYFUNCTION("""COMPUTED_VALUE"""),0.0)</f>
        <v>0</v>
      </c>
      <c r="W329" s="99">
        <f>IFERROR(__xludf.DUMMYFUNCTION("""COMPUTED_VALUE"""),0.0)</f>
        <v>0</v>
      </c>
    </row>
    <row r="330">
      <c r="N330" s="98">
        <f>IFERROR(__xludf.DUMMYFUNCTION("""COMPUTED_VALUE"""),44055.0)</f>
        <v>44055</v>
      </c>
      <c r="O330" s="96" t="str">
        <f>IFERROR(__xludf.DUMMYFUNCTION("""COMPUTED_VALUE"""),"DIAMOND")</f>
        <v>DIAMOND</v>
      </c>
      <c r="P330" s="96" t="str">
        <f>IFERROR(__xludf.DUMMYFUNCTION("""COMPUTED_VALUE"""),"fuel")</f>
        <v>fuel</v>
      </c>
      <c r="Q330" s="99">
        <f>IFERROR(__xludf.DUMMYFUNCTION("""COMPUTED_VALUE"""),3000.0)</f>
        <v>3000</v>
      </c>
      <c r="R330" s="96" t="str">
        <f>IFERROR(__xludf.DUMMYFUNCTION("""COMPUTED_VALUE"""),"General Expenses")</f>
        <v>General Expenses</v>
      </c>
      <c r="S330" s="99">
        <f>IFERROR(__xludf.DUMMYFUNCTION("""COMPUTED_VALUE"""),0.0)</f>
        <v>0</v>
      </c>
      <c r="T330" s="99">
        <f>IFERROR(__xludf.DUMMYFUNCTION("""COMPUTED_VALUE"""),3000.0)</f>
        <v>3000</v>
      </c>
      <c r="U330" s="99">
        <f>IFERROR(__xludf.DUMMYFUNCTION("""COMPUTED_VALUE"""),0.0)</f>
        <v>0</v>
      </c>
      <c r="V330" s="99">
        <f>IFERROR(__xludf.DUMMYFUNCTION("""COMPUTED_VALUE"""),0.0)</f>
        <v>0</v>
      </c>
      <c r="W330" s="99">
        <f>IFERROR(__xludf.DUMMYFUNCTION("""COMPUTED_VALUE"""),0.0)</f>
        <v>0</v>
      </c>
    </row>
    <row r="331">
      <c r="N331" s="98">
        <f>IFERROR(__xludf.DUMMYFUNCTION("""COMPUTED_VALUE"""),44055.0)</f>
        <v>44055</v>
      </c>
      <c r="O331" s="96" t="str">
        <f>IFERROR(__xludf.DUMMYFUNCTION("""COMPUTED_VALUE"""),"LABOUR  BOY")</f>
        <v>LABOUR  BOY</v>
      </c>
      <c r="P331" s="96" t="str">
        <f>IFERROR(__xludf.DUMMYFUNCTION("""COMPUTED_VALUE"""),"Wages advance")</f>
        <v>Wages advance</v>
      </c>
      <c r="Q331" s="99">
        <f>IFERROR(__xludf.DUMMYFUNCTION("""COMPUTED_VALUE"""),1500.0)</f>
        <v>1500</v>
      </c>
      <c r="R331" s="96" t="str">
        <f>IFERROR(__xludf.DUMMYFUNCTION("""COMPUTED_VALUE"""),"General Expenses")</f>
        <v>General Expenses</v>
      </c>
      <c r="S331" s="99">
        <f>IFERROR(__xludf.DUMMYFUNCTION("""COMPUTED_VALUE"""),0.0)</f>
        <v>0</v>
      </c>
      <c r="T331" s="99">
        <f>IFERROR(__xludf.DUMMYFUNCTION("""COMPUTED_VALUE"""),1500.0)</f>
        <v>1500</v>
      </c>
      <c r="U331" s="99">
        <f>IFERROR(__xludf.DUMMYFUNCTION("""COMPUTED_VALUE"""),0.0)</f>
        <v>0</v>
      </c>
      <c r="V331" s="99">
        <f>IFERROR(__xludf.DUMMYFUNCTION("""COMPUTED_VALUE"""),0.0)</f>
        <v>0</v>
      </c>
      <c r="W331" s="99">
        <f>IFERROR(__xludf.DUMMYFUNCTION("""COMPUTED_VALUE"""),0.0)</f>
        <v>0</v>
      </c>
    </row>
    <row r="332">
      <c r="N332" s="98">
        <f>IFERROR(__xludf.DUMMYFUNCTION("""COMPUTED_VALUE"""),44055.0)</f>
        <v>44055</v>
      </c>
      <c r="O332" s="96" t="str">
        <f>IFERROR(__xludf.DUMMYFUNCTION("""COMPUTED_VALUE"""),"MANAGER")</f>
        <v>MANAGER</v>
      </c>
      <c r="P332" s="96" t="str">
        <f>IFERROR(__xludf.DUMMYFUNCTION("""COMPUTED_VALUE"""),"transport")</f>
        <v>transport</v>
      </c>
      <c r="Q332" s="99">
        <f>IFERROR(__xludf.DUMMYFUNCTION("""COMPUTED_VALUE"""),500.0)</f>
        <v>500</v>
      </c>
      <c r="R332" s="96" t="str">
        <f>IFERROR(__xludf.DUMMYFUNCTION("""COMPUTED_VALUE"""),"General Expenses")</f>
        <v>General Expenses</v>
      </c>
      <c r="S332" s="99">
        <f>IFERROR(__xludf.DUMMYFUNCTION("""COMPUTED_VALUE"""),0.0)</f>
        <v>0</v>
      </c>
      <c r="T332" s="99">
        <f>IFERROR(__xludf.DUMMYFUNCTION("""COMPUTED_VALUE"""),500.0)</f>
        <v>500</v>
      </c>
      <c r="U332" s="99">
        <f>IFERROR(__xludf.DUMMYFUNCTION("""COMPUTED_VALUE"""),0.0)</f>
        <v>0</v>
      </c>
      <c r="V332" s="99">
        <f>IFERROR(__xludf.DUMMYFUNCTION("""COMPUTED_VALUE"""),0.0)</f>
        <v>0</v>
      </c>
      <c r="W332" s="99">
        <f>IFERROR(__xludf.DUMMYFUNCTION("""COMPUTED_VALUE"""),0.0)</f>
        <v>0</v>
      </c>
    </row>
    <row r="333">
      <c r="N333" s="98">
        <f>IFERROR(__xludf.DUMMYFUNCTION("""COMPUTED_VALUE"""),44055.0)</f>
        <v>44055</v>
      </c>
      <c r="O333" s="96" t="str">
        <f>IFERROR(__xludf.DUMMYFUNCTION("""COMPUTED_VALUE"""),"EZE")</f>
        <v>EZE</v>
      </c>
      <c r="P333" s="96" t="str">
        <f>IFERROR(__xludf.DUMMYFUNCTION("""COMPUTED_VALUE"""),"FUEL/ REPAIRS")</f>
        <v>FUEL/ REPAIRS</v>
      </c>
      <c r="Q333" s="99">
        <f>IFERROR(__xludf.DUMMYFUNCTION("""COMPUTED_VALUE"""),7000.0)</f>
        <v>7000</v>
      </c>
      <c r="R333" s="96" t="str">
        <f>IFERROR(__xludf.DUMMYFUNCTION("""COMPUTED_VALUE"""),"General Expenses")</f>
        <v>General Expenses</v>
      </c>
      <c r="S333" s="99">
        <f>IFERROR(__xludf.DUMMYFUNCTION("""COMPUTED_VALUE"""),0.0)</f>
        <v>0</v>
      </c>
      <c r="T333" s="99">
        <f>IFERROR(__xludf.DUMMYFUNCTION("""COMPUTED_VALUE"""),7000.0)</f>
        <v>7000</v>
      </c>
      <c r="U333" s="99">
        <f>IFERROR(__xludf.DUMMYFUNCTION("""COMPUTED_VALUE"""),0.0)</f>
        <v>0</v>
      </c>
      <c r="V333" s="99">
        <f>IFERROR(__xludf.DUMMYFUNCTION("""COMPUTED_VALUE"""),0.0)</f>
        <v>0</v>
      </c>
      <c r="W333" s="99">
        <f>IFERROR(__xludf.DUMMYFUNCTION("""COMPUTED_VALUE"""),0.0)</f>
        <v>0</v>
      </c>
    </row>
    <row r="334">
      <c r="N334" s="98">
        <f>IFERROR(__xludf.DUMMYFUNCTION("""COMPUTED_VALUE"""),44055.0)</f>
        <v>44055</v>
      </c>
      <c r="O334" s="96" t="str">
        <f>IFERROR(__xludf.DUMMYFUNCTION("""COMPUTED_VALUE"""),"BLESSING CHAPMAN")</f>
        <v>BLESSING CHAPMAN</v>
      </c>
      <c r="P334" s="96" t="str">
        <f>IFERROR(__xludf.DUMMYFUNCTION("""COMPUTED_VALUE"""),"CASH COLLECTED")</f>
        <v>CASH COLLECTED</v>
      </c>
      <c r="Q334" s="99">
        <f>IFERROR(__xludf.DUMMYFUNCTION("""COMPUTED_VALUE"""),12000.0)</f>
        <v>12000</v>
      </c>
      <c r="R334" s="96" t="str">
        <f>IFERROR(__xludf.DUMMYFUNCTION("""COMPUTED_VALUE"""),"Petty Cash")</f>
        <v>Petty Cash</v>
      </c>
      <c r="S334" s="99">
        <f>IFERROR(__xludf.DUMMYFUNCTION("""COMPUTED_VALUE"""),0.0)</f>
        <v>0</v>
      </c>
      <c r="T334" s="99">
        <f>IFERROR(__xludf.DUMMYFUNCTION("""COMPUTED_VALUE"""),0.0)</f>
        <v>0</v>
      </c>
      <c r="U334" s="99">
        <f>IFERROR(__xludf.DUMMYFUNCTION("""COMPUTED_VALUE"""),0.0)</f>
        <v>0</v>
      </c>
      <c r="V334" s="99">
        <f>IFERROR(__xludf.DUMMYFUNCTION("""COMPUTED_VALUE"""),12000.0)</f>
        <v>12000</v>
      </c>
      <c r="W334" s="99">
        <f>IFERROR(__xludf.DUMMYFUNCTION("""COMPUTED_VALUE"""),0.0)</f>
        <v>0</v>
      </c>
    </row>
    <row r="335">
      <c r="N335" s="98">
        <f>IFERROR(__xludf.DUMMYFUNCTION("""COMPUTED_VALUE"""),44055.0)</f>
        <v>44055</v>
      </c>
      <c r="O335" s="96" t="str">
        <f>IFERROR(__xludf.DUMMYFUNCTION("""COMPUTED_VALUE"""),"MANAGER")</f>
        <v>MANAGER</v>
      </c>
      <c r="P335" s="96" t="str">
        <f>IFERROR(__xludf.DUMMYFUNCTION("""COMPUTED_VALUE"""),"CASH-IN")</f>
        <v>CASH-IN</v>
      </c>
      <c r="Q335" s="99">
        <f>IFERROR(__xludf.DUMMYFUNCTION("""COMPUTED_VALUE"""),1880000.0)</f>
        <v>1880000</v>
      </c>
      <c r="R335" s="96" t="str">
        <f>IFERROR(__xludf.DUMMYFUNCTION("""COMPUTED_VALUE"""),"From Bank")</f>
        <v>From Bank</v>
      </c>
      <c r="S335" s="99">
        <f>IFERROR(__xludf.DUMMYFUNCTION("""COMPUTED_VALUE"""),0.0)</f>
        <v>0</v>
      </c>
      <c r="T335" s="99">
        <f>IFERROR(__xludf.DUMMYFUNCTION("""COMPUTED_VALUE"""),0.0)</f>
        <v>0</v>
      </c>
      <c r="U335" s="99">
        <f>IFERROR(__xludf.DUMMYFUNCTION("""COMPUTED_VALUE"""),1880000.0)</f>
        <v>1880000</v>
      </c>
      <c r="V335" s="99">
        <f>IFERROR(__xludf.DUMMYFUNCTION("""COMPUTED_VALUE"""),0.0)</f>
        <v>0</v>
      </c>
      <c r="W335" s="99">
        <f>IFERROR(__xludf.DUMMYFUNCTION("""COMPUTED_VALUE"""),0.0)</f>
        <v>0</v>
      </c>
    </row>
    <row r="336">
      <c r="N336" s="98">
        <f>IFERROR(__xludf.DUMMYFUNCTION("""COMPUTED_VALUE"""),44056.0)</f>
        <v>44056</v>
      </c>
      <c r="O336" s="96" t="str">
        <f>IFERROR(__xludf.DUMMYFUNCTION("""COMPUTED_VALUE"""),"AUGUSTINE IGBA")</f>
        <v>AUGUSTINE IGBA</v>
      </c>
      <c r="P336" s="96" t="str">
        <f>IFERROR(__xludf.DUMMYFUNCTION("""COMPUTED_VALUE"""),"Advance")</f>
        <v>Advance</v>
      </c>
      <c r="Q336" s="99">
        <f>IFERROR(__xludf.DUMMYFUNCTION("""COMPUTED_VALUE"""),1000000.0)</f>
        <v>1000000</v>
      </c>
      <c r="R336" s="96" t="str">
        <f>IFERROR(__xludf.DUMMYFUNCTION("""COMPUTED_VALUE"""),"Prefinance")</f>
        <v>Prefinance</v>
      </c>
      <c r="S336" s="99">
        <f>IFERROR(__xludf.DUMMYFUNCTION("""COMPUTED_VALUE"""),0.0)</f>
        <v>0</v>
      </c>
      <c r="T336" s="99">
        <f>IFERROR(__xludf.DUMMYFUNCTION("""COMPUTED_VALUE"""),0.0)</f>
        <v>0</v>
      </c>
      <c r="U336" s="99">
        <f>IFERROR(__xludf.DUMMYFUNCTION("""COMPUTED_VALUE"""),0.0)</f>
        <v>0</v>
      </c>
      <c r="V336" s="99">
        <f>IFERROR(__xludf.DUMMYFUNCTION("""COMPUTED_VALUE"""),0.0)</f>
        <v>0</v>
      </c>
      <c r="W336" s="99">
        <f>IFERROR(__xludf.DUMMYFUNCTION("""COMPUTED_VALUE"""),0.0)</f>
        <v>0</v>
      </c>
    </row>
    <row r="337">
      <c r="N337" s="98">
        <f>IFERROR(__xludf.DUMMYFUNCTION("""COMPUTED_VALUE"""),44056.0)</f>
        <v>44056</v>
      </c>
      <c r="O337" s="96" t="str">
        <f>IFERROR(__xludf.DUMMYFUNCTION("""COMPUTED_VALUE"""),"ETUK EFFI")</f>
        <v>ETUK EFFI</v>
      </c>
      <c r="P337" s="96" t="str">
        <f>IFERROR(__xludf.DUMMYFUNCTION("""COMPUTED_VALUE"""),"Advance")</f>
        <v>Advance</v>
      </c>
      <c r="Q337" s="99">
        <f>IFERROR(__xludf.DUMMYFUNCTION("""COMPUTED_VALUE"""),500000.0)</f>
        <v>500000</v>
      </c>
      <c r="R337" s="96" t="str">
        <f>IFERROR(__xludf.DUMMYFUNCTION("""COMPUTED_VALUE"""),"Prefinance")</f>
        <v>Prefinance</v>
      </c>
      <c r="S337" s="99">
        <f>IFERROR(__xludf.DUMMYFUNCTION("""COMPUTED_VALUE"""),0.0)</f>
        <v>0</v>
      </c>
      <c r="T337" s="99">
        <f>IFERROR(__xludf.DUMMYFUNCTION("""COMPUTED_VALUE"""),0.0)</f>
        <v>0</v>
      </c>
      <c r="U337" s="99">
        <f>IFERROR(__xludf.DUMMYFUNCTION("""COMPUTED_VALUE"""),0.0)</f>
        <v>0</v>
      </c>
      <c r="V337" s="99">
        <f>IFERROR(__xludf.DUMMYFUNCTION("""COMPUTED_VALUE"""),0.0)</f>
        <v>0</v>
      </c>
      <c r="W337" s="99">
        <f>IFERROR(__xludf.DUMMYFUNCTION("""COMPUTED_VALUE"""),0.0)</f>
        <v>0</v>
      </c>
    </row>
    <row r="338">
      <c r="N338" s="98">
        <f>IFERROR(__xludf.DUMMYFUNCTION("""COMPUTED_VALUE"""),44056.0)</f>
        <v>44056</v>
      </c>
      <c r="O338" s="96" t="str">
        <f>IFERROR(__xludf.DUMMYFUNCTION("""COMPUTED_VALUE"""),"DIAMOND")</f>
        <v>DIAMOND</v>
      </c>
      <c r="P338" s="96" t="str">
        <f>IFERROR(__xludf.DUMMYFUNCTION("""COMPUTED_VALUE"""),"motor Repairs")</f>
        <v>motor Repairs</v>
      </c>
      <c r="Q338" s="99">
        <f>IFERROR(__xludf.DUMMYFUNCTION("""COMPUTED_VALUE"""),3500.0)</f>
        <v>3500</v>
      </c>
      <c r="R338" s="96" t="str">
        <f>IFERROR(__xludf.DUMMYFUNCTION("""COMPUTED_VALUE"""),"General Expenses")</f>
        <v>General Expenses</v>
      </c>
      <c r="S338" s="99">
        <f>IFERROR(__xludf.DUMMYFUNCTION("""COMPUTED_VALUE"""),0.0)</f>
        <v>0</v>
      </c>
      <c r="T338" s="99">
        <f>IFERROR(__xludf.DUMMYFUNCTION("""COMPUTED_VALUE"""),3500.0)</f>
        <v>3500</v>
      </c>
      <c r="U338" s="99">
        <f>IFERROR(__xludf.DUMMYFUNCTION("""COMPUTED_VALUE"""),0.0)</f>
        <v>0</v>
      </c>
      <c r="V338" s="99">
        <f>IFERROR(__xludf.DUMMYFUNCTION("""COMPUTED_VALUE"""),0.0)</f>
        <v>0</v>
      </c>
      <c r="W338" s="99">
        <f>IFERROR(__xludf.DUMMYFUNCTION("""COMPUTED_VALUE"""),0.0)</f>
        <v>0</v>
      </c>
    </row>
    <row r="339">
      <c r="N339" s="98">
        <f>IFERROR(__xludf.DUMMYFUNCTION("""COMPUTED_VALUE"""),44056.0)</f>
        <v>44056</v>
      </c>
      <c r="O339" s="96" t="str">
        <f>IFERROR(__xludf.DUMMYFUNCTION("""COMPUTED_VALUE"""),"LABOUR  BOY")</f>
        <v>LABOUR  BOY</v>
      </c>
      <c r="P339" s="96" t="str">
        <f>IFERROR(__xludf.DUMMYFUNCTION("""COMPUTED_VALUE"""),"wages Advance")</f>
        <v>wages Advance</v>
      </c>
      <c r="Q339" s="99">
        <f>IFERROR(__xludf.DUMMYFUNCTION("""COMPUTED_VALUE"""),2000.0)</f>
        <v>2000</v>
      </c>
      <c r="R339" s="96" t="str">
        <f>IFERROR(__xludf.DUMMYFUNCTION("""COMPUTED_VALUE"""),"General Expenses")</f>
        <v>General Expenses</v>
      </c>
      <c r="S339" s="99">
        <f>IFERROR(__xludf.DUMMYFUNCTION("""COMPUTED_VALUE"""),0.0)</f>
        <v>0</v>
      </c>
      <c r="T339" s="99">
        <f>IFERROR(__xludf.DUMMYFUNCTION("""COMPUTED_VALUE"""),2000.0)</f>
        <v>2000</v>
      </c>
      <c r="U339" s="99">
        <f>IFERROR(__xludf.DUMMYFUNCTION("""COMPUTED_VALUE"""),0.0)</f>
        <v>0</v>
      </c>
      <c r="V339" s="99">
        <f>IFERROR(__xludf.DUMMYFUNCTION("""COMPUTED_VALUE"""),0.0)</f>
        <v>0</v>
      </c>
      <c r="W339" s="99">
        <f>IFERROR(__xludf.DUMMYFUNCTION("""COMPUTED_VALUE"""),0.0)</f>
        <v>0</v>
      </c>
    </row>
    <row r="340">
      <c r="N340" s="98">
        <f>IFERROR(__xludf.DUMMYFUNCTION("""COMPUTED_VALUE"""),44056.0)</f>
        <v>44056</v>
      </c>
      <c r="O340" s="96" t="str">
        <f>IFERROR(__xludf.DUMMYFUNCTION("""COMPUTED_VALUE"""),"DIAMOND")</f>
        <v>DIAMOND</v>
      </c>
      <c r="P340" s="96" t="str">
        <f>IFERROR(__xludf.DUMMYFUNCTION("""COMPUTED_VALUE"""),"Gas/ Road expenses")</f>
        <v>Gas/ Road expenses</v>
      </c>
      <c r="Q340" s="99">
        <f>IFERROR(__xludf.DUMMYFUNCTION("""COMPUTED_VALUE"""),3000.0)</f>
        <v>3000</v>
      </c>
      <c r="R340" s="96" t="str">
        <f>IFERROR(__xludf.DUMMYFUNCTION("""COMPUTED_VALUE"""),"General Expenses")</f>
        <v>General Expenses</v>
      </c>
      <c r="S340" s="99">
        <f>IFERROR(__xludf.DUMMYFUNCTION("""COMPUTED_VALUE"""),0.0)</f>
        <v>0</v>
      </c>
      <c r="T340" s="99">
        <f>IFERROR(__xludf.DUMMYFUNCTION("""COMPUTED_VALUE"""),3000.0)</f>
        <v>3000</v>
      </c>
      <c r="U340" s="99">
        <f>IFERROR(__xludf.DUMMYFUNCTION("""COMPUTED_VALUE"""),0.0)</f>
        <v>0</v>
      </c>
      <c r="V340" s="99">
        <f>IFERROR(__xludf.DUMMYFUNCTION("""COMPUTED_VALUE"""),0.0)</f>
        <v>0</v>
      </c>
      <c r="W340" s="99">
        <f>IFERROR(__xludf.DUMMYFUNCTION("""COMPUTED_VALUE"""),0.0)</f>
        <v>0</v>
      </c>
    </row>
    <row r="341">
      <c r="N341" s="98">
        <f>IFERROR(__xludf.DUMMYFUNCTION("""COMPUTED_VALUE"""),44056.0)</f>
        <v>44056</v>
      </c>
      <c r="O341" s="96" t="str">
        <f>IFERROR(__xludf.DUMMYFUNCTION("""COMPUTED_VALUE"""),"MANAGER")</f>
        <v>MANAGER</v>
      </c>
      <c r="P341" s="96" t="str">
        <f>IFERROR(__xludf.DUMMYFUNCTION("""COMPUTED_VALUE"""),"Grading paper")</f>
        <v>Grading paper</v>
      </c>
      <c r="Q341" s="99">
        <f>IFERROR(__xludf.DUMMYFUNCTION("""COMPUTED_VALUE"""),2000.0)</f>
        <v>2000</v>
      </c>
      <c r="R341" s="96" t="str">
        <f>IFERROR(__xludf.DUMMYFUNCTION("""COMPUTED_VALUE"""),"General Expenses")</f>
        <v>General Expenses</v>
      </c>
      <c r="S341" s="99">
        <f>IFERROR(__xludf.DUMMYFUNCTION("""COMPUTED_VALUE"""),0.0)</f>
        <v>0</v>
      </c>
      <c r="T341" s="99">
        <f>IFERROR(__xludf.DUMMYFUNCTION("""COMPUTED_VALUE"""),2000.0)</f>
        <v>2000</v>
      </c>
      <c r="U341" s="99">
        <f>IFERROR(__xludf.DUMMYFUNCTION("""COMPUTED_VALUE"""),0.0)</f>
        <v>0</v>
      </c>
      <c r="V341" s="99">
        <f>IFERROR(__xludf.DUMMYFUNCTION("""COMPUTED_VALUE"""),0.0)</f>
        <v>0</v>
      </c>
      <c r="W341" s="99">
        <f>IFERROR(__xludf.DUMMYFUNCTION("""COMPUTED_VALUE"""),0.0)</f>
        <v>0</v>
      </c>
    </row>
    <row r="342">
      <c r="N342" s="98">
        <f>IFERROR(__xludf.DUMMYFUNCTION("""COMPUTED_VALUE"""),44056.0)</f>
        <v>44056</v>
      </c>
      <c r="O342" s="96" t="str">
        <f>IFERROR(__xludf.DUMMYFUNCTION("""COMPUTED_VALUE"""),"TULIP DRIVERS")</f>
        <v>TULIP DRIVERS</v>
      </c>
      <c r="P342" s="96" t="str">
        <f>IFERROR(__xludf.DUMMYFUNCTION("""COMPUTED_VALUE"""),"supply")</f>
        <v>supply</v>
      </c>
      <c r="Q342" s="99">
        <f>IFERROR(__xludf.DUMMYFUNCTION("""COMPUTED_VALUE"""),1000.0)</f>
        <v>1000</v>
      </c>
      <c r="R342" s="96" t="str">
        <f>IFERROR(__xludf.DUMMYFUNCTION("""COMPUTED_VALUE"""),"General Expenses")</f>
        <v>General Expenses</v>
      </c>
      <c r="S342" s="99">
        <f>IFERROR(__xludf.DUMMYFUNCTION("""COMPUTED_VALUE"""),0.0)</f>
        <v>0</v>
      </c>
      <c r="T342" s="99">
        <f>IFERROR(__xludf.DUMMYFUNCTION("""COMPUTED_VALUE"""),1000.0)</f>
        <v>1000</v>
      </c>
      <c r="U342" s="99">
        <f>IFERROR(__xludf.DUMMYFUNCTION("""COMPUTED_VALUE"""),0.0)</f>
        <v>0</v>
      </c>
      <c r="V342" s="99">
        <f>IFERROR(__xludf.DUMMYFUNCTION("""COMPUTED_VALUE"""),0.0)</f>
        <v>0</v>
      </c>
      <c r="W342" s="99">
        <f>IFERROR(__xludf.DUMMYFUNCTION("""COMPUTED_VALUE"""),0.0)</f>
        <v>0</v>
      </c>
    </row>
    <row r="343">
      <c r="N343" s="98">
        <f>IFERROR(__xludf.DUMMYFUNCTION("""COMPUTED_VALUE"""),44056.0)</f>
        <v>44056</v>
      </c>
      <c r="O343" s="96" t="str">
        <f>IFERROR(__xludf.DUMMYFUNCTION("""COMPUTED_VALUE"""),"BLESSING CHAPMAN")</f>
        <v>BLESSING CHAPMAN</v>
      </c>
      <c r="P343" s="96" t="str">
        <f>IFERROR(__xludf.DUMMYFUNCTION("""COMPUTED_VALUE"""),"Cash Collected")</f>
        <v>Cash Collected</v>
      </c>
      <c r="Q343" s="99">
        <f>IFERROR(__xludf.DUMMYFUNCTION("""COMPUTED_VALUE"""),287000.0)</f>
        <v>287000</v>
      </c>
      <c r="R343" s="96" t="str">
        <f>IFERROR(__xludf.DUMMYFUNCTION("""COMPUTED_VALUE"""),"Petty Cash")</f>
        <v>Petty Cash</v>
      </c>
      <c r="S343" s="99">
        <f>IFERROR(__xludf.DUMMYFUNCTION("""COMPUTED_VALUE"""),0.0)</f>
        <v>0</v>
      </c>
      <c r="T343" s="99">
        <f>IFERROR(__xludf.DUMMYFUNCTION("""COMPUTED_VALUE"""),0.0)</f>
        <v>0</v>
      </c>
      <c r="U343" s="99">
        <f>IFERROR(__xludf.DUMMYFUNCTION("""COMPUTED_VALUE"""),0.0)</f>
        <v>0</v>
      </c>
      <c r="V343" s="99">
        <f>IFERROR(__xludf.DUMMYFUNCTION("""COMPUTED_VALUE"""),287000.0)</f>
        <v>287000</v>
      </c>
      <c r="W343" s="99">
        <f>IFERROR(__xludf.DUMMYFUNCTION("""COMPUTED_VALUE"""),0.0)</f>
        <v>0</v>
      </c>
    </row>
    <row r="344">
      <c r="N344" s="98">
        <f>IFERROR(__xludf.DUMMYFUNCTION("""COMPUTED_VALUE"""),44056.0)</f>
        <v>44056</v>
      </c>
      <c r="O344" s="96" t="str">
        <f>IFERROR(__xludf.DUMMYFUNCTION("""COMPUTED_VALUE"""),"MANAGER")</f>
        <v>MANAGER</v>
      </c>
      <c r="P344" s="96" t="str">
        <f>IFERROR(__xludf.DUMMYFUNCTION("""COMPUTED_VALUE"""),"Cash-In")</f>
        <v>Cash-In</v>
      </c>
      <c r="Q344" s="99">
        <f>IFERROR(__xludf.DUMMYFUNCTION("""COMPUTED_VALUE"""),1800000.0)</f>
        <v>1800000</v>
      </c>
      <c r="R344" s="96" t="str">
        <f>IFERROR(__xludf.DUMMYFUNCTION("""COMPUTED_VALUE"""),"From Bank")</f>
        <v>From Bank</v>
      </c>
      <c r="S344" s="99">
        <f>IFERROR(__xludf.DUMMYFUNCTION("""COMPUTED_VALUE"""),0.0)</f>
        <v>0</v>
      </c>
      <c r="T344" s="99">
        <f>IFERROR(__xludf.DUMMYFUNCTION("""COMPUTED_VALUE"""),0.0)</f>
        <v>0</v>
      </c>
      <c r="U344" s="99">
        <f>IFERROR(__xludf.DUMMYFUNCTION("""COMPUTED_VALUE"""),1800000.0)</f>
        <v>1800000</v>
      </c>
      <c r="V344" s="99">
        <f>IFERROR(__xludf.DUMMYFUNCTION("""COMPUTED_VALUE"""),0.0)</f>
        <v>0</v>
      </c>
      <c r="W344" s="99">
        <f>IFERROR(__xludf.DUMMYFUNCTION("""COMPUTED_VALUE"""),0.0)</f>
        <v>0</v>
      </c>
    </row>
    <row r="345">
      <c r="N345" s="98">
        <f>IFERROR(__xludf.DUMMYFUNCTION("""COMPUTED_VALUE"""),44055.0)</f>
        <v>44055</v>
      </c>
      <c r="O345" s="96" t="str">
        <f>IFERROR(__xludf.DUMMYFUNCTION("""COMPUTED_VALUE"""),"LYDIA HNSON ")</f>
        <v>LYDIA HNSON </v>
      </c>
      <c r="P345" s="96" t="str">
        <f>IFERROR(__xludf.DUMMYFUNCTION("""COMPUTED_VALUE"""),"ADVANCE")</f>
        <v>ADVANCE</v>
      </c>
      <c r="Q345" s="99">
        <f>IFERROR(__xludf.DUMMYFUNCTION("""COMPUTED_VALUE"""),1000000.0)</f>
        <v>1000000</v>
      </c>
      <c r="R345" s="96" t="str">
        <f>IFERROR(__xludf.DUMMYFUNCTION("""COMPUTED_VALUE"""),"Prefinance")</f>
        <v>Prefinance</v>
      </c>
      <c r="S345" s="99">
        <f>IFERROR(__xludf.DUMMYFUNCTION("""COMPUTED_VALUE"""),0.0)</f>
        <v>0</v>
      </c>
      <c r="T345" s="99">
        <f>IFERROR(__xludf.DUMMYFUNCTION("""COMPUTED_VALUE"""),0.0)</f>
        <v>0</v>
      </c>
      <c r="U345" s="99">
        <f>IFERROR(__xludf.DUMMYFUNCTION("""COMPUTED_VALUE"""),0.0)</f>
        <v>0</v>
      </c>
      <c r="V345" s="99">
        <f>IFERROR(__xludf.DUMMYFUNCTION("""COMPUTED_VALUE"""),0.0)</f>
        <v>0</v>
      </c>
      <c r="W345" s="99">
        <f>IFERROR(__xludf.DUMMYFUNCTION("""COMPUTED_VALUE"""),0.0)</f>
        <v>0</v>
      </c>
    </row>
    <row r="346">
      <c r="N346" s="98">
        <f>IFERROR(__xludf.DUMMYFUNCTION("""COMPUTED_VALUE"""),44055.0)</f>
        <v>44055</v>
      </c>
      <c r="O346" s="96" t="str">
        <f>IFERROR(__xludf.DUMMYFUNCTION("""COMPUTED_VALUE"""),"LIVINUS")</f>
        <v>LIVINUS</v>
      </c>
      <c r="P346" s="96" t="str">
        <f>IFERROR(__xludf.DUMMYFUNCTION("""COMPUTED_VALUE"""),"MISTAKE-MANAGEMENT")</f>
        <v>MISTAKE-MANAGEMENT</v>
      </c>
      <c r="Q346" s="99">
        <f>IFERROR(__xludf.DUMMYFUNCTION("""COMPUTED_VALUE"""),-1000000.0)</f>
        <v>-1000000</v>
      </c>
      <c r="R346" s="96" t="str">
        <f>IFERROR(__xludf.DUMMYFUNCTION("""COMPUTED_VALUE"""),"Prefinance")</f>
        <v>Prefinance</v>
      </c>
      <c r="S346" s="99">
        <f>IFERROR(__xludf.DUMMYFUNCTION("""COMPUTED_VALUE"""),0.0)</f>
        <v>0</v>
      </c>
      <c r="T346" s="99">
        <f>IFERROR(__xludf.DUMMYFUNCTION("""COMPUTED_VALUE"""),0.0)</f>
        <v>0</v>
      </c>
      <c r="U346" s="99">
        <f>IFERROR(__xludf.DUMMYFUNCTION("""COMPUTED_VALUE"""),0.0)</f>
        <v>0</v>
      </c>
      <c r="V346" s="99">
        <f>IFERROR(__xludf.DUMMYFUNCTION("""COMPUTED_VALUE"""),0.0)</f>
        <v>0</v>
      </c>
      <c r="W346" s="99">
        <f>IFERROR(__xludf.DUMMYFUNCTION("""COMPUTED_VALUE"""),0.0)</f>
        <v>0</v>
      </c>
    </row>
    <row r="347">
      <c r="N347" s="98">
        <f>IFERROR(__xludf.DUMMYFUNCTION("""COMPUTED_VALUE"""),44057.0)</f>
        <v>44057</v>
      </c>
      <c r="O347" s="96" t="str">
        <f>IFERROR(__xludf.DUMMYFUNCTION("""COMPUTED_VALUE"""),"ANDRDEW GREAT")</f>
        <v>ANDRDEW GREAT</v>
      </c>
      <c r="P347" s="96" t="str">
        <f>IFERROR(__xludf.DUMMYFUNCTION("""COMPUTED_VALUE"""),"Up-keep")</f>
        <v>Up-keep</v>
      </c>
      <c r="Q347" s="99">
        <f>IFERROR(__xludf.DUMMYFUNCTION("""COMPUTED_VALUE"""),30000.0)</f>
        <v>30000</v>
      </c>
      <c r="R347" s="96" t="str">
        <f>IFERROR(__xludf.DUMMYFUNCTION("""COMPUTED_VALUE"""),"Prefinance")</f>
        <v>Prefinance</v>
      </c>
      <c r="S347" s="99">
        <f>IFERROR(__xludf.DUMMYFUNCTION("""COMPUTED_VALUE"""),0.0)</f>
        <v>0</v>
      </c>
      <c r="T347" s="99">
        <f>IFERROR(__xludf.DUMMYFUNCTION("""COMPUTED_VALUE"""),0.0)</f>
        <v>0</v>
      </c>
      <c r="U347" s="99">
        <f>IFERROR(__xludf.DUMMYFUNCTION("""COMPUTED_VALUE"""),0.0)</f>
        <v>0</v>
      </c>
      <c r="V347" s="99">
        <f>IFERROR(__xludf.DUMMYFUNCTION("""COMPUTED_VALUE"""),0.0)</f>
        <v>0</v>
      </c>
      <c r="W347" s="99">
        <f>IFERROR(__xludf.DUMMYFUNCTION("""COMPUTED_VALUE"""),0.0)</f>
        <v>0</v>
      </c>
    </row>
    <row r="348">
      <c r="N348" s="98">
        <f>IFERROR(__xludf.DUMMYFUNCTION("""COMPUTED_VALUE"""),44057.0)</f>
        <v>44057</v>
      </c>
      <c r="O348" s="96" t="str">
        <f>IFERROR(__xludf.DUMMYFUNCTION("""COMPUTED_VALUE"""),"OMODION")</f>
        <v>OMODION</v>
      </c>
      <c r="P348" s="96" t="str">
        <f>IFERROR(__xludf.DUMMYFUNCTION("""COMPUTED_VALUE"""),"Advance")</f>
        <v>Advance</v>
      </c>
      <c r="Q348" s="99">
        <f>IFERROR(__xludf.DUMMYFUNCTION("""COMPUTED_VALUE"""),330000.0)</f>
        <v>330000</v>
      </c>
      <c r="R348" s="96" t="str">
        <f>IFERROR(__xludf.DUMMYFUNCTION("""COMPUTED_VALUE"""),"Prefinance")</f>
        <v>Prefinance</v>
      </c>
      <c r="S348" s="99">
        <f>IFERROR(__xludf.DUMMYFUNCTION("""COMPUTED_VALUE"""),0.0)</f>
        <v>0</v>
      </c>
      <c r="T348" s="99">
        <f>IFERROR(__xludf.DUMMYFUNCTION("""COMPUTED_VALUE"""),0.0)</f>
        <v>0</v>
      </c>
      <c r="U348" s="99">
        <f>IFERROR(__xludf.DUMMYFUNCTION("""COMPUTED_VALUE"""),0.0)</f>
        <v>0</v>
      </c>
      <c r="V348" s="99">
        <f>IFERROR(__xludf.DUMMYFUNCTION("""COMPUTED_VALUE"""),0.0)</f>
        <v>0</v>
      </c>
      <c r="W348" s="99">
        <f>IFERROR(__xludf.DUMMYFUNCTION("""COMPUTED_VALUE"""),0.0)</f>
        <v>0</v>
      </c>
    </row>
    <row r="349">
      <c r="N349" s="98">
        <f>IFERROR(__xludf.DUMMYFUNCTION("""COMPUTED_VALUE"""),44057.0)</f>
        <v>44057</v>
      </c>
      <c r="O349" s="96" t="str">
        <f>IFERROR(__xludf.DUMMYFUNCTION("""COMPUTED_VALUE"""),"OBIM TIWA HNSON")</f>
        <v>OBIM TIWA HNSON</v>
      </c>
      <c r="P349" s="96" t="str">
        <f>IFERROR(__xludf.DUMMYFUNCTION("""COMPUTED_VALUE"""),"Advance")</f>
        <v>Advance</v>
      </c>
      <c r="Q349" s="99">
        <f>IFERROR(__xludf.DUMMYFUNCTION("""COMPUTED_VALUE"""),500000.0)</f>
        <v>500000</v>
      </c>
      <c r="R349" s="96" t="str">
        <f>IFERROR(__xludf.DUMMYFUNCTION("""COMPUTED_VALUE"""),"Prefinance")</f>
        <v>Prefinance</v>
      </c>
      <c r="S349" s="99">
        <f>IFERROR(__xludf.DUMMYFUNCTION("""COMPUTED_VALUE"""),0.0)</f>
        <v>0</v>
      </c>
      <c r="T349" s="99">
        <f>IFERROR(__xludf.DUMMYFUNCTION("""COMPUTED_VALUE"""),0.0)</f>
        <v>0</v>
      </c>
      <c r="U349" s="99">
        <f>IFERROR(__xludf.DUMMYFUNCTION("""COMPUTED_VALUE"""),0.0)</f>
        <v>0</v>
      </c>
      <c r="V349" s="99">
        <f>IFERROR(__xludf.DUMMYFUNCTION("""COMPUTED_VALUE"""),0.0)</f>
        <v>0</v>
      </c>
      <c r="W349" s="99">
        <f>IFERROR(__xludf.DUMMYFUNCTION("""COMPUTED_VALUE"""),0.0)</f>
        <v>0</v>
      </c>
    </row>
    <row r="350">
      <c r="N350" s="98">
        <f>IFERROR(__xludf.DUMMYFUNCTION("""COMPUTED_VALUE"""),44057.0)</f>
        <v>44057</v>
      </c>
      <c r="O350" s="96" t="str">
        <f>IFERROR(__xludf.DUMMYFUNCTION("""COMPUTED_VALUE"""),"DIAMOND")</f>
        <v>DIAMOND</v>
      </c>
      <c r="P350" s="96" t="str">
        <f>IFERROR(__xludf.DUMMYFUNCTION("""COMPUTED_VALUE"""),"gas/road expenses")</f>
        <v>gas/road expenses</v>
      </c>
      <c r="Q350" s="99">
        <f>IFERROR(__xludf.DUMMYFUNCTION("""COMPUTED_VALUE"""),4000.0)</f>
        <v>4000</v>
      </c>
      <c r="R350" s="96" t="str">
        <f>IFERROR(__xludf.DUMMYFUNCTION("""COMPUTED_VALUE"""),"General Expenses")</f>
        <v>General Expenses</v>
      </c>
      <c r="S350" s="99">
        <f>IFERROR(__xludf.DUMMYFUNCTION("""COMPUTED_VALUE"""),0.0)</f>
        <v>0</v>
      </c>
      <c r="T350" s="99">
        <f>IFERROR(__xludf.DUMMYFUNCTION("""COMPUTED_VALUE"""),4000.0)</f>
        <v>4000</v>
      </c>
      <c r="U350" s="99">
        <f>IFERROR(__xludf.DUMMYFUNCTION("""COMPUTED_VALUE"""),0.0)</f>
        <v>0</v>
      </c>
      <c r="V350" s="99">
        <f>IFERROR(__xludf.DUMMYFUNCTION("""COMPUTED_VALUE"""),0.0)</f>
        <v>0</v>
      </c>
      <c r="W350" s="99">
        <f>IFERROR(__xludf.DUMMYFUNCTION("""COMPUTED_VALUE"""),0.0)</f>
        <v>0</v>
      </c>
    </row>
    <row r="351">
      <c r="N351" s="98">
        <f>IFERROR(__xludf.DUMMYFUNCTION("""COMPUTED_VALUE"""),44057.0)</f>
        <v>44057</v>
      </c>
      <c r="O351" s="96" t="str">
        <f>IFERROR(__xludf.DUMMYFUNCTION("""COMPUTED_VALUE"""),"DORATHY")</f>
        <v>DORATHY</v>
      </c>
      <c r="P351" s="96" t="str">
        <f>IFERROR(__xludf.DUMMYFUNCTION("""COMPUTED_VALUE"""),"Transport to Tulip")</f>
        <v>Transport to Tulip</v>
      </c>
      <c r="Q351" s="99">
        <f>IFERROR(__xludf.DUMMYFUNCTION("""COMPUTED_VALUE"""),200.0)</f>
        <v>200</v>
      </c>
      <c r="R351" s="96" t="str">
        <f>IFERROR(__xludf.DUMMYFUNCTION("""COMPUTED_VALUE"""),"General Expenses")</f>
        <v>General Expenses</v>
      </c>
      <c r="S351" s="99">
        <f>IFERROR(__xludf.DUMMYFUNCTION("""COMPUTED_VALUE"""),0.0)</f>
        <v>0</v>
      </c>
      <c r="T351" s="99">
        <f>IFERROR(__xludf.DUMMYFUNCTION("""COMPUTED_VALUE"""),200.0)</f>
        <v>200</v>
      </c>
      <c r="U351" s="99">
        <f>IFERROR(__xludf.DUMMYFUNCTION("""COMPUTED_VALUE"""),0.0)</f>
        <v>0</v>
      </c>
      <c r="V351" s="99">
        <f>IFERROR(__xludf.DUMMYFUNCTION("""COMPUTED_VALUE"""),0.0)</f>
        <v>0</v>
      </c>
      <c r="W351" s="99">
        <f>IFERROR(__xludf.DUMMYFUNCTION("""COMPUTED_VALUE"""),0.0)</f>
        <v>0</v>
      </c>
    </row>
    <row r="352">
      <c r="N352" s="98">
        <f>IFERROR(__xludf.DUMMYFUNCTION("""COMPUTED_VALUE"""),44057.0)</f>
        <v>44057</v>
      </c>
      <c r="O352" s="96" t="str">
        <f>IFERROR(__xludf.DUMMYFUNCTION("""COMPUTED_VALUE"""),"DIAMOND")</f>
        <v>DIAMOND</v>
      </c>
      <c r="P352" s="96" t="str">
        <f>IFERROR(__xludf.DUMMYFUNCTION("""COMPUTED_VALUE"""),"Repairs")</f>
        <v>Repairs</v>
      </c>
      <c r="Q352" s="99">
        <f>IFERROR(__xludf.DUMMYFUNCTION("""COMPUTED_VALUE"""),3000.0)</f>
        <v>3000</v>
      </c>
      <c r="R352" s="96" t="str">
        <f>IFERROR(__xludf.DUMMYFUNCTION("""COMPUTED_VALUE"""),"General Expenses")</f>
        <v>General Expenses</v>
      </c>
      <c r="S352" s="99">
        <f>IFERROR(__xludf.DUMMYFUNCTION("""COMPUTED_VALUE"""),0.0)</f>
        <v>0</v>
      </c>
      <c r="T352" s="99">
        <f>IFERROR(__xludf.DUMMYFUNCTION("""COMPUTED_VALUE"""),3000.0)</f>
        <v>3000</v>
      </c>
      <c r="U352" s="99">
        <f>IFERROR(__xludf.DUMMYFUNCTION("""COMPUTED_VALUE"""),0.0)</f>
        <v>0</v>
      </c>
      <c r="V352" s="99">
        <f>IFERROR(__xludf.DUMMYFUNCTION("""COMPUTED_VALUE"""),0.0)</f>
        <v>0</v>
      </c>
      <c r="W352" s="99">
        <f>IFERROR(__xludf.DUMMYFUNCTION("""COMPUTED_VALUE"""),0.0)</f>
        <v>0</v>
      </c>
    </row>
    <row r="353">
      <c r="N353" s="98">
        <f>IFERROR(__xludf.DUMMYFUNCTION("""COMPUTED_VALUE"""),44057.0)</f>
        <v>44057</v>
      </c>
      <c r="O353" s="96" t="str">
        <f>IFERROR(__xludf.DUMMYFUNCTION("""COMPUTED_VALUE"""),"LABOUR  BOY")</f>
        <v>LABOUR  BOY</v>
      </c>
      <c r="P353" s="96" t="str">
        <f>IFERROR(__xludf.DUMMYFUNCTION("""COMPUTED_VALUE"""),"wages advance")</f>
        <v>wages advance</v>
      </c>
      <c r="Q353" s="99">
        <f>IFERROR(__xludf.DUMMYFUNCTION("""COMPUTED_VALUE"""),2500.0)</f>
        <v>2500</v>
      </c>
      <c r="R353" s="96" t="str">
        <f>IFERROR(__xludf.DUMMYFUNCTION("""COMPUTED_VALUE"""),"General Expenses")</f>
        <v>General Expenses</v>
      </c>
      <c r="S353" s="99">
        <f>IFERROR(__xludf.DUMMYFUNCTION("""COMPUTED_VALUE"""),0.0)</f>
        <v>0</v>
      </c>
      <c r="T353" s="99">
        <f>IFERROR(__xludf.DUMMYFUNCTION("""COMPUTED_VALUE"""),2500.0)</f>
        <v>2500</v>
      </c>
      <c r="U353" s="99">
        <f>IFERROR(__xludf.DUMMYFUNCTION("""COMPUTED_VALUE"""),0.0)</f>
        <v>0</v>
      </c>
      <c r="V353" s="99">
        <f>IFERROR(__xludf.DUMMYFUNCTION("""COMPUTED_VALUE"""),0.0)</f>
        <v>0</v>
      </c>
      <c r="W353" s="99">
        <f>IFERROR(__xludf.DUMMYFUNCTION("""COMPUTED_VALUE"""),0.0)</f>
        <v>0</v>
      </c>
    </row>
    <row r="354">
      <c r="N354" s="98">
        <f>IFERROR(__xludf.DUMMYFUNCTION("""COMPUTED_VALUE"""),44057.0)</f>
        <v>44057</v>
      </c>
      <c r="O354" s="96" t="str">
        <f>IFERROR(__xludf.DUMMYFUNCTION("""COMPUTED_VALUE"""),"MANAGER")</f>
        <v>MANAGER</v>
      </c>
      <c r="P354" s="96" t="str">
        <f>IFERROR(__xludf.DUMMYFUNCTION("""COMPUTED_VALUE"""),"Up-keep")</f>
        <v>Up-keep</v>
      </c>
      <c r="Q354" s="99">
        <f>IFERROR(__xludf.DUMMYFUNCTION("""COMPUTED_VALUE"""),2000.0)</f>
        <v>2000</v>
      </c>
      <c r="R354" s="96" t="str">
        <f>IFERROR(__xludf.DUMMYFUNCTION("""COMPUTED_VALUE"""),"General Expenses")</f>
        <v>General Expenses</v>
      </c>
      <c r="S354" s="99">
        <f>IFERROR(__xludf.DUMMYFUNCTION("""COMPUTED_VALUE"""),0.0)</f>
        <v>0</v>
      </c>
      <c r="T354" s="99">
        <f>IFERROR(__xludf.DUMMYFUNCTION("""COMPUTED_VALUE"""),2000.0)</f>
        <v>2000</v>
      </c>
      <c r="U354" s="99">
        <f>IFERROR(__xludf.DUMMYFUNCTION("""COMPUTED_VALUE"""),0.0)</f>
        <v>0</v>
      </c>
      <c r="V354" s="99">
        <f>IFERROR(__xludf.DUMMYFUNCTION("""COMPUTED_VALUE"""),0.0)</f>
        <v>0</v>
      </c>
      <c r="W354" s="99">
        <f>IFERROR(__xludf.DUMMYFUNCTION("""COMPUTED_VALUE"""),0.0)</f>
        <v>0</v>
      </c>
    </row>
    <row r="355">
      <c r="N355" s="98">
        <f>IFERROR(__xludf.DUMMYFUNCTION("""COMPUTED_VALUE"""),44057.0)</f>
        <v>44057</v>
      </c>
      <c r="O355" s="96" t="str">
        <f>IFERROR(__xludf.DUMMYFUNCTION("""COMPUTED_VALUE"""),"OBIM TIWA HNSON")</f>
        <v>OBIM TIWA HNSON</v>
      </c>
      <c r="P355" s="96" t="str">
        <f>IFERROR(__xludf.DUMMYFUNCTION("""COMPUTED_VALUE"""),"Advance (DIRECTOR)")</f>
        <v>Advance (DIRECTOR)</v>
      </c>
      <c r="Q355" s="99">
        <f>IFERROR(__xludf.DUMMYFUNCTION("""COMPUTED_VALUE"""),20000.0)</f>
        <v>20000</v>
      </c>
      <c r="R355" s="96" t="str">
        <f>IFERROR(__xludf.DUMMYFUNCTION("""COMPUTED_VALUE"""),"Prefinance")</f>
        <v>Prefinance</v>
      </c>
      <c r="S355" s="99">
        <f>IFERROR(__xludf.DUMMYFUNCTION("""COMPUTED_VALUE"""),0.0)</f>
        <v>0</v>
      </c>
      <c r="T355" s="99">
        <f>IFERROR(__xludf.DUMMYFUNCTION("""COMPUTED_VALUE"""),0.0)</f>
        <v>0</v>
      </c>
      <c r="U355" s="99">
        <f>IFERROR(__xludf.DUMMYFUNCTION("""COMPUTED_VALUE"""),0.0)</f>
        <v>0</v>
      </c>
      <c r="V355" s="99">
        <f>IFERROR(__xludf.DUMMYFUNCTION("""COMPUTED_VALUE"""),0.0)</f>
        <v>0</v>
      </c>
      <c r="W355" s="99">
        <f>IFERROR(__xludf.DUMMYFUNCTION("""COMPUTED_VALUE"""),0.0)</f>
        <v>0</v>
      </c>
    </row>
    <row r="356">
      <c r="N356" s="98">
        <f>IFERROR(__xludf.DUMMYFUNCTION("""COMPUTED_VALUE"""),44057.0)</f>
        <v>44057</v>
      </c>
      <c r="O356" s="96" t="str">
        <f>IFERROR(__xludf.DUMMYFUNCTION("""COMPUTED_VALUE"""),"BLESSING CHAPMAN")</f>
        <v>BLESSING CHAPMAN</v>
      </c>
      <c r="P356" s="96" t="str">
        <f>IFERROR(__xludf.DUMMYFUNCTION("""COMPUTED_VALUE"""),"CASH COLLECTED")</f>
        <v>CASH COLLECTED</v>
      </c>
      <c r="Q356" s="99">
        <f>IFERROR(__xludf.DUMMYFUNCTION("""COMPUTED_VALUE"""),11700.0)</f>
        <v>11700</v>
      </c>
      <c r="R356" s="96" t="str">
        <f>IFERROR(__xludf.DUMMYFUNCTION("""COMPUTED_VALUE"""),"Petty Cash")</f>
        <v>Petty Cash</v>
      </c>
      <c r="S356" s="99">
        <f>IFERROR(__xludf.DUMMYFUNCTION("""COMPUTED_VALUE"""),0.0)</f>
        <v>0</v>
      </c>
      <c r="T356" s="99">
        <f>IFERROR(__xludf.DUMMYFUNCTION("""COMPUTED_VALUE"""),0.0)</f>
        <v>0</v>
      </c>
      <c r="U356" s="99">
        <f>IFERROR(__xludf.DUMMYFUNCTION("""COMPUTED_VALUE"""),0.0)</f>
        <v>0</v>
      </c>
      <c r="V356" s="99">
        <f>IFERROR(__xludf.DUMMYFUNCTION("""COMPUTED_VALUE"""),11700.0)</f>
        <v>11700</v>
      </c>
      <c r="W356" s="99">
        <f>IFERROR(__xludf.DUMMYFUNCTION("""COMPUTED_VALUE"""),0.0)</f>
        <v>0</v>
      </c>
    </row>
    <row r="357">
      <c r="N357" s="98">
        <f>IFERROR(__xludf.DUMMYFUNCTION("""COMPUTED_VALUE"""),44057.0)</f>
        <v>44057</v>
      </c>
      <c r="O357" s="96" t="str">
        <f>IFERROR(__xludf.DUMMYFUNCTION("""COMPUTED_VALUE"""),"MANAGER")</f>
        <v>MANAGER</v>
      </c>
      <c r="P357" s="96" t="str">
        <f>IFERROR(__xludf.DUMMYFUNCTION("""COMPUTED_VALUE"""),"CASH-IN")</f>
        <v>CASH-IN</v>
      </c>
      <c r="Q357" s="99">
        <f>IFERROR(__xludf.DUMMYFUNCTION("""COMPUTED_VALUE"""),2300000.0)</f>
        <v>2300000</v>
      </c>
      <c r="R357" s="96" t="str">
        <f>IFERROR(__xludf.DUMMYFUNCTION("""COMPUTED_VALUE"""),"From Bank")</f>
        <v>From Bank</v>
      </c>
      <c r="S357" s="99">
        <f>IFERROR(__xludf.DUMMYFUNCTION("""COMPUTED_VALUE"""),0.0)</f>
        <v>0</v>
      </c>
      <c r="T357" s="99">
        <f>IFERROR(__xludf.DUMMYFUNCTION("""COMPUTED_VALUE"""),0.0)</f>
        <v>0</v>
      </c>
      <c r="U357" s="99">
        <f>IFERROR(__xludf.DUMMYFUNCTION("""COMPUTED_VALUE"""),2300000.0)</f>
        <v>2300000</v>
      </c>
      <c r="V357" s="99">
        <f>IFERROR(__xludf.DUMMYFUNCTION("""COMPUTED_VALUE"""),0.0)</f>
        <v>0</v>
      </c>
      <c r="W357" s="99">
        <f>IFERROR(__xludf.DUMMYFUNCTION("""COMPUTED_VALUE"""),0.0)</f>
        <v>0</v>
      </c>
    </row>
    <row r="358">
      <c r="N358" s="98">
        <f>IFERROR(__xludf.DUMMYFUNCTION("""COMPUTED_VALUE"""),44057.0)</f>
        <v>44057</v>
      </c>
      <c r="O358" s="96" t="str">
        <f>IFERROR(__xludf.DUMMYFUNCTION("""COMPUTED_VALUE"""),"DIRECTOR")</f>
        <v>DIRECTOR</v>
      </c>
      <c r="P358" s="96" t="str">
        <f>IFERROR(__xludf.DUMMYFUNCTION("""COMPUTED_VALUE"""),"CASH-IN")</f>
        <v>CASH-IN</v>
      </c>
      <c r="Q358" s="99">
        <f>IFERROR(__xludf.DUMMYFUNCTION("""COMPUTED_VALUE"""),20000.0)</f>
        <v>20000</v>
      </c>
      <c r="R358" s="96" t="str">
        <f>IFERROR(__xludf.DUMMYFUNCTION("""COMPUTED_VALUE"""),"From Bank")</f>
        <v>From Bank</v>
      </c>
      <c r="S358" s="99">
        <f>IFERROR(__xludf.DUMMYFUNCTION("""COMPUTED_VALUE"""),0.0)</f>
        <v>0</v>
      </c>
      <c r="T358" s="99">
        <f>IFERROR(__xludf.DUMMYFUNCTION("""COMPUTED_VALUE"""),0.0)</f>
        <v>0</v>
      </c>
      <c r="U358" s="99">
        <f>IFERROR(__xludf.DUMMYFUNCTION("""COMPUTED_VALUE"""),20000.0)</f>
        <v>20000</v>
      </c>
      <c r="V358" s="99">
        <f>IFERROR(__xludf.DUMMYFUNCTION("""COMPUTED_VALUE"""),0.0)</f>
        <v>0</v>
      </c>
      <c r="W358" s="99">
        <f>IFERROR(__xludf.DUMMYFUNCTION("""COMPUTED_VALUE"""),0.0)</f>
        <v>0</v>
      </c>
    </row>
    <row r="359">
      <c r="N359" s="98">
        <f>IFERROR(__xludf.DUMMYFUNCTION("""COMPUTED_VALUE"""),44058.0)</f>
        <v>44058</v>
      </c>
      <c r="O359" s="96" t="str">
        <f>IFERROR(__xludf.DUMMYFUNCTION("""COMPUTED_VALUE"""),"ANDRDEW GREAT")</f>
        <v>ANDRDEW GREAT</v>
      </c>
      <c r="P359" s="96" t="str">
        <f>IFERROR(__xludf.DUMMYFUNCTION("""COMPUTED_VALUE"""),"Advance")</f>
        <v>Advance</v>
      </c>
      <c r="Q359" s="99">
        <f>IFERROR(__xludf.DUMMYFUNCTION("""COMPUTED_VALUE"""),355880.0)</f>
        <v>355880</v>
      </c>
      <c r="R359" s="96" t="str">
        <f>IFERROR(__xludf.DUMMYFUNCTION("""COMPUTED_VALUE"""),"Prefinance")</f>
        <v>Prefinance</v>
      </c>
      <c r="S359" s="99">
        <f>IFERROR(__xludf.DUMMYFUNCTION("""COMPUTED_VALUE"""),0.0)</f>
        <v>0</v>
      </c>
      <c r="T359" s="99">
        <f>IFERROR(__xludf.DUMMYFUNCTION("""COMPUTED_VALUE"""),0.0)</f>
        <v>0</v>
      </c>
      <c r="U359" s="99">
        <f>IFERROR(__xludf.DUMMYFUNCTION("""COMPUTED_VALUE"""),0.0)</f>
        <v>0</v>
      </c>
      <c r="V359" s="99">
        <f>IFERROR(__xludf.DUMMYFUNCTION("""COMPUTED_VALUE"""),0.0)</f>
        <v>0</v>
      </c>
      <c r="W359" s="99">
        <f>IFERROR(__xludf.DUMMYFUNCTION("""COMPUTED_VALUE"""),0.0)</f>
        <v>0</v>
      </c>
    </row>
    <row r="360">
      <c r="N360" s="98">
        <f>IFERROR(__xludf.DUMMYFUNCTION("""COMPUTED_VALUE"""),44058.0)</f>
        <v>44058</v>
      </c>
      <c r="O360" s="96" t="str">
        <f>IFERROR(__xludf.DUMMYFUNCTION("""COMPUTED_VALUE"""),"RECTOR W.")</f>
        <v>RECTOR W.</v>
      </c>
      <c r="P360" s="96" t="str">
        <f>IFERROR(__xludf.DUMMYFUNCTION("""COMPUTED_VALUE"""),"Advance")</f>
        <v>Advance</v>
      </c>
      <c r="Q360" s="99">
        <f>IFERROR(__xludf.DUMMYFUNCTION("""COMPUTED_VALUE"""),250000.0)</f>
        <v>250000</v>
      </c>
      <c r="R360" s="96" t="str">
        <f>IFERROR(__xludf.DUMMYFUNCTION("""COMPUTED_VALUE"""),"Prefinance")</f>
        <v>Prefinance</v>
      </c>
      <c r="S360" s="99">
        <f>IFERROR(__xludf.DUMMYFUNCTION("""COMPUTED_VALUE"""),0.0)</f>
        <v>0</v>
      </c>
      <c r="T360" s="99">
        <f>IFERROR(__xludf.DUMMYFUNCTION("""COMPUTED_VALUE"""),0.0)</f>
        <v>0</v>
      </c>
      <c r="U360" s="99">
        <f>IFERROR(__xludf.DUMMYFUNCTION("""COMPUTED_VALUE"""),0.0)</f>
        <v>0</v>
      </c>
      <c r="V360" s="99">
        <f>IFERROR(__xludf.DUMMYFUNCTION("""COMPUTED_VALUE"""),0.0)</f>
        <v>0</v>
      </c>
      <c r="W360" s="99">
        <f>IFERROR(__xludf.DUMMYFUNCTION("""COMPUTED_VALUE"""),0.0)</f>
        <v>0</v>
      </c>
    </row>
    <row r="361">
      <c r="N361" s="98">
        <f>IFERROR(__xludf.DUMMYFUNCTION("""COMPUTED_VALUE"""),44058.0)</f>
        <v>44058</v>
      </c>
      <c r="O361" s="96" t="str">
        <f>IFERROR(__xludf.DUMMYFUNCTION("""COMPUTED_VALUE"""),"ZULU &amp; NDOMA")</f>
        <v>ZULU &amp; NDOMA</v>
      </c>
      <c r="P361" s="96" t="str">
        <f>IFERROR(__xludf.DUMMYFUNCTION("""COMPUTED_VALUE"""),"Advance (ZULU)")</f>
        <v>Advance (ZULU)</v>
      </c>
      <c r="Q361" s="99">
        <f>IFERROR(__xludf.DUMMYFUNCTION("""COMPUTED_VALUE"""),200000.0)</f>
        <v>200000</v>
      </c>
      <c r="R361" s="96" t="str">
        <f>IFERROR(__xludf.DUMMYFUNCTION("""COMPUTED_VALUE"""),"Prefinance")</f>
        <v>Prefinance</v>
      </c>
      <c r="S361" s="99">
        <f>IFERROR(__xludf.DUMMYFUNCTION("""COMPUTED_VALUE"""),0.0)</f>
        <v>0</v>
      </c>
      <c r="T361" s="99">
        <f>IFERROR(__xludf.DUMMYFUNCTION("""COMPUTED_VALUE"""),0.0)</f>
        <v>0</v>
      </c>
      <c r="U361" s="99">
        <f>IFERROR(__xludf.DUMMYFUNCTION("""COMPUTED_VALUE"""),0.0)</f>
        <v>0</v>
      </c>
      <c r="V361" s="99">
        <f>IFERROR(__xludf.DUMMYFUNCTION("""COMPUTED_VALUE"""),0.0)</f>
        <v>0</v>
      </c>
      <c r="W361" s="99">
        <f>IFERROR(__xludf.DUMMYFUNCTION("""COMPUTED_VALUE"""),0.0)</f>
        <v>0</v>
      </c>
    </row>
    <row r="362">
      <c r="N362" s="98">
        <f>IFERROR(__xludf.DUMMYFUNCTION("""COMPUTED_VALUE"""),44058.0)</f>
        <v>44058</v>
      </c>
      <c r="O362" s="96" t="str">
        <f>IFERROR(__xludf.DUMMYFUNCTION("""COMPUTED_VALUE"""),"ABANG. NICE")</f>
        <v>ABANG. NICE</v>
      </c>
      <c r="P362" s="96" t="str">
        <f>IFERROR(__xludf.DUMMYFUNCTION("""COMPUTED_VALUE"""),"Transport")</f>
        <v>Transport</v>
      </c>
      <c r="Q362" s="99">
        <f>IFERROR(__xludf.DUMMYFUNCTION("""COMPUTED_VALUE"""),703000.0)</f>
        <v>703000</v>
      </c>
      <c r="R362" s="96" t="str">
        <f>IFERROR(__xludf.DUMMYFUNCTION("""COMPUTED_VALUE"""),"General Expenses")</f>
        <v>General Expenses</v>
      </c>
      <c r="S362" s="99">
        <f>IFERROR(__xludf.DUMMYFUNCTION("""COMPUTED_VALUE"""),0.0)</f>
        <v>0</v>
      </c>
      <c r="T362" s="99">
        <f>IFERROR(__xludf.DUMMYFUNCTION("""COMPUTED_VALUE"""),703000.0)</f>
        <v>703000</v>
      </c>
      <c r="U362" s="99">
        <f>IFERROR(__xludf.DUMMYFUNCTION("""COMPUTED_VALUE"""),0.0)</f>
        <v>0</v>
      </c>
      <c r="V362" s="99">
        <f>IFERROR(__xludf.DUMMYFUNCTION("""COMPUTED_VALUE"""),0.0)</f>
        <v>0</v>
      </c>
      <c r="W362" s="99">
        <f>IFERROR(__xludf.DUMMYFUNCTION("""COMPUTED_VALUE"""),0.0)</f>
        <v>0</v>
      </c>
    </row>
    <row r="363">
      <c r="N363" s="98">
        <f>IFERROR(__xludf.DUMMYFUNCTION("""COMPUTED_VALUE"""),44058.0)</f>
        <v>44058</v>
      </c>
      <c r="O363" s="96" t="str">
        <f>IFERROR(__xludf.DUMMYFUNCTION("""COMPUTED_VALUE"""),"DIRECTOR")</f>
        <v>DIRECTOR</v>
      </c>
      <c r="P363" s="96" t="str">
        <f>IFERROR(__xludf.DUMMYFUNCTION("""COMPUTED_VALUE"""),"Personal use")</f>
        <v>Personal use</v>
      </c>
      <c r="Q363" s="99">
        <f>IFERROR(__xludf.DUMMYFUNCTION("""COMPUTED_VALUE"""),20000.0)</f>
        <v>20000</v>
      </c>
      <c r="R363" s="96" t="str">
        <f>IFERROR(__xludf.DUMMYFUNCTION("""COMPUTED_VALUE"""),"General Expenses")</f>
        <v>General Expenses</v>
      </c>
      <c r="S363" s="99">
        <f>IFERROR(__xludf.DUMMYFUNCTION("""COMPUTED_VALUE"""),0.0)</f>
        <v>0</v>
      </c>
      <c r="T363" s="99">
        <f>IFERROR(__xludf.DUMMYFUNCTION("""COMPUTED_VALUE"""),20000.0)</f>
        <v>20000</v>
      </c>
      <c r="U363" s="99">
        <f>IFERROR(__xludf.DUMMYFUNCTION("""COMPUTED_VALUE"""),0.0)</f>
        <v>0</v>
      </c>
      <c r="V363" s="99">
        <f>IFERROR(__xludf.DUMMYFUNCTION("""COMPUTED_VALUE"""),0.0)</f>
        <v>0</v>
      </c>
      <c r="W363" s="99">
        <f>IFERROR(__xludf.DUMMYFUNCTION("""COMPUTED_VALUE"""),0.0)</f>
        <v>0</v>
      </c>
    </row>
    <row r="364">
      <c r="N364" s="98">
        <f>IFERROR(__xludf.DUMMYFUNCTION("""COMPUTED_VALUE"""),44058.0)</f>
        <v>44058</v>
      </c>
      <c r="O364" s="96" t="str">
        <f>IFERROR(__xludf.DUMMYFUNCTION("""COMPUTED_VALUE"""),"AYUK BLESSING")</f>
        <v>AYUK BLESSING</v>
      </c>
      <c r="P364" s="96" t="str">
        <f>IFERROR(__xludf.DUMMYFUNCTION("""COMPUTED_VALUE"""),"Subcription")</f>
        <v>Subcription</v>
      </c>
      <c r="Q364" s="99">
        <f>IFERROR(__xludf.DUMMYFUNCTION("""COMPUTED_VALUE"""),1000.0)</f>
        <v>1000</v>
      </c>
      <c r="R364" s="96" t="str">
        <f>IFERROR(__xludf.DUMMYFUNCTION("""COMPUTED_VALUE"""),"General Expenses")</f>
        <v>General Expenses</v>
      </c>
      <c r="S364" s="99">
        <f>IFERROR(__xludf.DUMMYFUNCTION("""COMPUTED_VALUE"""),0.0)</f>
        <v>0</v>
      </c>
      <c r="T364" s="99">
        <f>IFERROR(__xludf.DUMMYFUNCTION("""COMPUTED_VALUE"""),1000.0)</f>
        <v>1000</v>
      </c>
      <c r="U364" s="99">
        <f>IFERROR(__xludf.DUMMYFUNCTION("""COMPUTED_VALUE"""),0.0)</f>
        <v>0</v>
      </c>
      <c r="V364" s="99">
        <f>IFERROR(__xludf.DUMMYFUNCTION("""COMPUTED_VALUE"""),0.0)</f>
        <v>0</v>
      </c>
      <c r="W364" s="99">
        <f>IFERROR(__xludf.DUMMYFUNCTION("""COMPUTED_VALUE"""),0.0)</f>
        <v>0</v>
      </c>
    </row>
    <row r="365">
      <c r="N365" s="98">
        <f>IFERROR(__xludf.DUMMYFUNCTION("""COMPUTED_VALUE"""),44058.0)</f>
        <v>44058</v>
      </c>
      <c r="O365" s="96" t="str">
        <f>IFERROR(__xludf.DUMMYFUNCTION("""COMPUTED_VALUE"""),"ABANGs. HNSON")</f>
        <v>ABANGs. HNSON</v>
      </c>
      <c r="P365" s="96" t="str">
        <f>IFERROR(__xludf.DUMMYFUNCTION("""COMPUTED_VALUE"""),"Director order")</f>
        <v>Director order</v>
      </c>
      <c r="Q365" s="99">
        <f>IFERROR(__xludf.DUMMYFUNCTION("""COMPUTED_VALUE"""),50000.0)</f>
        <v>50000</v>
      </c>
      <c r="R365" s="96" t="str">
        <f>IFERROR(__xludf.DUMMYFUNCTION("""COMPUTED_VALUE"""),"General Expenses")</f>
        <v>General Expenses</v>
      </c>
      <c r="S365" s="99">
        <f>IFERROR(__xludf.DUMMYFUNCTION("""COMPUTED_VALUE"""),0.0)</f>
        <v>0</v>
      </c>
      <c r="T365" s="99">
        <f>IFERROR(__xludf.DUMMYFUNCTION("""COMPUTED_VALUE"""),50000.0)</f>
        <v>50000</v>
      </c>
      <c r="U365" s="99">
        <f>IFERROR(__xludf.DUMMYFUNCTION("""COMPUTED_VALUE"""),0.0)</f>
        <v>0</v>
      </c>
      <c r="V365" s="99">
        <f>IFERROR(__xludf.DUMMYFUNCTION("""COMPUTED_VALUE"""),0.0)</f>
        <v>0</v>
      </c>
      <c r="W365" s="99">
        <f>IFERROR(__xludf.DUMMYFUNCTION("""COMPUTED_VALUE"""),0.0)</f>
        <v>0</v>
      </c>
    </row>
    <row r="366">
      <c r="N366" s="98">
        <f>IFERROR(__xludf.DUMMYFUNCTION("""COMPUTED_VALUE"""),44058.0)</f>
        <v>44058</v>
      </c>
      <c r="O366" s="96" t="str">
        <f>IFERROR(__xludf.DUMMYFUNCTION("""COMPUTED_VALUE"""),"DIAMOND")</f>
        <v>DIAMOND</v>
      </c>
      <c r="P366" s="96" t="str">
        <f>IFERROR(__xludf.DUMMYFUNCTION("""COMPUTED_VALUE"""),"repairs/Gas")</f>
        <v>repairs/Gas</v>
      </c>
      <c r="Q366" s="99">
        <f>IFERROR(__xludf.DUMMYFUNCTION("""COMPUTED_VALUE"""),4000.0)</f>
        <v>4000</v>
      </c>
      <c r="R366" s="96" t="str">
        <f>IFERROR(__xludf.DUMMYFUNCTION("""COMPUTED_VALUE"""),"General Expenses")</f>
        <v>General Expenses</v>
      </c>
      <c r="S366" s="99">
        <f>IFERROR(__xludf.DUMMYFUNCTION("""COMPUTED_VALUE"""),0.0)</f>
        <v>0</v>
      </c>
      <c r="T366" s="99">
        <f>IFERROR(__xludf.DUMMYFUNCTION("""COMPUTED_VALUE"""),4000.0)</f>
        <v>4000</v>
      </c>
      <c r="U366" s="99">
        <f>IFERROR(__xludf.DUMMYFUNCTION("""COMPUTED_VALUE"""),0.0)</f>
        <v>0</v>
      </c>
      <c r="V366" s="99">
        <f>IFERROR(__xludf.DUMMYFUNCTION("""COMPUTED_VALUE"""),0.0)</f>
        <v>0</v>
      </c>
      <c r="W366" s="99">
        <f>IFERROR(__xludf.DUMMYFUNCTION("""COMPUTED_VALUE"""),0.0)</f>
        <v>0</v>
      </c>
    </row>
    <row r="367">
      <c r="N367" s="98">
        <f>IFERROR(__xludf.DUMMYFUNCTION("""COMPUTED_VALUE"""),44058.0)</f>
        <v>44058</v>
      </c>
      <c r="O367" s="96" t="str">
        <f>IFERROR(__xludf.DUMMYFUNCTION("""COMPUTED_VALUE"""),"ENGINEER")</f>
        <v>ENGINEER</v>
      </c>
      <c r="P367" s="96" t="str">
        <f>IFERROR(__xludf.DUMMYFUNCTION("""COMPUTED_VALUE"""),"water cleaning")</f>
        <v>water cleaning</v>
      </c>
      <c r="Q367" s="99">
        <f>IFERROR(__xludf.DUMMYFUNCTION("""COMPUTED_VALUE"""),5000.0)</f>
        <v>5000</v>
      </c>
      <c r="R367" s="96" t="str">
        <f>IFERROR(__xludf.DUMMYFUNCTION("""COMPUTED_VALUE"""),"General Expenses")</f>
        <v>General Expenses</v>
      </c>
      <c r="S367" s="99">
        <f>IFERROR(__xludf.DUMMYFUNCTION("""COMPUTED_VALUE"""),0.0)</f>
        <v>0</v>
      </c>
      <c r="T367" s="99">
        <f>IFERROR(__xludf.DUMMYFUNCTION("""COMPUTED_VALUE"""),5000.0)</f>
        <v>5000</v>
      </c>
      <c r="U367" s="99">
        <f>IFERROR(__xludf.DUMMYFUNCTION("""COMPUTED_VALUE"""),0.0)</f>
        <v>0</v>
      </c>
      <c r="V367" s="99">
        <f>IFERROR(__xludf.DUMMYFUNCTION("""COMPUTED_VALUE"""),0.0)</f>
        <v>0</v>
      </c>
      <c r="W367" s="99">
        <f>IFERROR(__xludf.DUMMYFUNCTION("""COMPUTED_VALUE"""),0.0)</f>
        <v>0</v>
      </c>
    </row>
    <row r="368">
      <c r="N368" s="98">
        <f>IFERROR(__xludf.DUMMYFUNCTION("""COMPUTED_VALUE"""),44058.0)</f>
        <v>44058</v>
      </c>
      <c r="O368" s="96" t="str">
        <f>IFERROR(__xludf.DUMMYFUNCTION("""COMPUTED_VALUE"""),"LABOUR  BOY")</f>
        <v>LABOUR  BOY</v>
      </c>
      <c r="P368" s="96" t="str">
        <f>IFERROR(__xludf.DUMMYFUNCTION("""COMPUTED_VALUE"""),"wages")</f>
        <v>wages</v>
      </c>
      <c r="Q368" s="99">
        <f>IFERROR(__xludf.DUMMYFUNCTION("""COMPUTED_VALUE"""),22500.0)</f>
        <v>22500</v>
      </c>
      <c r="R368" s="96" t="str">
        <f>IFERROR(__xludf.DUMMYFUNCTION("""COMPUTED_VALUE"""),"General Expenses")</f>
        <v>General Expenses</v>
      </c>
      <c r="S368" s="99">
        <f>IFERROR(__xludf.DUMMYFUNCTION("""COMPUTED_VALUE"""),0.0)</f>
        <v>0</v>
      </c>
      <c r="T368" s="99">
        <f>IFERROR(__xludf.DUMMYFUNCTION("""COMPUTED_VALUE"""),22500.0)</f>
        <v>22500</v>
      </c>
      <c r="U368" s="99">
        <f>IFERROR(__xludf.DUMMYFUNCTION("""COMPUTED_VALUE"""),0.0)</f>
        <v>0</v>
      </c>
      <c r="V368" s="99">
        <f>IFERROR(__xludf.DUMMYFUNCTION("""COMPUTED_VALUE"""),0.0)</f>
        <v>0</v>
      </c>
      <c r="W368" s="99">
        <f>IFERROR(__xludf.DUMMYFUNCTION("""COMPUTED_VALUE"""),0.0)</f>
        <v>0</v>
      </c>
    </row>
    <row r="369">
      <c r="N369" s="98">
        <f>IFERROR(__xludf.DUMMYFUNCTION("""COMPUTED_VALUE"""),44058.0)</f>
        <v>44058</v>
      </c>
      <c r="O369" s="96" t="str">
        <f>IFERROR(__xludf.DUMMYFUNCTION("""COMPUTED_VALUE"""),"BLESSING CHAPMAN")</f>
        <v>BLESSING CHAPMAN</v>
      </c>
      <c r="P369" s="96" t="str">
        <f>IFERROR(__xludf.DUMMYFUNCTION("""COMPUTED_VALUE"""),"cash collected")</f>
        <v>cash collected</v>
      </c>
      <c r="Q369" s="99">
        <f>IFERROR(__xludf.DUMMYFUNCTION("""COMPUTED_VALUE"""),805500.0)</f>
        <v>805500</v>
      </c>
      <c r="R369" s="96" t="str">
        <f>IFERROR(__xludf.DUMMYFUNCTION("""COMPUTED_VALUE"""),"Petty Cash")</f>
        <v>Petty Cash</v>
      </c>
      <c r="S369" s="99">
        <f>IFERROR(__xludf.DUMMYFUNCTION("""COMPUTED_VALUE"""),0.0)</f>
        <v>0</v>
      </c>
      <c r="T369" s="99">
        <f>IFERROR(__xludf.DUMMYFUNCTION("""COMPUTED_VALUE"""),0.0)</f>
        <v>0</v>
      </c>
      <c r="U369" s="99">
        <f>IFERROR(__xludf.DUMMYFUNCTION("""COMPUTED_VALUE"""),0.0)</f>
        <v>0</v>
      </c>
      <c r="V369" s="99">
        <f>IFERROR(__xludf.DUMMYFUNCTION("""COMPUTED_VALUE"""),805500.0)</f>
        <v>805500</v>
      </c>
      <c r="W369" s="99">
        <f>IFERROR(__xludf.DUMMYFUNCTION("""COMPUTED_VALUE"""),0.0)</f>
        <v>0</v>
      </c>
    </row>
    <row r="370">
      <c r="N370" s="98">
        <f>IFERROR(__xludf.DUMMYFUNCTION("""COMPUTED_VALUE"""),44058.0)</f>
        <v>44058</v>
      </c>
      <c r="O370" s="96" t="str">
        <f>IFERROR(__xludf.DUMMYFUNCTION("""COMPUTED_VALUE"""),"DIRECTOR")</f>
        <v>DIRECTOR</v>
      </c>
      <c r="P370" s="96" t="str">
        <f>IFERROR(__xludf.DUMMYFUNCTION("""COMPUTED_VALUE"""),"cash-in (transfered)")</f>
        <v>cash-in (transfered)</v>
      </c>
      <c r="Q370" s="99">
        <f>IFERROR(__xludf.DUMMYFUNCTION("""COMPUTED_VALUE"""),355880.0)</f>
        <v>355880</v>
      </c>
      <c r="R370" s="96" t="str">
        <f>IFERROR(__xludf.DUMMYFUNCTION("""COMPUTED_VALUE"""),"From Bank")</f>
        <v>From Bank</v>
      </c>
      <c r="S370" s="99">
        <f>IFERROR(__xludf.DUMMYFUNCTION("""COMPUTED_VALUE"""),0.0)</f>
        <v>0</v>
      </c>
      <c r="T370" s="99">
        <f>IFERROR(__xludf.DUMMYFUNCTION("""COMPUTED_VALUE"""),0.0)</f>
        <v>0</v>
      </c>
      <c r="U370" s="99">
        <f>IFERROR(__xludf.DUMMYFUNCTION("""COMPUTED_VALUE"""),355880.0)</f>
        <v>355880</v>
      </c>
      <c r="V370" s="99">
        <f>IFERROR(__xludf.DUMMYFUNCTION("""COMPUTED_VALUE"""),0.0)</f>
        <v>0</v>
      </c>
      <c r="W370" s="99">
        <f>IFERROR(__xludf.DUMMYFUNCTION("""COMPUTED_VALUE"""),0.0)</f>
        <v>0</v>
      </c>
    </row>
    <row r="371">
      <c r="N371" s="98">
        <f>IFERROR(__xludf.DUMMYFUNCTION("""COMPUTED_VALUE"""),44060.0)</f>
        <v>44060</v>
      </c>
      <c r="O371" s="96" t="str">
        <f>IFERROR(__xludf.DUMMYFUNCTION("""COMPUTED_VALUE"""),"A. D. FREDERICK")</f>
        <v>A. D. FREDERICK</v>
      </c>
      <c r="P371" s="96" t="str">
        <f>IFERROR(__xludf.DUMMYFUNCTION("""COMPUTED_VALUE"""),"Advance")</f>
        <v>Advance</v>
      </c>
      <c r="Q371" s="99">
        <f>IFERROR(__xludf.DUMMYFUNCTION("""COMPUTED_VALUE"""),150000.0)</f>
        <v>150000</v>
      </c>
      <c r="R371" s="96" t="str">
        <f>IFERROR(__xludf.DUMMYFUNCTION("""COMPUTED_VALUE"""),"Prefinance")</f>
        <v>Prefinance</v>
      </c>
      <c r="S371" s="99">
        <f>IFERROR(__xludf.DUMMYFUNCTION("""COMPUTED_VALUE"""),0.0)</f>
        <v>0</v>
      </c>
      <c r="T371" s="99">
        <f>IFERROR(__xludf.DUMMYFUNCTION("""COMPUTED_VALUE"""),0.0)</f>
        <v>0</v>
      </c>
      <c r="U371" s="99">
        <f>IFERROR(__xludf.DUMMYFUNCTION("""COMPUTED_VALUE"""),0.0)</f>
        <v>0</v>
      </c>
      <c r="V371" s="99">
        <f>IFERROR(__xludf.DUMMYFUNCTION("""COMPUTED_VALUE"""),0.0)</f>
        <v>0</v>
      </c>
      <c r="W371" s="99">
        <f>IFERROR(__xludf.DUMMYFUNCTION("""COMPUTED_VALUE"""),0.0)</f>
        <v>0</v>
      </c>
    </row>
    <row r="372">
      <c r="N372" s="98">
        <f>IFERROR(__xludf.DUMMYFUNCTION("""COMPUTED_VALUE"""),44060.0)</f>
        <v>44060</v>
      </c>
      <c r="O372" s="96" t="str">
        <f>IFERROR(__xludf.DUMMYFUNCTION("""COMPUTED_VALUE"""),"LIVINUS")</f>
        <v>LIVINUS</v>
      </c>
      <c r="P372" s="96" t="str">
        <f>IFERROR(__xludf.DUMMYFUNCTION("""COMPUTED_VALUE"""),"Advance")</f>
        <v>Advance</v>
      </c>
      <c r="Q372" s="99">
        <f>IFERROR(__xludf.DUMMYFUNCTION("""COMPUTED_VALUE"""),1427500.0)</f>
        <v>1427500</v>
      </c>
      <c r="R372" s="96" t="str">
        <f>IFERROR(__xludf.DUMMYFUNCTION("""COMPUTED_VALUE"""),"Prefinance")</f>
        <v>Prefinance</v>
      </c>
      <c r="S372" s="99">
        <f>IFERROR(__xludf.DUMMYFUNCTION("""COMPUTED_VALUE"""),0.0)</f>
        <v>0</v>
      </c>
      <c r="T372" s="99">
        <f>IFERROR(__xludf.DUMMYFUNCTION("""COMPUTED_VALUE"""),0.0)</f>
        <v>0</v>
      </c>
      <c r="U372" s="99">
        <f>IFERROR(__xludf.DUMMYFUNCTION("""COMPUTED_VALUE"""),0.0)</f>
        <v>0</v>
      </c>
      <c r="V372" s="99">
        <f>IFERROR(__xludf.DUMMYFUNCTION("""COMPUTED_VALUE"""),0.0)</f>
        <v>0</v>
      </c>
      <c r="W372" s="99">
        <f>IFERROR(__xludf.DUMMYFUNCTION("""COMPUTED_VALUE"""),0.0)</f>
        <v>0</v>
      </c>
    </row>
    <row r="373">
      <c r="N373" s="98">
        <f>IFERROR(__xludf.DUMMYFUNCTION("""COMPUTED_VALUE"""),44060.0)</f>
        <v>44060</v>
      </c>
      <c r="O373" s="96" t="str">
        <f>IFERROR(__xludf.DUMMYFUNCTION("""COMPUTED_VALUE"""),"KARIEN EBAN")</f>
        <v>KARIEN EBAN</v>
      </c>
      <c r="P373" s="96" t="str">
        <f>IFERROR(__xludf.DUMMYFUNCTION("""COMPUTED_VALUE"""),"Advance")</f>
        <v>Advance</v>
      </c>
      <c r="Q373" s="99">
        <f>IFERROR(__xludf.DUMMYFUNCTION("""COMPUTED_VALUE"""),2000000.0)</f>
        <v>2000000</v>
      </c>
      <c r="R373" s="96" t="str">
        <f>IFERROR(__xludf.DUMMYFUNCTION("""COMPUTED_VALUE"""),"Prefinance")</f>
        <v>Prefinance</v>
      </c>
      <c r="S373" s="99">
        <f>IFERROR(__xludf.DUMMYFUNCTION("""COMPUTED_VALUE"""),0.0)</f>
        <v>0</v>
      </c>
      <c r="T373" s="99">
        <f>IFERROR(__xludf.DUMMYFUNCTION("""COMPUTED_VALUE"""),0.0)</f>
        <v>0</v>
      </c>
      <c r="U373" s="99">
        <f>IFERROR(__xludf.DUMMYFUNCTION("""COMPUTED_VALUE"""),0.0)</f>
        <v>0</v>
      </c>
      <c r="V373" s="99">
        <f>IFERROR(__xludf.DUMMYFUNCTION("""COMPUTED_VALUE"""),0.0)</f>
        <v>0</v>
      </c>
      <c r="W373" s="99">
        <f>IFERROR(__xludf.DUMMYFUNCTION("""COMPUTED_VALUE"""),0.0)</f>
        <v>0</v>
      </c>
    </row>
    <row r="374">
      <c r="N374" s="98">
        <f>IFERROR(__xludf.DUMMYFUNCTION("""COMPUTED_VALUE"""),44060.0)</f>
        <v>44060</v>
      </c>
      <c r="O374" s="96" t="str">
        <f>IFERROR(__xludf.DUMMYFUNCTION("""COMPUTED_VALUE"""),"MATIAT LOVE")</f>
        <v>MATIAT LOVE</v>
      </c>
      <c r="P374" s="96" t="str">
        <f>IFERROR(__xludf.DUMMYFUNCTION("""COMPUTED_VALUE"""),"Advance payment")</f>
        <v>Advance payment</v>
      </c>
      <c r="Q374" s="99">
        <f>IFERROR(__xludf.DUMMYFUNCTION("""COMPUTED_VALUE"""),5000.0)</f>
        <v>5000</v>
      </c>
      <c r="R374" s="96" t="str">
        <f>IFERROR(__xludf.DUMMYFUNCTION("""COMPUTED_VALUE"""),"Prefinance")</f>
        <v>Prefinance</v>
      </c>
      <c r="S374" s="99">
        <f>IFERROR(__xludf.DUMMYFUNCTION("""COMPUTED_VALUE"""),0.0)</f>
        <v>0</v>
      </c>
      <c r="T374" s="99">
        <f>IFERROR(__xludf.DUMMYFUNCTION("""COMPUTED_VALUE"""),0.0)</f>
        <v>0</v>
      </c>
      <c r="U374" s="99">
        <f>IFERROR(__xludf.DUMMYFUNCTION("""COMPUTED_VALUE"""),0.0)</f>
        <v>0</v>
      </c>
      <c r="V374" s="99">
        <f>IFERROR(__xludf.DUMMYFUNCTION("""COMPUTED_VALUE"""),0.0)</f>
        <v>0</v>
      </c>
      <c r="W374" s="99">
        <f>IFERROR(__xludf.DUMMYFUNCTION("""COMPUTED_VALUE"""),0.0)</f>
        <v>0</v>
      </c>
    </row>
    <row r="375">
      <c r="N375" s="98">
        <f>IFERROR(__xludf.DUMMYFUNCTION("""COMPUTED_VALUE"""),44060.0)</f>
        <v>44060</v>
      </c>
      <c r="O375" s="96" t="str">
        <f>IFERROR(__xludf.DUMMYFUNCTION("""COMPUTED_VALUE"""),"DIRECTOR")</f>
        <v>DIRECTOR</v>
      </c>
      <c r="P375" s="96" t="str">
        <f>IFERROR(__xludf.DUMMYFUNCTION("""COMPUTED_VALUE"""),"Personal Use")</f>
        <v>Personal Use</v>
      </c>
      <c r="Q375" s="99">
        <f>IFERROR(__xludf.DUMMYFUNCTION("""COMPUTED_VALUE"""),5000.0)</f>
        <v>5000</v>
      </c>
      <c r="R375" s="96" t="str">
        <f>IFERROR(__xludf.DUMMYFUNCTION("""COMPUTED_VALUE"""),"General Expenses")</f>
        <v>General Expenses</v>
      </c>
      <c r="S375" s="99">
        <f>IFERROR(__xludf.DUMMYFUNCTION("""COMPUTED_VALUE"""),0.0)</f>
        <v>0</v>
      </c>
      <c r="T375" s="99">
        <f>IFERROR(__xludf.DUMMYFUNCTION("""COMPUTED_VALUE"""),5000.0)</f>
        <v>5000</v>
      </c>
      <c r="U375" s="99">
        <f>IFERROR(__xludf.DUMMYFUNCTION("""COMPUTED_VALUE"""),0.0)</f>
        <v>0</v>
      </c>
      <c r="V375" s="99">
        <f>IFERROR(__xludf.DUMMYFUNCTION("""COMPUTED_VALUE"""),0.0)</f>
        <v>0</v>
      </c>
      <c r="W375" s="99">
        <f>IFERROR(__xludf.DUMMYFUNCTION("""COMPUTED_VALUE"""),0.0)</f>
        <v>0</v>
      </c>
    </row>
    <row r="376">
      <c r="N376" s="98">
        <f>IFERROR(__xludf.DUMMYFUNCTION("""COMPUTED_VALUE"""),44060.0)</f>
        <v>44060</v>
      </c>
      <c r="O376" s="96" t="str">
        <f>IFERROR(__xludf.DUMMYFUNCTION("""COMPUTED_VALUE"""),"DIAMOND")</f>
        <v>DIAMOND</v>
      </c>
      <c r="P376" s="96" t="str">
        <f>IFERROR(__xludf.DUMMYFUNCTION("""COMPUTED_VALUE"""),"Repairs")</f>
        <v>Repairs</v>
      </c>
      <c r="Q376" s="99">
        <f>IFERROR(__xludf.DUMMYFUNCTION("""COMPUTED_VALUE"""),6500.0)</f>
        <v>6500</v>
      </c>
      <c r="R376" s="96" t="str">
        <f>IFERROR(__xludf.DUMMYFUNCTION("""COMPUTED_VALUE"""),"General Expenses")</f>
        <v>General Expenses</v>
      </c>
      <c r="S376" s="99">
        <f>IFERROR(__xludf.DUMMYFUNCTION("""COMPUTED_VALUE"""),0.0)</f>
        <v>0</v>
      </c>
      <c r="T376" s="99">
        <f>IFERROR(__xludf.DUMMYFUNCTION("""COMPUTED_VALUE"""),6500.0)</f>
        <v>6500</v>
      </c>
      <c r="U376" s="99">
        <f>IFERROR(__xludf.DUMMYFUNCTION("""COMPUTED_VALUE"""),0.0)</f>
        <v>0</v>
      </c>
      <c r="V376" s="99">
        <f>IFERROR(__xludf.DUMMYFUNCTION("""COMPUTED_VALUE"""),0.0)</f>
        <v>0</v>
      </c>
      <c r="W376" s="99">
        <f>IFERROR(__xludf.DUMMYFUNCTION("""COMPUTED_VALUE"""),0.0)</f>
        <v>0</v>
      </c>
    </row>
    <row r="377">
      <c r="N377" s="98">
        <f>IFERROR(__xludf.DUMMYFUNCTION("""COMPUTED_VALUE"""),44060.0)</f>
        <v>44060</v>
      </c>
      <c r="O377" s="96" t="str">
        <f>IFERROR(__xludf.DUMMYFUNCTION("""COMPUTED_VALUE"""),"EGBA")</f>
        <v>EGBA</v>
      </c>
      <c r="P377" s="96" t="str">
        <f>IFERROR(__xludf.DUMMYFUNCTION("""COMPUTED_VALUE"""),"Haullage")</f>
        <v>Haullage</v>
      </c>
      <c r="Q377" s="99">
        <f>IFERROR(__xludf.DUMMYFUNCTION("""COMPUTED_VALUE"""),7000.0)</f>
        <v>7000</v>
      </c>
      <c r="R377" s="96" t="str">
        <f>IFERROR(__xludf.DUMMYFUNCTION("""COMPUTED_VALUE"""),"General Expenses")</f>
        <v>General Expenses</v>
      </c>
      <c r="S377" s="99">
        <f>IFERROR(__xludf.DUMMYFUNCTION("""COMPUTED_VALUE"""),0.0)</f>
        <v>0</v>
      </c>
      <c r="T377" s="99">
        <f>IFERROR(__xludf.DUMMYFUNCTION("""COMPUTED_VALUE"""),7000.0)</f>
        <v>7000</v>
      </c>
      <c r="U377" s="99">
        <f>IFERROR(__xludf.DUMMYFUNCTION("""COMPUTED_VALUE"""),0.0)</f>
        <v>0</v>
      </c>
      <c r="V377" s="99">
        <f>IFERROR(__xludf.DUMMYFUNCTION("""COMPUTED_VALUE"""),0.0)</f>
        <v>0</v>
      </c>
      <c r="W377" s="99">
        <f>IFERROR(__xludf.DUMMYFUNCTION("""COMPUTED_VALUE"""),0.0)</f>
        <v>0</v>
      </c>
    </row>
    <row r="378">
      <c r="N378" s="98">
        <f>IFERROR(__xludf.DUMMYFUNCTION("""COMPUTED_VALUE"""),44060.0)</f>
        <v>44060</v>
      </c>
      <c r="O378" s="96" t="str">
        <f>IFERROR(__xludf.DUMMYFUNCTION("""COMPUTED_VALUE"""),"LABOUR  BOY")</f>
        <v>LABOUR  BOY</v>
      </c>
      <c r="P378" s="96" t="str">
        <f>IFERROR(__xludf.DUMMYFUNCTION("""COMPUTED_VALUE"""),"wages balance")</f>
        <v>wages balance</v>
      </c>
      <c r="Q378" s="99">
        <f>IFERROR(__xludf.DUMMYFUNCTION("""COMPUTED_VALUE"""),2100.0)</f>
        <v>2100</v>
      </c>
      <c r="R378" s="96" t="str">
        <f>IFERROR(__xludf.DUMMYFUNCTION("""COMPUTED_VALUE"""),"General Expenses")</f>
        <v>General Expenses</v>
      </c>
      <c r="S378" s="99">
        <f>IFERROR(__xludf.DUMMYFUNCTION("""COMPUTED_VALUE"""),0.0)</f>
        <v>0</v>
      </c>
      <c r="T378" s="99">
        <f>IFERROR(__xludf.DUMMYFUNCTION("""COMPUTED_VALUE"""),2100.0)</f>
        <v>2100</v>
      </c>
      <c r="U378" s="99">
        <f>IFERROR(__xludf.DUMMYFUNCTION("""COMPUTED_VALUE"""),0.0)</f>
        <v>0</v>
      </c>
      <c r="V378" s="99">
        <f>IFERROR(__xludf.DUMMYFUNCTION("""COMPUTED_VALUE"""),0.0)</f>
        <v>0</v>
      </c>
      <c r="W378" s="99">
        <f>IFERROR(__xludf.DUMMYFUNCTION("""COMPUTED_VALUE"""),0.0)</f>
        <v>0</v>
      </c>
    </row>
    <row r="379">
      <c r="N379" s="98">
        <f>IFERROR(__xludf.DUMMYFUNCTION("""COMPUTED_VALUE"""),44060.0)</f>
        <v>44060</v>
      </c>
      <c r="O379" s="96" t="str">
        <f>IFERROR(__xludf.DUMMYFUNCTION("""COMPUTED_VALUE"""),"LABOUR  BOY")</f>
        <v>LABOUR  BOY</v>
      </c>
      <c r="P379" s="96" t="str">
        <f>IFERROR(__xludf.DUMMYFUNCTION("""COMPUTED_VALUE"""),"Advance wages")</f>
        <v>Advance wages</v>
      </c>
      <c r="Q379" s="99">
        <f>IFERROR(__xludf.DUMMYFUNCTION("""COMPUTED_VALUE"""),3000.0)</f>
        <v>3000</v>
      </c>
      <c r="R379" s="96" t="str">
        <f>IFERROR(__xludf.DUMMYFUNCTION("""COMPUTED_VALUE"""),"General Expenses")</f>
        <v>General Expenses</v>
      </c>
      <c r="S379" s="99">
        <f>IFERROR(__xludf.DUMMYFUNCTION("""COMPUTED_VALUE"""),0.0)</f>
        <v>0</v>
      </c>
      <c r="T379" s="99">
        <f>IFERROR(__xludf.DUMMYFUNCTION("""COMPUTED_VALUE"""),3000.0)</f>
        <v>3000</v>
      </c>
      <c r="U379" s="99">
        <f>IFERROR(__xludf.DUMMYFUNCTION("""COMPUTED_VALUE"""),0.0)</f>
        <v>0</v>
      </c>
      <c r="V379" s="99">
        <f>IFERROR(__xludf.DUMMYFUNCTION("""COMPUTED_VALUE"""),0.0)</f>
        <v>0</v>
      </c>
      <c r="W379" s="99">
        <f>IFERROR(__xludf.DUMMYFUNCTION("""COMPUTED_VALUE"""),0.0)</f>
        <v>0</v>
      </c>
    </row>
    <row r="380">
      <c r="N380" s="98">
        <f>IFERROR(__xludf.DUMMYFUNCTION("""COMPUTED_VALUE"""),44060.0)</f>
        <v>44060</v>
      </c>
      <c r="O380" s="96" t="str">
        <f>IFERROR(__xludf.DUMMYFUNCTION("""COMPUTED_VALUE"""),"MECHANIC")</f>
        <v>MECHANIC</v>
      </c>
      <c r="P380" s="96" t="str">
        <f>IFERROR(__xludf.DUMMYFUNCTION("""COMPUTED_VALUE"""),"MOTOR REPAIRS")</f>
        <v>MOTOR REPAIRS</v>
      </c>
      <c r="Q380" s="99">
        <f>IFERROR(__xludf.DUMMYFUNCTION("""COMPUTED_VALUE"""),2000.0)</f>
        <v>2000</v>
      </c>
      <c r="R380" s="96" t="str">
        <f>IFERROR(__xludf.DUMMYFUNCTION("""COMPUTED_VALUE"""),"General Expenses")</f>
        <v>General Expenses</v>
      </c>
      <c r="S380" s="99">
        <f>IFERROR(__xludf.DUMMYFUNCTION("""COMPUTED_VALUE"""),0.0)</f>
        <v>0</v>
      </c>
      <c r="T380" s="99">
        <f>IFERROR(__xludf.DUMMYFUNCTION("""COMPUTED_VALUE"""),2000.0)</f>
        <v>2000</v>
      </c>
      <c r="U380" s="99">
        <f>IFERROR(__xludf.DUMMYFUNCTION("""COMPUTED_VALUE"""),0.0)</f>
        <v>0</v>
      </c>
      <c r="V380" s="99">
        <f>IFERROR(__xludf.DUMMYFUNCTION("""COMPUTED_VALUE"""),0.0)</f>
        <v>0</v>
      </c>
      <c r="W380" s="99">
        <f>IFERROR(__xludf.DUMMYFUNCTION("""COMPUTED_VALUE"""),0.0)</f>
        <v>0</v>
      </c>
    </row>
    <row r="381">
      <c r="N381" s="98">
        <f>IFERROR(__xludf.DUMMYFUNCTION("""COMPUTED_VALUE"""),44060.0)</f>
        <v>44060</v>
      </c>
      <c r="O381" s="96" t="str">
        <f>IFERROR(__xludf.DUMMYFUNCTION("""COMPUTED_VALUE"""),"ABANGS. HNSON")</f>
        <v>ABANGS. HNSON</v>
      </c>
      <c r="P381" s="96" t="str">
        <f>IFERROR(__xludf.DUMMYFUNCTION("""COMPUTED_VALUE"""),"DIRECTOR ORDER")</f>
        <v>DIRECTOR ORDER</v>
      </c>
      <c r="Q381" s="99">
        <f>IFERROR(__xludf.DUMMYFUNCTION("""COMPUTED_VALUE"""),25000.0)</f>
        <v>25000</v>
      </c>
      <c r="R381" s="96" t="str">
        <f>IFERROR(__xludf.DUMMYFUNCTION("""COMPUTED_VALUE"""),"General Expenses")</f>
        <v>General Expenses</v>
      </c>
      <c r="S381" s="99">
        <f>IFERROR(__xludf.DUMMYFUNCTION("""COMPUTED_VALUE"""),0.0)</f>
        <v>0</v>
      </c>
      <c r="T381" s="99">
        <f>IFERROR(__xludf.DUMMYFUNCTION("""COMPUTED_VALUE"""),25000.0)</f>
        <v>25000</v>
      </c>
      <c r="U381" s="99">
        <f>IFERROR(__xludf.DUMMYFUNCTION("""COMPUTED_VALUE"""),0.0)</f>
        <v>0</v>
      </c>
      <c r="V381" s="99">
        <f>IFERROR(__xludf.DUMMYFUNCTION("""COMPUTED_VALUE"""),0.0)</f>
        <v>0</v>
      </c>
      <c r="W381" s="99">
        <f>IFERROR(__xludf.DUMMYFUNCTION("""COMPUTED_VALUE"""),0.0)</f>
        <v>0</v>
      </c>
    </row>
    <row r="382">
      <c r="N382" s="98">
        <f>IFERROR(__xludf.DUMMYFUNCTION("""COMPUTED_VALUE"""),44060.0)</f>
        <v>44060</v>
      </c>
      <c r="O382" s="96" t="str">
        <f>IFERROR(__xludf.DUMMYFUNCTION("""COMPUTED_VALUE"""),"OLAM STAFF")</f>
        <v>OLAM STAFF</v>
      </c>
      <c r="P382" s="96" t="str">
        <f>IFERROR(__xludf.DUMMYFUNCTION("""COMPUTED_VALUE"""),"DIRECTOR ORDER")</f>
        <v>DIRECTOR ORDER</v>
      </c>
      <c r="Q382" s="99">
        <f>IFERROR(__xludf.DUMMYFUNCTION("""COMPUTED_VALUE"""),43000.0)</f>
        <v>43000</v>
      </c>
      <c r="R382" s="96" t="str">
        <f>IFERROR(__xludf.DUMMYFUNCTION("""COMPUTED_VALUE"""),"General Expenses")</f>
        <v>General Expenses</v>
      </c>
      <c r="S382" s="99">
        <f>IFERROR(__xludf.DUMMYFUNCTION("""COMPUTED_VALUE"""),0.0)</f>
        <v>0</v>
      </c>
      <c r="T382" s="99">
        <f>IFERROR(__xludf.DUMMYFUNCTION("""COMPUTED_VALUE"""),43000.0)</f>
        <v>43000</v>
      </c>
      <c r="U382" s="99">
        <f>IFERROR(__xludf.DUMMYFUNCTION("""COMPUTED_VALUE"""),0.0)</f>
        <v>0</v>
      </c>
      <c r="V382" s="99">
        <f>IFERROR(__xludf.DUMMYFUNCTION("""COMPUTED_VALUE"""),0.0)</f>
        <v>0</v>
      </c>
      <c r="W382" s="99">
        <f>IFERROR(__xludf.DUMMYFUNCTION("""COMPUTED_VALUE"""),0.0)</f>
        <v>0</v>
      </c>
    </row>
    <row r="383">
      <c r="N383" s="98">
        <f>IFERROR(__xludf.DUMMYFUNCTION("""COMPUTED_VALUE"""),44060.0)</f>
        <v>44060</v>
      </c>
      <c r="O383" s="96" t="str">
        <f>IFERROR(__xludf.DUMMYFUNCTION("""COMPUTED_VALUE"""),"POLICE")</f>
        <v>POLICE</v>
      </c>
      <c r="P383" s="96" t="str">
        <f>IFERROR(__xludf.DUMMYFUNCTION("""COMPUTED_VALUE"""),"DIRECTOR ORDER")</f>
        <v>DIRECTOR ORDER</v>
      </c>
      <c r="Q383" s="99">
        <f>IFERROR(__xludf.DUMMYFUNCTION("""COMPUTED_VALUE"""),4000.0)</f>
        <v>4000</v>
      </c>
      <c r="R383" s="96" t="str">
        <f>IFERROR(__xludf.DUMMYFUNCTION("""COMPUTED_VALUE"""),"General Expenses")</f>
        <v>General Expenses</v>
      </c>
      <c r="S383" s="99">
        <f>IFERROR(__xludf.DUMMYFUNCTION("""COMPUTED_VALUE"""),0.0)</f>
        <v>0</v>
      </c>
      <c r="T383" s="99">
        <f>IFERROR(__xludf.DUMMYFUNCTION("""COMPUTED_VALUE"""),4000.0)</f>
        <v>4000</v>
      </c>
      <c r="U383" s="99">
        <f>IFERROR(__xludf.DUMMYFUNCTION("""COMPUTED_VALUE"""),0.0)</f>
        <v>0</v>
      </c>
      <c r="V383" s="99">
        <f>IFERROR(__xludf.DUMMYFUNCTION("""COMPUTED_VALUE"""),0.0)</f>
        <v>0</v>
      </c>
      <c r="W383" s="99">
        <f>IFERROR(__xludf.DUMMYFUNCTION("""COMPUTED_VALUE"""),0.0)</f>
        <v>0</v>
      </c>
    </row>
    <row r="384">
      <c r="N384" s="98">
        <f>IFERROR(__xludf.DUMMYFUNCTION("""COMPUTED_VALUE"""),44060.0)</f>
        <v>44060</v>
      </c>
      <c r="O384" s="96" t="str">
        <f>IFERROR(__xludf.DUMMYFUNCTION("""COMPUTED_VALUE"""),"EZE")</f>
        <v>EZE</v>
      </c>
      <c r="P384" s="96" t="str">
        <f>IFERROR(__xludf.DUMMYFUNCTION("""COMPUTED_VALUE"""),"FULE")</f>
        <v>FULE</v>
      </c>
      <c r="Q384" s="99">
        <f>IFERROR(__xludf.DUMMYFUNCTION("""COMPUTED_VALUE"""),5000.0)</f>
        <v>5000</v>
      </c>
      <c r="R384" s="96" t="str">
        <f>IFERROR(__xludf.DUMMYFUNCTION("""COMPUTED_VALUE"""),"General Expenses")</f>
        <v>General Expenses</v>
      </c>
      <c r="S384" s="99">
        <f>IFERROR(__xludf.DUMMYFUNCTION("""COMPUTED_VALUE"""),0.0)</f>
        <v>0</v>
      </c>
      <c r="T384" s="99">
        <f>IFERROR(__xludf.DUMMYFUNCTION("""COMPUTED_VALUE"""),5000.0)</f>
        <v>5000</v>
      </c>
      <c r="U384" s="99">
        <f>IFERROR(__xludf.DUMMYFUNCTION("""COMPUTED_VALUE"""),0.0)</f>
        <v>0</v>
      </c>
      <c r="V384" s="99">
        <f>IFERROR(__xludf.DUMMYFUNCTION("""COMPUTED_VALUE"""),0.0)</f>
        <v>0</v>
      </c>
      <c r="W384" s="99">
        <f>IFERROR(__xludf.DUMMYFUNCTION("""COMPUTED_VALUE"""),0.0)</f>
        <v>0</v>
      </c>
    </row>
    <row r="385">
      <c r="N385" s="98">
        <f>IFERROR(__xludf.DUMMYFUNCTION("""COMPUTED_VALUE"""),44060.0)</f>
        <v>44060</v>
      </c>
      <c r="O385" s="96" t="str">
        <f>IFERROR(__xludf.DUMMYFUNCTION("""COMPUTED_VALUE"""),"ESCORT PETER")</f>
        <v>ESCORT PETER</v>
      </c>
      <c r="P385" s="96" t="str">
        <f>IFERROR(__xludf.DUMMYFUNCTION("""COMPUTED_VALUE"""),"EXPENSE")</f>
        <v>EXPENSE</v>
      </c>
      <c r="Q385" s="99">
        <f>IFERROR(__xludf.DUMMYFUNCTION("""COMPUTED_VALUE"""),5000.0)</f>
        <v>5000</v>
      </c>
      <c r="R385" s="96" t="str">
        <f>IFERROR(__xludf.DUMMYFUNCTION("""COMPUTED_VALUE"""),"General Expenses")</f>
        <v>General Expenses</v>
      </c>
      <c r="S385" s="99">
        <f>IFERROR(__xludf.DUMMYFUNCTION("""COMPUTED_VALUE"""),0.0)</f>
        <v>0</v>
      </c>
      <c r="T385" s="99">
        <f>IFERROR(__xludf.DUMMYFUNCTION("""COMPUTED_VALUE"""),5000.0)</f>
        <v>5000</v>
      </c>
      <c r="U385" s="99">
        <f>IFERROR(__xludf.DUMMYFUNCTION("""COMPUTED_VALUE"""),0.0)</f>
        <v>0</v>
      </c>
      <c r="V385" s="99">
        <f>IFERROR(__xludf.DUMMYFUNCTION("""COMPUTED_VALUE"""),0.0)</f>
        <v>0</v>
      </c>
      <c r="W385" s="99">
        <f>IFERROR(__xludf.DUMMYFUNCTION("""COMPUTED_VALUE"""),0.0)</f>
        <v>0</v>
      </c>
    </row>
    <row r="386">
      <c r="N386" s="98">
        <f>IFERROR(__xludf.DUMMYFUNCTION("""COMPUTED_VALUE"""),44060.0)</f>
        <v>44060</v>
      </c>
      <c r="O386" s="96" t="str">
        <f>IFERROR(__xludf.DUMMYFUNCTION("""COMPUTED_VALUE"""),"OD &amp; CO")</f>
        <v>OD &amp; CO</v>
      </c>
      <c r="P386" s="96" t="str">
        <f>IFERROR(__xludf.DUMMYFUNCTION("""COMPUTED_VALUE"""),"TRANSPORT")</f>
        <v>TRANSPORT</v>
      </c>
      <c r="Q386" s="99">
        <f>IFERROR(__xludf.DUMMYFUNCTION("""COMPUTED_VALUE"""),73000.0)</f>
        <v>73000</v>
      </c>
      <c r="R386" s="96" t="str">
        <f>IFERROR(__xludf.DUMMYFUNCTION("""COMPUTED_VALUE"""),"General Expenses")</f>
        <v>General Expenses</v>
      </c>
      <c r="S386" s="99">
        <f>IFERROR(__xludf.DUMMYFUNCTION("""COMPUTED_VALUE"""),0.0)</f>
        <v>0</v>
      </c>
      <c r="T386" s="99">
        <f>IFERROR(__xludf.DUMMYFUNCTION("""COMPUTED_VALUE"""),73000.0)</f>
        <v>73000</v>
      </c>
      <c r="U386" s="99">
        <f>IFERROR(__xludf.DUMMYFUNCTION("""COMPUTED_VALUE"""),0.0)</f>
        <v>0</v>
      </c>
      <c r="V386" s="99">
        <f>IFERROR(__xludf.DUMMYFUNCTION("""COMPUTED_VALUE"""),0.0)</f>
        <v>0</v>
      </c>
      <c r="W386" s="99">
        <f>IFERROR(__xludf.DUMMYFUNCTION("""COMPUTED_VALUE"""),0.0)</f>
        <v>0</v>
      </c>
    </row>
    <row r="387">
      <c r="N387" s="98">
        <f>IFERROR(__xludf.DUMMYFUNCTION("""COMPUTED_VALUE"""),44060.0)</f>
        <v>44060</v>
      </c>
      <c r="O387" s="96" t="str">
        <f>IFERROR(__xludf.DUMMYFUNCTION("""COMPUTED_VALUE"""),"BLESSING CHAPMAN")</f>
        <v>BLESSING CHAPMAN</v>
      </c>
      <c r="P387" s="96" t="str">
        <f>IFERROR(__xludf.DUMMYFUNCTION("""COMPUTED_VALUE"""),"CASH COLLECED")</f>
        <v>CASH COLLECED</v>
      </c>
      <c r="Q387" s="99">
        <f>IFERROR(__xludf.DUMMYFUNCTION("""COMPUTED_VALUE"""),180600.0)</f>
        <v>180600</v>
      </c>
      <c r="R387" s="96" t="str">
        <f>IFERROR(__xludf.DUMMYFUNCTION("""COMPUTED_VALUE"""),"Petty Cash")</f>
        <v>Petty Cash</v>
      </c>
      <c r="S387" s="99">
        <f>IFERROR(__xludf.DUMMYFUNCTION("""COMPUTED_VALUE"""),0.0)</f>
        <v>0</v>
      </c>
      <c r="T387" s="99">
        <f>IFERROR(__xludf.DUMMYFUNCTION("""COMPUTED_VALUE"""),0.0)</f>
        <v>0</v>
      </c>
      <c r="U387" s="99">
        <f>IFERROR(__xludf.DUMMYFUNCTION("""COMPUTED_VALUE"""),0.0)</f>
        <v>0</v>
      </c>
      <c r="V387" s="99">
        <f>IFERROR(__xludf.DUMMYFUNCTION("""COMPUTED_VALUE"""),180600.0)</f>
        <v>180600</v>
      </c>
      <c r="W387" s="99">
        <f>IFERROR(__xludf.DUMMYFUNCTION("""COMPUTED_VALUE"""),0.0)</f>
        <v>0</v>
      </c>
    </row>
    <row r="388">
      <c r="N388" s="98">
        <f>IFERROR(__xludf.DUMMYFUNCTION("""COMPUTED_VALUE"""),44060.0)</f>
        <v>44060</v>
      </c>
      <c r="O388" s="96" t="str">
        <f>IFERROR(__xludf.DUMMYFUNCTION("""COMPUTED_VALUE"""),"MANAGER")</f>
        <v>MANAGER</v>
      </c>
      <c r="P388" s="96" t="str">
        <f>IFERROR(__xludf.DUMMYFUNCTION("""COMPUTED_VALUE"""),"CASH-IN")</f>
        <v>CASH-IN</v>
      </c>
      <c r="Q388" s="99">
        <f>IFERROR(__xludf.DUMMYFUNCTION("""COMPUTED_VALUE"""),4100000.0)</f>
        <v>4100000</v>
      </c>
      <c r="R388" s="96" t="str">
        <f>IFERROR(__xludf.DUMMYFUNCTION("""COMPUTED_VALUE"""),"From Bank")</f>
        <v>From Bank</v>
      </c>
      <c r="S388" s="99">
        <f>IFERROR(__xludf.DUMMYFUNCTION("""COMPUTED_VALUE"""),0.0)</f>
        <v>0</v>
      </c>
      <c r="T388" s="99">
        <f>IFERROR(__xludf.DUMMYFUNCTION("""COMPUTED_VALUE"""),0.0)</f>
        <v>0</v>
      </c>
      <c r="U388" s="99">
        <f>IFERROR(__xludf.DUMMYFUNCTION("""COMPUTED_VALUE"""),4100000.0)</f>
        <v>4100000</v>
      </c>
      <c r="V388" s="99">
        <f>IFERROR(__xludf.DUMMYFUNCTION("""COMPUTED_VALUE"""),0.0)</f>
        <v>0</v>
      </c>
      <c r="W388" s="99">
        <f>IFERROR(__xludf.DUMMYFUNCTION("""COMPUTED_VALUE"""),0.0)</f>
        <v>0</v>
      </c>
    </row>
    <row r="389">
      <c r="N389" s="98">
        <f>IFERROR(__xludf.DUMMYFUNCTION("""COMPUTED_VALUE"""),44061.0)</f>
        <v>44061</v>
      </c>
      <c r="O389" s="96" t="str">
        <f>IFERROR(__xludf.DUMMYFUNCTION("""COMPUTED_VALUE"""),"MATIAT LOVE")</f>
        <v>MATIAT LOVE</v>
      </c>
      <c r="P389" s="96" t="str">
        <f>IFERROR(__xludf.DUMMYFUNCTION("""COMPUTED_VALUE"""),"ADVANCE")</f>
        <v>ADVANCE</v>
      </c>
      <c r="Q389" s="99">
        <f>IFERROR(__xludf.DUMMYFUNCTION("""COMPUTED_VALUE"""),90500.0)</f>
        <v>90500</v>
      </c>
      <c r="R389" s="96" t="str">
        <f>IFERROR(__xludf.DUMMYFUNCTION("""COMPUTED_VALUE"""),"Prefinance")</f>
        <v>Prefinance</v>
      </c>
      <c r="S389" s="99">
        <f>IFERROR(__xludf.DUMMYFUNCTION("""COMPUTED_VALUE"""),0.0)</f>
        <v>0</v>
      </c>
      <c r="T389" s="99">
        <f>IFERROR(__xludf.DUMMYFUNCTION("""COMPUTED_VALUE"""),0.0)</f>
        <v>0</v>
      </c>
      <c r="U389" s="99">
        <f>IFERROR(__xludf.DUMMYFUNCTION("""COMPUTED_VALUE"""),0.0)</f>
        <v>0</v>
      </c>
      <c r="V389" s="99">
        <f>IFERROR(__xludf.DUMMYFUNCTION("""COMPUTED_VALUE"""),0.0)</f>
        <v>0</v>
      </c>
      <c r="W389" s="99">
        <f>IFERROR(__xludf.DUMMYFUNCTION("""COMPUTED_VALUE"""),0.0)</f>
        <v>0</v>
      </c>
    </row>
    <row r="390">
      <c r="N390" s="98">
        <f>IFERROR(__xludf.DUMMYFUNCTION("""COMPUTED_VALUE"""),44061.0)</f>
        <v>44061</v>
      </c>
      <c r="O390" s="96" t="str">
        <f>IFERROR(__xludf.DUMMYFUNCTION("""COMPUTED_VALUE"""),"DIAMOND")</f>
        <v>DIAMOND</v>
      </c>
      <c r="P390" s="96" t="str">
        <f>IFERROR(__xludf.DUMMYFUNCTION("""COMPUTED_VALUE"""),"DIRECTOR'S CAR REPAIRS")</f>
        <v>DIRECTOR'S CAR REPAIRS</v>
      </c>
      <c r="Q390" s="99">
        <f>IFERROR(__xludf.DUMMYFUNCTION("""COMPUTED_VALUE"""),4000.0)</f>
        <v>4000</v>
      </c>
      <c r="R390" s="96" t="str">
        <f>IFERROR(__xludf.DUMMYFUNCTION("""COMPUTED_VALUE"""),"General Expenses")</f>
        <v>General Expenses</v>
      </c>
      <c r="S390" s="99">
        <f>IFERROR(__xludf.DUMMYFUNCTION("""COMPUTED_VALUE"""),0.0)</f>
        <v>0</v>
      </c>
      <c r="T390" s="99">
        <f>IFERROR(__xludf.DUMMYFUNCTION("""COMPUTED_VALUE"""),4000.0)</f>
        <v>4000</v>
      </c>
      <c r="U390" s="99">
        <f>IFERROR(__xludf.DUMMYFUNCTION("""COMPUTED_VALUE"""),0.0)</f>
        <v>0</v>
      </c>
      <c r="V390" s="99">
        <f>IFERROR(__xludf.DUMMYFUNCTION("""COMPUTED_VALUE"""),0.0)</f>
        <v>0</v>
      </c>
      <c r="W390" s="99">
        <f>IFERROR(__xludf.DUMMYFUNCTION("""COMPUTED_VALUE"""),0.0)</f>
        <v>0</v>
      </c>
    </row>
    <row r="391">
      <c r="N391" s="98">
        <f>IFERROR(__xludf.DUMMYFUNCTION("""COMPUTED_VALUE"""),44061.0)</f>
        <v>44061</v>
      </c>
      <c r="O391" s="96" t="str">
        <f>IFERROR(__xludf.DUMMYFUNCTION("""COMPUTED_VALUE"""),"DIRECTOR")</f>
        <v>DIRECTOR</v>
      </c>
      <c r="P391" s="96" t="str">
        <f>IFERROR(__xludf.DUMMYFUNCTION("""COMPUTED_VALUE"""),"PERSONAL USE")</f>
        <v>PERSONAL USE</v>
      </c>
      <c r="Q391" s="99">
        <f>IFERROR(__xludf.DUMMYFUNCTION("""COMPUTED_VALUE"""),30000.0)</f>
        <v>30000</v>
      </c>
      <c r="R391" s="96" t="str">
        <f>IFERROR(__xludf.DUMMYFUNCTION("""COMPUTED_VALUE"""),"General Expenses")</f>
        <v>General Expenses</v>
      </c>
      <c r="S391" s="99">
        <f>IFERROR(__xludf.DUMMYFUNCTION("""COMPUTED_VALUE"""),0.0)</f>
        <v>0</v>
      </c>
      <c r="T391" s="99">
        <f>IFERROR(__xludf.DUMMYFUNCTION("""COMPUTED_VALUE"""),30000.0)</f>
        <v>30000</v>
      </c>
      <c r="U391" s="99">
        <f>IFERROR(__xludf.DUMMYFUNCTION("""COMPUTED_VALUE"""),0.0)</f>
        <v>0</v>
      </c>
      <c r="V391" s="99">
        <f>IFERROR(__xludf.DUMMYFUNCTION("""COMPUTED_VALUE"""),0.0)</f>
        <v>0</v>
      </c>
      <c r="W391" s="99">
        <f>IFERROR(__xludf.DUMMYFUNCTION("""COMPUTED_VALUE"""),0.0)</f>
        <v>0</v>
      </c>
    </row>
    <row r="392">
      <c r="N392" s="98">
        <f>IFERROR(__xludf.DUMMYFUNCTION("""COMPUTED_VALUE"""),44061.0)</f>
        <v>44061</v>
      </c>
      <c r="O392" s="96" t="str">
        <f>IFERROR(__xludf.DUMMYFUNCTION("""COMPUTED_VALUE"""),"BODES ESCORT")</f>
        <v>BODES ESCORT</v>
      </c>
      <c r="P392" s="96" t="str">
        <f>IFERROR(__xludf.DUMMYFUNCTION("""COMPUTED_VALUE"""),"ESCORT EXPENSE")</f>
        <v>ESCORT EXPENSE</v>
      </c>
      <c r="Q392" s="99">
        <f>IFERROR(__xludf.DUMMYFUNCTION("""COMPUTED_VALUE"""),70000.0)</f>
        <v>70000</v>
      </c>
      <c r="R392" s="96" t="str">
        <f>IFERROR(__xludf.DUMMYFUNCTION("""COMPUTED_VALUE"""),"General Expenses")</f>
        <v>General Expenses</v>
      </c>
      <c r="S392" s="99">
        <f>IFERROR(__xludf.DUMMYFUNCTION("""COMPUTED_VALUE"""),0.0)</f>
        <v>0</v>
      </c>
      <c r="T392" s="99">
        <f>IFERROR(__xludf.DUMMYFUNCTION("""COMPUTED_VALUE"""),70000.0)</f>
        <v>70000</v>
      </c>
      <c r="U392" s="99">
        <f>IFERROR(__xludf.DUMMYFUNCTION("""COMPUTED_VALUE"""),0.0)</f>
        <v>0</v>
      </c>
      <c r="V392" s="99">
        <f>IFERROR(__xludf.DUMMYFUNCTION("""COMPUTED_VALUE"""),0.0)</f>
        <v>0</v>
      </c>
      <c r="W392" s="99">
        <f>IFERROR(__xludf.DUMMYFUNCTION("""COMPUTED_VALUE"""),0.0)</f>
        <v>0</v>
      </c>
    </row>
    <row r="393">
      <c r="N393" s="98">
        <f>IFERROR(__xludf.DUMMYFUNCTION("""COMPUTED_VALUE"""),44061.0)</f>
        <v>44061</v>
      </c>
      <c r="O393" s="96" t="str">
        <f>IFERROR(__xludf.DUMMYFUNCTION("""COMPUTED_VALUE"""),"DAHIRU")</f>
        <v>DAHIRU</v>
      </c>
      <c r="P393" s="96" t="str">
        <f>IFERROR(__xludf.DUMMYFUNCTION("""COMPUTED_VALUE"""),"LORRY FEE")</f>
        <v>LORRY FEE</v>
      </c>
      <c r="Q393" s="99">
        <f>IFERROR(__xludf.DUMMYFUNCTION("""COMPUTED_VALUE"""),201000.0)</f>
        <v>201000</v>
      </c>
      <c r="R393" s="96" t="str">
        <f>IFERROR(__xludf.DUMMYFUNCTION("""COMPUTED_VALUE"""),"General Expenses")</f>
        <v>General Expenses</v>
      </c>
      <c r="S393" s="99">
        <f>IFERROR(__xludf.DUMMYFUNCTION("""COMPUTED_VALUE"""),0.0)</f>
        <v>0</v>
      </c>
      <c r="T393" s="99">
        <f>IFERROR(__xludf.DUMMYFUNCTION("""COMPUTED_VALUE"""),201000.0)</f>
        <v>201000</v>
      </c>
      <c r="U393" s="99">
        <f>IFERROR(__xludf.DUMMYFUNCTION("""COMPUTED_VALUE"""),0.0)</f>
        <v>0</v>
      </c>
      <c r="V393" s="99">
        <f>IFERROR(__xludf.DUMMYFUNCTION("""COMPUTED_VALUE"""),0.0)</f>
        <v>0</v>
      </c>
      <c r="W393" s="99">
        <f>IFERROR(__xludf.DUMMYFUNCTION("""COMPUTED_VALUE"""),0.0)</f>
        <v>0</v>
      </c>
    </row>
    <row r="394">
      <c r="N394" s="98">
        <f>IFERROR(__xludf.DUMMYFUNCTION("""COMPUTED_VALUE"""),44061.0)</f>
        <v>44061</v>
      </c>
      <c r="O394" s="96" t="str">
        <f>IFERROR(__xludf.DUMMYFUNCTION("""COMPUTED_VALUE"""),"BLESSING CHAPMAN")</f>
        <v>BLESSING CHAPMAN</v>
      </c>
      <c r="P394" s="96" t="str">
        <f>IFERROR(__xludf.DUMMYFUNCTION("""COMPUTED_VALUE"""),"INGREDIENT")</f>
        <v>INGREDIENT</v>
      </c>
      <c r="Q394" s="99">
        <f>IFERROR(__xludf.DUMMYFUNCTION("""COMPUTED_VALUE"""),3000.0)</f>
        <v>3000</v>
      </c>
      <c r="R394" s="96" t="str">
        <f>IFERROR(__xludf.DUMMYFUNCTION("""COMPUTED_VALUE"""),"General Expenses")</f>
        <v>General Expenses</v>
      </c>
      <c r="S394" s="99">
        <f>IFERROR(__xludf.DUMMYFUNCTION("""COMPUTED_VALUE"""),0.0)</f>
        <v>0</v>
      </c>
      <c r="T394" s="99">
        <f>IFERROR(__xludf.DUMMYFUNCTION("""COMPUTED_VALUE"""),3000.0)</f>
        <v>3000</v>
      </c>
      <c r="U394" s="99">
        <f>IFERROR(__xludf.DUMMYFUNCTION("""COMPUTED_VALUE"""),0.0)</f>
        <v>0</v>
      </c>
      <c r="V394" s="99">
        <f>IFERROR(__xludf.DUMMYFUNCTION("""COMPUTED_VALUE"""),0.0)</f>
        <v>0</v>
      </c>
      <c r="W394" s="99">
        <f>IFERROR(__xludf.DUMMYFUNCTION("""COMPUTED_VALUE"""),0.0)</f>
        <v>0</v>
      </c>
    </row>
    <row r="395">
      <c r="N395" s="98">
        <f>IFERROR(__xludf.DUMMYFUNCTION("""COMPUTED_VALUE"""),44061.0)</f>
        <v>44061</v>
      </c>
      <c r="O395" s="96" t="str">
        <f>IFERROR(__xludf.DUMMYFUNCTION("""COMPUTED_VALUE"""),"DIRECTOR")</f>
        <v>DIRECTOR</v>
      </c>
      <c r="P395" s="96" t="str">
        <f>IFERROR(__xludf.DUMMYFUNCTION("""COMPUTED_VALUE"""),"COMMISSIONAL OF POLICE")</f>
        <v>COMMISSIONAL OF POLICE</v>
      </c>
      <c r="Q395" s="99">
        <f>IFERROR(__xludf.DUMMYFUNCTION("""COMPUTED_VALUE"""),50000.0)</f>
        <v>50000</v>
      </c>
      <c r="R395" s="96" t="str">
        <f>IFERROR(__xludf.DUMMYFUNCTION("""COMPUTED_VALUE"""),"General Expenses")</f>
        <v>General Expenses</v>
      </c>
      <c r="S395" s="99">
        <f>IFERROR(__xludf.DUMMYFUNCTION("""COMPUTED_VALUE"""),0.0)</f>
        <v>0</v>
      </c>
      <c r="T395" s="99">
        <f>IFERROR(__xludf.DUMMYFUNCTION("""COMPUTED_VALUE"""),50000.0)</f>
        <v>50000</v>
      </c>
      <c r="U395" s="99">
        <f>IFERROR(__xludf.DUMMYFUNCTION("""COMPUTED_VALUE"""),0.0)</f>
        <v>0</v>
      </c>
      <c r="V395" s="99">
        <f>IFERROR(__xludf.DUMMYFUNCTION("""COMPUTED_VALUE"""),0.0)</f>
        <v>0</v>
      </c>
      <c r="W395" s="99">
        <f>IFERROR(__xludf.DUMMYFUNCTION("""COMPUTED_VALUE"""),0.0)</f>
        <v>0</v>
      </c>
    </row>
    <row r="396">
      <c r="N396" s="98">
        <f>IFERROR(__xludf.DUMMYFUNCTION("""COMPUTED_VALUE"""),44061.0)</f>
        <v>44061</v>
      </c>
      <c r="O396" s="96" t="str">
        <f>IFERROR(__xludf.DUMMYFUNCTION("""COMPUTED_VALUE"""),"DIRECTOR")</f>
        <v>DIRECTOR</v>
      </c>
      <c r="P396" s="96" t="str">
        <f>IFERROR(__xludf.DUMMYFUNCTION("""COMPUTED_VALUE"""),"DIESEL")</f>
        <v>DIESEL</v>
      </c>
      <c r="Q396" s="99">
        <f>IFERROR(__xludf.DUMMYFUNCTION("""COMPUTED_VALUE"""),20000.0)</f>
        <v>20000</v>
      </c>
      <c r="R396" s="96" t="str">
        <f>IFERROR(__xludf.DUMMYFUNCTION("""COMPUTED_VALUE"""),"General Expenses")</f>
        <v>General Expenses</v>
      </c>
      <c r="S396" s="99">
        <f>IFERROR(__xludf.DUMMYFUNCTION("""COMPUTED_VALUE"""),0.0)</f>
        <v>0</v>
      </c>
      <c r="T396" s="99">
        <f>IFERROR(__xludf.DUMMYFUNCTION("""COMPUTED_VALUE"""),20000.0)</f>
        <v>20000</v>
      </c>
      <c r="U396" s="99">
        <f>IFERROR(__xludf.DUMMYFUNCTION("""COMPUTED_VALUE"""),0.0)</f>
        <v>0</v>
      </c>
      <c r="V396" s="99">
        <f>IFERROR(__xludf.DUMMYFUNCTION("""COMPUTED_VALUE"""),0.0)</f>
        <v>0</v>
      </c>
      <c r="W396" s="99">
        <f>IFERROR(__xludf.DUMMYFUNCTION("""COMPUTED_VALUE"""),0.0)</f>
        <v>0</v>
      </c>
    </row>
    <row r="397">
      <c r="N397" s="98">
        <f>IFERROR(__xludf.DUMMYFUNCTION("""COMPUTED_VALUE"""),44061.0)</f>
        <v>44061</v>
      </c>
      <c r="O397" s="96" t="str">
        <f>IFERROR(__xludf.DUMMYFUNCTION("""COMPUTED_VALUE"""),"AMBA")</f>
        <v>AMBA</v>
      </c>
      <c r="P397" s="96" t="str">
        <f>IFERROR(__xludf.DUMMYFUNCTION("""COMPUTED_VALUE"""),"ROYALTY")</f>
        <v>ROYALTY</v>
      </c>
      <c r="Q397" s="99">
        <f>IFERROR(__xludf.DUMMYFUNCTION("""COMPUTED_VALUE"""),5000.0)</f>
        <v>5000</v>
      </c>
      <c r="R397" s="96" t="str">
        <f>IFERROR(__xludf.DUMMYFUNCTION("""COMPUTED_VALUE"""),"General Expenses")</f>
        <v>General Expenses</v>
      </c>
      <c r="S397" s="99">
        <f>IFERROR(__xludf.DUMMYFUNCTION("""COMPUTED_VALUE"""),0.0)</f>
        <v>0</v>
      </c>
      <c r="T397" s="99">
        <f>IFERROR(__xludf.DUMMYFUNCTION("""COMPUTED_VALUE"""),5000.0)</f>
        <v>5000</v>
      </c>
      <c r="U397" s="99">
        <f>IFERROR(__xludf.DUMMYFUNCTION("""COMPUTED_VALUE"""),0.0)</f>
        <v>0</v>
      </c>
      <c r="V397" s="99">
        <f>IFERROR(__xludf.DUMMYFUNCTION("""COMPUTED_VALUE"""),0.0)</f>
        <v>0</v>
      </c>
      <c r="W397" s="99">
        <f>IFERROR(__xludf.DUMMYFUNCTION("""COMPUTED_VALUE"""),0.0)</f>
        <v>0</v>
      </c>
    </row>
    <row r="398">
      <c r="N398" s="98">
        <f>IFERROR(__xludf.DUMMYFUNCTION("""COMPUTED_VALUE"""),44061.0)</f>
        <v>44061</v>
      </c>
      <c r="O398" s="96" t="str">
        <f>IFERROR(__xludf.DUMMYFUNCTION("""COMPUTED_VALUE"""),"LABOUR  BOY")</f>
        <v>LABOUR  BOY</v>
      </c>
      <c r="P398" s="96" t="str">
        <f>IFERROR(__xludf.DUMMYFUNCTION("""COMPUTED_VALUE"""),"FAMOUS/FRANK")</f>
        <v>FAMOUS/FRANK</v>
      </c>
      <c r="Q398" s="99">
        <f>IFERROR(__xludf.DUMMYFUNCTION("""COMPUTED_VALUE"""),1000.0)</f>
        <v>1000</v>
      </c>
      <c r="R398" s="96" t="str">
        <f>IFERROR(__xludf.DUMMYFUNCTION("""COMPUTED_VALUE"""),"General Expenses")</f>
        <v>General Expenses</v>
      </c>
      <c r="S398" s="99">
        <f>IFERROR(__xludf.DUMMYFUNCTION("""COMPUTED_VALUE"""),0.0)</f>
        <v>0</v>
      </c>
      <c r="T398" s="99">
        <f>IFERROR(__xludf.DUMMYFUNCTION("""COMPUTED_VALUE"""),1000.0)</f>
        <v>1000</v>
      </c>
      <c r="U398" s="99">
        <f>IFERROR(__xludf.DUMMYFUNCTION("""COMPUTED_VALUE"""),0.0)</f>
        <v>0</v>
      </c>
      <c r="V398" s="99">
        <f>IFERROR(__xludf.DUMMYFUNCTION("""COMPUTED_VALUE"""),0.0)</f>
        <v>0</v>
      </c>
      <c r="W398" s="99">
        <f>IFERROR(__xludf.DUMMYFUNCTION("""COMPUTED_VALUE"""),0.0)</f>
        <v>0</v>
      </c>
    </row>
    <row r="399">
      <c r="N399" s="98">
        <f>IFERROR(__xludf.DUMMYFUNCTION("""COMPUTED_VALUE"""),44061.0)</f>
        <v>44061</v>
      </c>
      <c r="O399" s="96" t="str">
        <f>IFERROR(__xludf.DUMMYFUNCTION("""COMPUTED_VALUE"""),"BLESSING CHAPMAN")</f>
        <v>BLESSING CHAPMAN</v>
      </c>
      <c r="P399" s="96" t="str">
        <f>IFERROR(__xludf.DUMMYFUNCTION("""COMPUTED_VALUE"""),"CASH COLLECTED")</f>
        <v>CASH COLLECTED</v>
      </c>
      <c r="Q399" s="99">
        <f>IFERROR(__xludf.DUMMYFUNCTION("""COMPUTED_VALUE"""),384000.0)</f>
        <v>384000</v>
      </c>
      <c r="R399" s="96" t="str">
        <f>IFERROR(__xludf.DUMMYFUNCTION("""COMPUTED_VALUE"""),"Petty Cash")</f>
        <v>Petty Cash</v>
      </c>
      <c r="S399" s="99">
        <f>IFERROR(__xludf.DUMMYFUNCTION("""COMPUTED_VALUE"""),0.0)</f>
        <v>0</v>
      </c>
      <c r="T399" s="99">
        <f>IFERROR(__xludf.DUMMYFUNCTION("""COMPUTED_VALUE"""),0.0)</f>
        <v>0</v>
      </c>
      <c r="U399" s="99">
        <f>IFERROR(__xludf.DUMMYFUNCTION("""COMPUTED_VALUE"""),0.0)</f>
        <v>0</v>
      </c>
      <c r="V399" s="99">
        <f>IFERROR(__xludf.DUMMYFUNCTION("""COMPUTED_VALUE"""),384000.0)</f>
        <v>384000</v>
      </c>
      <c r="W399" s="99">
        <f>IFERROR(__xludf.DUMMYFUNCTION("""COMPUTED_VALUE"""),0.0)</f>
        <v>0</v>
      </c>
    </row>
    <row r="400">
      <c r="N400" s="98">
        <f>IFERROR(__xludf.DUMMYFUNCTION("""COMPUTED_VALUE"""),44062.0)</f>
        <v>44062</v>
      </c>
      <c r="O400" s="96" t="str">
        <f>IFERROR(__xludf.DUMMYFUNCTION("""COMPUTED_VALUE"""),"Ekotex")</f>
        <v>Ekotex</v>
      </c>
      <c r="P400" s="96" t="str">
        <f>IFERROR(__xludf.DUMMYFUNCTION("""COMPUTED_VALUE"""),"Haullage")</f>
        <v>Haullage</v>
      </c>
      <c r="Q400" s="99">
        <f>IFERROR(__xludf.DUMMYFUNCTION("""COMPUTED_VALUE"""),11500.0)</f>
        <v>11500</v>
      </c>
      <c r="R400" s="96" t="str">
        <f>IFERROR(__xludf.DUMMYFUNCTION("""COMPUTED_VALUE"""),"General Expenses")</f>
        <v>General Expenses</v>
      </c>
      <c r="S400" s="99">
        <f>IFERROR(__xludf.DUMMYFUNCTION("""COMPUTED_VALUE"""),0.0)</f>
        <v>0</v>
      </c>
      <c r="T400" s="99">
        <f>IFERROR(__xludf.DUMMYFUNCTION("""COMPUTED_VALUE"""),11500.0)</f>
        <v>11500</v>
      </c>
      <c r="U400" s="99">
        <f>IFERROR(__xludf.DUMMYFUNCTION("""COMPUTED_VALUE"""),0.0)</f>
        <v>0</v>
      </c>
      <c r="V400" s="99">
        <f>IFERROR(__xludf.DUMMYFUNCTION("""COMPUTED_VALUE"""),0.0)</f>
        <v>0</v>
      </c>
      <c r="W400" s="99">
        <f>IFERROR(__xludf.DUMMYFUNCTION("""COMPUTED_VALUE"""),0.0)</f>
        <v>0</v>
      </c>
    </row>
    <row r="401">
      <c r="N401" s="98">
        <f>IFERROR(__xludf.DUMMYFUNCTION("""COMPUTED_VALUE"""),44062.0)</f>
        <v>44062</v>
      </c>
      <c r="O401" s="96" t="str">
        <f>IFERROR(__xludf.DUMMYFUNCTION("""COMPUTED_VALUE"""),"LABOUR  BOY")</f>
        <v>LABOUR  BOY</v>
      </c>
      <c r="P401" s="96" t="str">
        <f>IFERROR(__xludf.DUMMYFUNCTION("""COMPUTED_VALUE"""),"Advance wages")</f>
        <v>Advance wages</v>
      </c>
      <c r="Q401" s="99">
        <f>IFERROR(__xludf.DUMMYFUNCTION("""COMPUTED_VALUE"""),2000.0)</f>
        <v>2000</v>
      </c>
      <c r="R401" s="96" t="str">
        <f>IFERROR(__xludf.DUMMYFUNCTION("""COMPUTED_VALUE"""),"General Expenses")</f>
        <v>General Expenses</v>
      </c>
      <c r="S401" s="99">
        <f>IFERROR(__xludf.DUMMYFUNCTION("""COMPUTED_VALUE"""),0.0)</f>
        <v>0</v>
      </c>
      <c r="T401" s="99">
        <f>IFERROR(__xludf.DUMMYFUNCTION("""COMPUTED_VALUE"""),2000.0)</f>
        <v>2000</v>
      </c>
      <c r="U401" s="99">
        <f>IFERROR(__xludf.DUMMYFUNCTION("""COMPUTED_VALUE"""),0.0)</f>
        <v>0</v>
      </c>
      <c r="V401" s="99">
        <f>IFERROR(__xludf.DUMMYFUNCTION("""COMPUTED_VALUE"""),0.0)</f>
        <v>0</v>
      </c>
      <c r="W401" s="99">
        <f>IFERROR(__xludf.DUMMYFUNCTION("""COMPUTED_VALUE"""),0.0)</f>
        <v>0</v>
      </c>
    </row>
    <row r="402">
      <c r="N402" s="98">
        <f>IFERROR(__xludf.DUMMYFUNCTION("""COMPUTED_VALUE"""),44062.0)</f>
        <v>44062</v>
      </c>
      <c r="O402" s="96" t="str">
        <f>IFERROR(__xludf.DUMMYFUNCTION("""COMPUTED_VALUE"""),"BLESSING CHAPMAN")</f>
        <v>BLESSING CHAPMAN</v>
      </c>
      <c r="P402" s="96" t="str">
        <f>IFERROR(__xludf.DUMMYFUNCTION("""COMPUTED_VALUE"""),"Cash Collected")</f>
        <v>Cash Collected</v>
      </c>
      <c r="Q402" s="99">
        <f>IFERROR(__xludf.DUMMYFUNCTION("""COMPUTED_VALUE"""),218400.0)</f>
        <v>218400</v>
      </c>
      <c r="R402" s="96" t="str">
        <f>IFERROR(__xludf.DUMMYFUNCTION("""COMPUTED_VALUE"""),"Petty Cash")</f>
        <v>Petty Cash</v>
      </c>
      <c r="S402" s="99">
        <f>IFERROR(__xludf.DUMMYFUNCTION("""COMPUTED_VALUE"""),0.0)</f>
        <v>0</v>
      </c>
      <c r="T402" s="99">
        <f>IFERROR(__xludf.DUMMYFUNCTION("""COMPUTED_VALUE"""),0.0)</f>
        <v>0</v>
      </c>
      <c r="U402" s="99">
        <f>IFERROR(__xludf.DUMMYFUNCTION("""COMPUTED_VALUE"""),0.0)</f>
        <v>0</v>
      </c>
      <c r="V402" s="99">
        <f>IFERROR(__xludf.DUMMYFUNCTION("""COMPUTED_VALUE"""),218400.0)</f>
        <v>218400</v>
      </c>
      <c r="W402" s="99">
        <f>IFERROR(__xludf.DUMMYFUNCTION("""COMPUTED_VALUE"""),0.0)</f>
        <v>0</v>
      </c>
    </row>
    <row r="403">
      <c r="N403" s="98">
        <f>IFERROR(__xludf.DUMMYFUNCTION("""COMPUTED_VALUE"""),44062.0)</f>
        <v>44062</v>
      </c>
      <c r="O403" s="96" t="str">
        <f>IFERROR(__xludf.DUMMYFUNCTION("""COMPUTED_VALUE"""),"MANAGER")</f>
        <v>MANAGER</v>
      </c>
      <c r="P403" s="96" t="str">
        <f>IFERROR(__xludf.DUMMYFUNCTION("""COMPUTED_VALUE"""),"Cash-in")</f>
        <v>Cash-in</v>
      </c>
      <c r="Q403" s="99">
        <f>IFERROR(__xludf.DUMMYFUNCTION("""COMPUTED_VALUE"""),1000000.0)</f>
        <v>1000000</v>
      </c>
      <c r="R403" s="96" t="str">
        <f>IFERROR(__xludf.DUMMYFUNCTION("""COMPUTED_VALUE"""),"From Bank")</f>
        <v>From Bank</v>
      </c>
      <c r="S403" s="99">
        <f>IFERROR(__xludf.DUMMYFUNCTION("""COMPUTED_VALUE"""),0.0)</f>
        <v>0</v>
      </c>
      <c r="T403" s="99">
        <f>IFERROR(__xludf.DUMMYFUNCTION("""COMPUTED_VALUE"""),0.0)</f>
        <v>0</v>
      </c>
      <c r="U403" s="99">
        <f>IFERROR(__xludf.DUMMYFUNCTION("""COMPUTED_VALUE"""),1000000.0)</f>
        <v>1000000</v>
      </c>
      <c r="V403" s="99">
        <f>IFERROR(__xludf.DUMMYFUNCTION("""COMPUTED_VALUE"""),0.0)</f>
        <v>0</v>
      </c>
      <c r="W403" s="99">
        <f>IFERROR(__xludf.DUMMYFUNCTION("""COMPUTED_VALUE"""),0.0)</f>
        <v>0</v>
      </c>
    </row>
    <row r="404">
      <c r="N404" s="98">
        <f>IFERROR(__xludf.DUMMYFUNCTION("""COMPUTED_VALUE"""),44063.0)</f>
        <v>44063</v>
      </c>
      <c r="O404" s="96" t="str">
        <f>IFERROR(__xludf.DUMMYFUNCTION("""COMPUTED_VALUE"""),"ALFRED ALABI")</f>
        <v>ALFRED ALABI</v>
      </c>
      <c r="P404" s="96" t="str">
        <f>IFERROR(__xludf.DUMMYFUNCTION("""COMPUTED_VALUE"""),"ADVANCE")</f>
        <v>ADVANCE</v>
      </c>
      <c r="Q404" s="99">
        <f>IFERROR(__xludf.DUMMYFUNCTION("""COMPUTED_VALUE"""),600000.0)</f>
        <v>600000</v>
      </c>
      <c r="R404" s="96" t="str">
        <f>IFERROR(__xludf.DUMMYFUNCTION("""COMPUTED_VALUE"""),"Prefinance")</f>
        <v>Prefinance</v>
      </c>
      <c r="S404" s="99">
        <f>IFERROR(__xludf.DUMMYFUNCTION("""COMPUTED_VALUE"""),0.0)</f>
        <v>0</v>
      </c>
      <c r="T404" s="99">
        <f>IFERROR(__xludf.DUMMYFUNCTION("""COMPUTED_VALUE"""),0.0)</f>
        <v>0</v>
      </c>
      <c r="U404" s="99">
        <f>IFERROR(__xludf.DUMMYFUNCTION("""COMPUTED_VALUE"""),0.0)</f>
        <v>0</v>
      </c>
      <c r="V404" s="99">
        <f>IFERROR(__xludf.DUMMYFUNCTION("""COMPUTED_VALUE"""),0.0)</f>
        <v>0</v>
      </c>
      <c r="W404" s="99">
        <f>IFERROR(__xludf.DUMMYFUNCTION("""COMPUTED_VALUE"""),0.0)</f>
        <v>0</v>
      </c>
    </row>
    <row r="405">
      <c r="N405" s="98">
        <f>IFERROR(__xludf.DUMMYFUNCTION("""COMPUTED_VALUE"""),44063.0)</f>
        <v>44063</v>
      </c>
      <c r="O405" s="96" t="str">
        <f>IFERROR(__xludf.DUMMYFUNCTION("""COMPUTED_VALUE"""),"AUGUSTINE IGBA")</f>
        <v>AUGUSTINE IGBA</v>
      </c>
      <c r="P405" s="96" t="str">
        <f>IFERROR(__xludf.DUMMYFUNCTION("""COMPUTED_VALUE"""),"ADVANCE")</f>
        <v>ADVANCE</v>
      </c>
      <c r="Q405" s="99">
        <f>IFERROR(__xludf.DUMMYFUNCTION("""COMPUTED_VALUE"""),2000000.0)</f>
        <v>2000000</v>
      </c>
      <c r="R405" s="96" t="str">
        <f>IFERROR(__xludf.DUMMYFUNCTION("""COMPUTED_VALUE"""),"Prefinance")</f>
        <v>Prefinance</v>
      </c>
      <c r="S405" s="99">
        <f>IFERROR(__xludf.DUMMYFUNCTION("""COMPUTED_VALUE"""),0.0)</f>
        <v>0</v>
      </c>
      <c r="T405" s="99">
        <f>IFERROR(__xludf.DUMMYFUNCTION("""COMPUTED_VALUE"""),0.0)</f>
        <v>0</v>
      </c>
      <c r="U405" s="99">
        <f>IFERROR(__xludf.DUMMYFUNCTION("""COMPUTED_VALUE"""),0.0)</f>
        <v>0</v>
      </c>
      <c r="V405" s="99">
        <f>IFERROR(__xludf.DUMMYFUNCTION("""COMPUTED_VALUE"""),0.0)</f>
        <v>0</v>
      </c>
      <c r="W405" s="99">
        <f>IFERROR(__xludf.DUMMYFUNCTION("""COMPUTED_VALUE"""),0.0)</f>
        <v>0</v>
      </c>
    </row>
    <row r="406">
      <c r="N406" s="98">
        <f>IFERROR(__xludf.DUMMYFUNCTION("""COMPUTED_VALUE"""),44063.0)</f>
        <v>44063</v>
      </c>
      <c r="O406" s="96" t="str">
        <f>IFERROR(__xludf.DUMMYFUNCTION("""COMPUTED_VALUE"""),"BESSONG EKPANG")</f>
        <v>BESSONG EKPANG</v>
      </c>
      <c r="P406" s="96" t="str">
        <f>IFERROR(__xludf.DUMMYFUNCTION("""COMPUTED_VALUE"""),"PASSPORT")</f>
        <v>PASSPORT</v>
      </c>
      <c r="Q406" s="99">
        <f>IFERROR(__xludf.DUMMYFUNCTION("""COMPUTED_VALUE"""),20000.0)</f>
        <v>20000</v>
      </c>
      <c r="R406" s="96" t="str">
        <f>IFERROR(__xludf.DUMMYFUNCTION("""COMPUTED_VALUE"""),"General Expenses")</f>
        <v>General Expenses</v>
      </c>
      <c r="S406" s="99">
        <f>IFERROR(__xludf.DUMMYFUNCTION("""COMPUTED_VALUE"""),0.0)</f>
        <v>0</v>
      </c>
      <c r="T406" s="99">
        <f>IFERROR(__xludf.DUMMYFUNCTION("""COMPUTED_VALUE"""),20000.0)</f>
        <v>20000</v>
      </c>
      <c r="U406" s="99">
        <f>IFERROR(__xludf.DUMMYFUNCTION("""COMPUTED_VALUE"""),0.0)</f>
        <v>0</v>
      </c>
      <c r="V406" s="99">
        <f>IFERROR(__xludf.DUMMYFUNCTION("""COMPUTED_VALUE"""),0.0)</f>
        <v>0</v>
      </c>
      <c r="W406" s="99">
        <f>IFERROR(__xludf.DUMMYFUNCTION("""COMPUTED_VALUE"""),0.0)</f>
        <v>0</v>
      </c>
    </row>
    <row r="407">
      <c r="N407" s="98">
        <f>IFERROR(__xludf.DUMMYFUNCTION("""COMPUTED_VALUE"""),44063.0)</f>
        <v>44063</v>
      </c>
      <c r="O407" s="96" t="str">
        <f>IFERROR(__xludf.DUMMYFUNCTION("""COMPUTED_VALUE"""),"CHINEDU")</f>
        <v>CHINEDU</v>
      </c>
      <c r="P407" s="96" t="str">
        <f>IFERROR(__xludf.DUMMYFUNCTION("""COMPUTED_VALUE"""),"REPAIRS")</f>
        <v>REPAIRS</v>
      </c>
      <c r="Q407" s="99">
        <f>IFERROR(__xludf.DUMMYFUNCTION("""COMPUTED_VALUE"""),1000.0)</f>
        <v>1000</v>
      </c>
      <c r="R407" s="96" t="str">
        <f>IFERROR(__xludf.DUMMYFUNCTION("""COMPUTED_VALUE"""),"General Expenses")</f>
        <v>General Expenses</v>
      </c>
      <c r="S407" s="99">
        <f>IFERROR(__xludf.DUMMYFUNCTION("""COMPUTED_VALUE"""),0.0)</f>
        <v>0</v>
      </c>
      <c r="T407" s="99">
        <f>IFERROR(__xludf.DUMMYFUNCTION("""COMPUTED_VALUE"""),1000.0)</f>
        <v>1000</v>
      </c>
      <c r="U407" s="99">
        <f>IFERROR(__xludf.DUMMYFUNCTION("""COMPUTED_VALUE"""),0.0)</f>
        <v>0</v>
      </c>
      <c r="V407" s="99">
        <f>IFERROR(__xludf.DUMMYFUNCTION("""COMPUTED_VALUE"""),0.0)</f>
        <v>0</v>
      </c>
      <c r="W407" s="99">
        <f>IFERROR(__xludf.DUMMYFUNCTION("""COMPUTED_VALUE"""),0.0)</f>
        <v>0</v>
      </c>
    </row>
    <row r="408">
      <c r="N408" s="98">
        <f>IFERROR(__xludf.DUMMYFUNCTION("""COMPUTED_VALUE"""),44063.0)</f>
        <v>44063</v>
      </c>
      <c r="O408" s="96" t="str">
        <f>IFERROR(__xludf.DUMMYFUNCTION("""COMPUTED_VALUE"""),"ALFRED ALABI")</f>
        <v>ALFRED ALABI</v>
      </c>
      <c r="P408" s="96" t="str">
        <f>IFERROR(__xludf.DUMMYFUNCTION("""COMPUTED_VALUE"""),"PAYMENT")</f>
        <v>PAYMENT</v>
      </c>
      <c r="Q408" s="99">
        <f>IFERROR(__xludf.DUMMYFUNCTION("""COMPUTED_VALUE"""),700000.0)</f>
        <v>700000</v>
      </c>
      <c r="R408" s="96" t="str">
        <f>IFERROR(__xludf.DUMMYFUNCTION("""COMPUTED_VALUE"""),"Prefinance")</f>
        <v>Prefinance</v>
      </c>
      <c r="S408" s="99">
        <f>IFERROR(__xludf.DUMMYFUNCTION("""COMPUTED_VALUE"""),0.0)</f>
        <v>0</v>
      </c>
      <c r="T408" s="99">
        <f>IFERROR(__xludf.DUMMYFUNCTION("""COMPUTED_VALUE"""),0.0)</f>
        <v>0</v>
      </c>
      <c r="U408" s="99">
        <f>IFERROR(__xludf.DUMMYFUNCTION("""COMPUTED_VALUE"""),0.0)</f>
        <v>0</v>
      </c>
      <c r="V408" s="99">
        <f>IFERROR(__xludf.DUMMYFUNCTION("""COMPUTED_VALUE"""),0.0)</f>
        <v>0</v>
      </c>
      <c r="W408" s="99">
        <f>IFERROR(__xludf.DUMMYFUNCTION("""COMPUTED_VALUE"""),0.0)</f>
        <v>0</v>
      </c>
    </row>
    <row r="409">
      <c r="N409" s="98">
        <f>IFERROR(__xludf.DUMMYFUNCTION("""COMPUTED_VALUE"""),44063.0)</f>
        <v>44063</v>
      </c>
      <c r="O409" s="96" t="str">
        <f>IFERROR(__xludf.DUMMYFUNCTION("""COMPUTED_VALUE"""),"BLESSING CHAPMAN")</f>
        <v>BLESSING CHAPMAN</v>
      </c>
      <c r="P409" s="96" t="str">
        <f>IFERROR(__xludf.DUMMYFUNCTION("""COMPUTED_VALUE"""),"CASH COLLECTED")</f>
        <v>CASH COLLECTED</v>
      </c>
      <c r="Q409" s="99">
        <f>IFERROR(__xludf.DUMMYFUNCTION("""COMPUTED_VALUE"""),21000.0)</f>
        <v>21000</v>
      </c>
      <c r="R409" s="96" t="str">
        <f>IFERROR(__xludf.DUMMYFUNCTION("""COMPUTED_VALUE"""),"Petty Cash")</f>
        <v>Petty Cash</v>
      </c>
      <c r="S409" s="99">
        <f>IFERROR(__xludf.DUMMYFUNCTION("""COMPUTED_VALUE"""),0.0)</f>
        <v>0</v>
      </c>
      <c r="T409" s="99">
        <f>IFERROR(__xludf.DUMMYFUNCTION("""COMPUTED_VALUE"""),0.0)</f>
        <v>0</v>
      </c>
      <c r="U409" s="99">
        <f>IFERROR(__xludf.DUMMYFUNCTION("""COMPUTED_VALUE"""),0.0)</f>
        <v>0</v>
      </c>
      <c r="V409" s="99">
        <f>IFERROR(__xludf.DUMMYFUNCTION("""COMPUTED_VALUE"""),21000.0)</f>
        <v>21000</v>
      </c>
      <c r="W409" s="99">
        <f>IFERROR(__xludf.DUMMYFUNCTION("""COMPUTED_VALUE"""),0.0)</f>
        <v>0</v>
      </c>
    </row>
    <row r="410">
      <c r="N410" s="98">
        <f>IFERROR(__xludf.DUMMYFUNCTION("""COMPUTED_VALUE"""),44063.0)</f>
        <v>44063</v>
      </c>
      <c r="O410" s="96" t="str">
        <f>IFERROR(__xludf.DUMMYFUNCTION("""COMPUTED_VALUE"""),"MANAGER")</f>
        <v>MANAGER</v>
      </c>
      <c r="P410" s="96" t="str">
        <f>IFERROR(__xludf.DUMMYFUNCTION("""COMPUTED_VALUE"""),"CASH-IN")</f>
        <v>CASH-IN</v>
      </c>
      <c r="Q410" s="99">
        <f>IFERROR(__xludf.DUMMYFUNCTION("""COMPUTED_VALUE"""),540000.0)</f>
        <v>540000</v>
      </c>
      <c r="R410" s="96" t="str">
        <f>IFERROR(__xludf.DUMMYFUNCTION("""COMPUTED_VALUE"""),"From Bank")</f>
        <v>From Bank</v>
      </c>
      <c r="S410" s="99">
        <f>IFERROR(__xludf.DUMMYFUNCTION("""COMPUTED_VALUE"""),0.0)</f>
        <v>0</v>
      </c>
      <c r="T410" s="99">
        <f>IFERROR(__xludf.DUMMYFUNCTION("""COMPUTED_VALUE"""),0.0)</f>
        <v>0</v>
      </c>
      <c r="U410" s="99">
        <f>IFERROR(__xludf.DUMMYFUNCTION("""COMPUTED_VALUE"""),540000.0)</f>
        <v>540000</v>
      </c>
      <c r="V410" s="99">
        <f>IFERROR(__xludf.DUMMYFUNCTION("""COMPUTED_VALUE"""),0.0)</f>
        <v>0</v>
      </c>
      <c r="W410" s="99">
        <f>IFERROR(__xludf.DUMMYFUNCTION("""COMPUTED_VALUE"""),0.0)</f>
        <v>0</v>
      </c>
    </row>
    <row r="411">
      <c r="N411" s="98">
        <f>IFERROR(__xludf.DUMMYFUNCTION("""COMPUTED_VALUE"""),44063.0)</f>
        <v>44063</v>
      </c>
      <c r="O411" s="96" t="str">
        <f>IFERROR(__xludf.DUMMYFUNCTION("""COMPUTED_VALUE"""),"DIRECTOR")</f>
        <v>DIRECTOR</v>
      </c>
      <c r="P411" s="96" t="str">
        <f>IFERROR(__xludf.DUMMYFUNCTION("""COMPUTED_VALUE"""),"CASH-IN")</f>
        <v>CASH-IN</v>
      </c>
      <c r="Q411" s="99">
        <f>IFERROR(__xludf.DUMMYFUNCTION("""COMPUTED_VALUE"""),2400000.0)</f>
        <v>2400000</v>
      </c>
      <c r="R411" s="96" t="str">
        <f>IFERROR(__xludf.DUMMYFUNCTION("""COMPUTED_VALUE"""),"From Bank")</f>
        <v>From Bank</v>
      </c>
      <c r="S411" s="99">
        <f>IFERROR(__xludf.DUMMYFUNCTION("""COMPUTED_VALUE"""),0.0)</f>
        <v>0</v>
      </c>
      <c r="T411" s="99">
        <f>IFERROR(__xludf.DUMMYFUNCTION("""COMPUTED_VALUE"""),0.0)</f>
        <v>0</v>
      </c>
      <c r="U411" s="99">
        <f>IFERROR(__xludf.DUMMYFUNCTION("""COMPUTED_VALUE"""),2400000.0)</f>
        <v>2400000</v>
      </c>
      <c r="V411" s="99">
        <f>IFERROR(__xludf.DUMMYFUNCTION("""COMPUTED_VALUE"""),0.0)</f>
        <v>0</v>
      </c>
      <c r="W411" s="99">
        <f>IFERROR(__xludf.DUMMYFUNCTION("""COMPUTED_VALUE"""),0.0)</f>
        <v>0</v>
      </c>
    </row>
    <row r="412">
      <c r="N412" s="98">
        <f>IFERROR(__xludf.DUMMYFUNCTION("""COMPUTED_VALUE"""),44063.0)</f>
        <v>44063</v>
      </c>
      <c r="O412" s="96" t="str">
        <f>IFERROR(__xludf.DUMMYFUNCTION("""COMPUTED_VALUE"""),"ALFRED ALABI")</f>
        <v>ALFRED ALABI</v>
      </c>
      <c r="P412" s="96" t="str">
        <f>IFERROR(__xludf.DUMMYFUNCTION("""COMPUTED_VALUE"""),"ADVANCE (DIRECTOR)")</f>
        <v>ADVANCE (DIRECTOR)</v>
      </c>
      <c r="Q412" s="99">
        <f>IFERROR(__xludf.DUMMYFUNCTION("""COMPUTED_VALUE"""),400000.0)</f>
        <v>400000</v>
      </c>
      <c r="R412" s="96" t="str">
        <f>IFERROR(__xludf.DUMMYFUNCTION("""COMPUTED_VALUE"""),"Prefinance")</f>
        <v>Prefinance</v>
      </c>
      <c r="S412" s="99">
        <f>IFERROR(__xludf.DUMMYFUNCTION("""COMPUTED_VALUE"""),0.0)</f>
        <v>0</v>
      </c>
      <c r="T412" s="99">
        <f>IFERROR(__xludf.DUMMYFUNCTION("""COMPUTED_VALUE"""),0.0)</f>
        <v>0</v>
      </c>
      <c r="U412" s="99">
        <f>IFERROR(__xludf.DUMMYFUNCTION("""COMPUTED_VALUE"""),0.0)</f>
        <v>0</v>
      </c>
      <c r="V412" s="99">
        <f>IFERROR(__xludf.DUMMYFUNCTION("""COMPUTED_VALUE"""),0.0)</f>
        <v>0</v>
      </c>
      <c r="W412" s="99">
        <f>IFERROR(__xludf.DUMMYFUNCTION("""COMPUTED_VALUE"""),0.0)</f>
        <v>0</v>
      </c>
    </row>
    <row r="413">
      <c r="N413" s="98">
        <f>IFERROR(__xludf.DUMMYFUNCTION("""COMPUTED_VALUE"""),44064.0)</f>
        <v>44064</v>
      </c>
      <c r="O413" s="96" t="str">
        <f>IFERROR(__xludf.DUMMYFUNCTION("""COMPUTED_VALUE"""),"KARIEN EBAN")</f>
        <v>KARIEN EBAN</v>
      </c>
      <c r="P413" s="96" t="str">
        <f>IFERROR(__xludf.DUMMYFUNCTION("""COMPUTED_VALUE"""),"Advance")</f>
        <v>Advance</v>
      </c>
      <c r="Q413" s="99">
        <f>IFERROR(__xludf.DUMMYFUNCTION("""COMPUTED_VALUE"""),722000.0)</f>
        <v>722000</v>
      </c>
      <c r="R413" s="96" t="str">
        <f>IFERROR(__xludf.DUMMYFUNCTION("""COMPUTED_VALUE"""),"Prefinance")</f>
        <v>Prefinance</v>
      </c>
      <c r="S413" s="99">
        <f>IFERROR(__xludf.DUMMYFUNCTION("""COMPUTED_VALUE"""),0.0)</f>
        <v>0</v>
      </c>
      <c r="T413" s="99">
        <f>IFERROR(__xludf.DUMMYFUNCTION("""COMPUTED_VALUE"""),0.0)</f>
        <v>0</v>
      </c>
      <c r="U413" s="99">
        <f>IFERROR(__xludf.DUMMYFUNCTION("""COMPUTED_VALUE"""),0.0)</f>
        <v>0</v>
      </c>
      <c r="V413" s="99">
        <f>IFERROR(__xludf.DUMMYFUNCTION("""COMPUTED_VALUE"""),0.0)</f>
        <v>0</v>
      </c>
      <c r="W413" s="99">
        <f>IFERROR(__xludf.DUMMYFUNCTION("""COMPUTED_VALUE"""),0.0)</f>
        <v>0</v>
      </c>
    </row>
    <row r="414">
      <c r="N414" s="98">
        <f>IFERROR(__xludf.DUMMYFUNCTION("""COMPUTED_VALUE"""),44064.0)</f>
        <v>44064</v>
      </c>
      <c r="O414" s="96" t="str">
        <f>IFERROR(__xludf.DUMMYFUNCTION("""COMPUTED_VALUE"""),"ABANGS. HNSON")</f>
        <v>ABANGS. HNSON</v>
      </c>
      <c r="P414" s="96" t="str">
        <f>IFERROR(__xludf.DUMMYFUNCTION("""COMPUTED_VALUE"""),"DIRECTOR (ORDER)")</f>
        <v>DIRECTOR (ORDER)</v>
      </c>
      <c r="Q414" s="99">
        <f>IFERROR(__xludf.DUMMYFUNCTION("""COMPUTED_VALUE"""),50000.0)</f>
        <v>50000</v>
      </c>
      <c r="R414" s="96" t="str">
        <f>IFERROR(__xludf.DUMMYFUNCTION("""COMPUTED_VALUE"""),"General Expenses")</f>
        <v>General Expenses</v>
      </c>
      <c r="S414" s="99">
        <f>IFERROR(__xludf.DUMMYFUNCTION("""COMPUTED_VALUE"""),0.0)</f>
        <v>0</v>
      </c>
      <c r="T414" s="99">
        <f>IFERROR(__xludf.DUMMYFUNCTION("""COMPUTED_VALUE"""),50000.0)</f>
        <v>50000</v>
      </c>
      <c r="U414" s="99">
        <f>IFERROR(__xludf.DUMMYFUNCTION("""COMPUTED_VALUE"""),0.0)</f>
        <v>0</v>
      </c>
      <c r="V414" s="99">
        <f>IFERROR(__xludf.DUMMYFUNCTION("""COMPUTED_VALUE"""),0.0)</f>
        <v>0</v>
      </c>
      <c r="W414" s="99">
        <f>IFERROR(__xludf.DUMMYFUNCTION("""COMPUTED_VALUE"""),0.0)</f>
        <v>0</v>
      </c>
    </row>
    <row r="415">
      <c r="N415" s="98">
        <f>IFERROR(__xludf.DUMMYFUNCTION("""COMPUTED_VALUE"""),44064.0)</f>
        <v>44064</v>
      </c>
      <c r="O415" s="96" t="str">
        <f>IFERROR(__xludf.DUMMYFUNCTION("""COMPUTED_VALUE"""),"DIAMOND")</f>
        <v>DIAMOND</v>
      </c>
      <c r="P415" s="96" t="str">
        <f>IFERROR(__xludf.DUMMYFUNCTION("""COMPUTED_VALUE"""),"DIESEL")</f>
        <v>DIESEL</v>
      </c>
      <c r="Q415" s="99">
        <f>IFERROR(__xludf.DUMMYFUNCTION("""COMPUTED_VALUE"""),3000.0)</f>
        <v>3000</v>
      </c>
      <c r="R415" s="96" t="str">
        <f>IFERROR(__xludf.DUMMYFUNCTION("""COMPUTED_VALUE"""),"General Expenses")</f>
        <v>General Expenses</v>
      </c>
      <c r="S415" s="99">
        <f>IFERROR(__xludf.DUMMYFUNCTION("""COMPUTED_VALUE"""),0.0)</f>
        <v>0</v>
      </c>
      <c r="T415" s="99">
        <f>IFERROR(__xludf.DUMMYFUNCTION("""COMPUTED_VALUE"""),3000.0)</f>
        <v>3000</v>
      </c>
      <c r="U415" s="99">
        <f>IFERROR(__xludf.DUMMYFUNCTION("""COMPUTED_VALUE"""),0.0)</f>
        <v>0</v>
      </c>
      <c r="V415" s="99">
        <f>IFERROR(__xludf.DUMMYFUNCTION("""COMPUTED_VALUE"""),0.0)</f>
        <v>0</v>
      </c>
      <c r="W415" s="99">
        <f>IFERROR(__xludf.DUMMYFUNCTION("""COMPUTED_VALUE"""),0.0)</f>
        <v>0</v>
      </c>
    </row>
    <row r="416">
      <c r="N416" s="98">
        <f>IFERROR(__xludf.DUMMYFUNCTION("""COMPUTED_VALUE"""),44064.0)</f>
        <v>44064</v>
      </c>
      <c r="O416" s="96" t="str">
        <f>IFERROR(__xludf.DUMMYFUNCTION("""COMPUTED_VALUE"""),"MANAGER")</f>
        <v>MANAGER</v>
      </c>
      <c r="P416" s="96" t="str">
        <f>IFERROR(__xludf.DUMMYFUNCTION("""COMPUTED_VALUE"""),"SALARY ADVANCE")</f>
        <v>SALARY ADVANCE</v>
      </c>
      <c r="Q416" s="99">
        <f>IFERROR(__xludf.DUMMYFUNCTION("""COMPUTED_VALUE"""),3000.0)</f>
        <v>3000</v>
      </c>
      <c r="R416" s="96" t="str">
        <f>IFERROR(__xludf.DUMMYFUNCTION("""COMPUTED_VALUE"""),"General Expenses")</f>
        <v>General Expenses</v>
      </c>
      <c r="S416" s="99">
        <f>IFERROR(__xludf.DUMMYFUNCTION("""COMPUTED_VALUE"""),0.0)</f>
        <v>0</v>
      </c>
      <c r="T416" s="99">
        <f>IFERROR(__xludf.DUMMYFUNCTION("""COMPUTED_VALUE"""),3000.0)</f>
        <v>3000</v>
      </c>
      <c r="U416" s="99">
        <f>IFERROR(__xludf.DUMMYFUNCTION("""COMPUTED_VALUE"""),0.0)</f>
        <v>0</v>
      </c>
      <c r="V416" s="99">
        <f>IFERROR(__xludf.DUMMYFUNCTION("""COMPUTED_VALUE"""),0.0)</f>
        <v>0</v>
      </c>
      <c r="W416" s="99">
        <f>IFERROR(__xludf.DUMMYFUNCTION("""COMPUTED_VALUE"""),0.0)</f>
        <v>0</v>
      </c>
    </row>
    <row r="417">
      <c r="N417" s="98">
        <f>IFERROR(__xludf.DUMMYFUNCTION("""COMPUTED_VALUE"""),44064.0)</f>
        <v>44064</v>
      </c>
      <c r="O417" s="96" t="str">
        <f>IFERROR(__xludf.DUMMYFUNCTION("""COMPUTED_VALUE"""),"BLESSING CHAPMAN")</f>
        <v>BLESSING CHAPMAN</v>
      </c>
      <c r="P417" s="96" t="str">
        <f>IFERROR(__xludf.DUMMYFUNCTION("""COMPUTED_VALUE"""),"CASH COLLECTED")</f>
        <v>CASH COLLECTED</v>
      </c>
      <c r="Q417" s="99">
        <f>IFERROR(__xludf.DUMMYFUNCTION("""COMPUTED_VALUE"""),56000.0)</f>
        <v>56000</v>
      </c>
      <c r="R417" s="96" t="str">
        <f>IFERROR(__xludf.DUMMYFUNCTION("""COMPUTED_VALUE"""),"Petty Cash")</f>
        <v>Petty Cash</v>
      </c>
      <c r="S417" s="99">
        <f>IFERROR(__xludf.DUMMYFUNCTION("""COMPUTED_VALUE"""),0.0)</f>
        <v>0</v>
      </c>
      <c r="T417" s="99">
        <f>IFERROR(__xludf.DUMMYFUNCTION("""COMPUTED_VALUE"""),0.0)</f>
        <v>0</v>
      </c>
      <c r="U417" s="99">
        <f>IFERROR(__xludf.DUMMYFUNCTION("""COMPUTED_VALUE"""),0.0)</f>
        <v>0</v>
      </c>
      <c r="V417" s="99">
        <f>IFERROR(__xludf.DUMMYFUNCTION("""COMPUTED_VALUE"""),56000.0)</f>
        <v>56000</v>
      </c>
      <c r="W417" s="99">
        <f>IFERROR(__xludf.DUMMYFUNCTION("""COMPUTED_VALUE"""),0.0)</f>
        <v>0</v>
      </c>
    </row>
    <row r="418">
      <c r="N418" s="98">
        <f>IFERROR(__xludf.DUMMYFUNCTION("""COMPUTED_VALUE"""),44064.0)</f>
        <v>44064</v>
      </c>
      <c r="O418" s="96" t="str">
        <f>IFERROR(__xludf.DUMMYFUNCTION("""COMPUTED_VALUE"""),"DIRECTOR")</f>
        <v>DIRECTOR</v>
      </c>
      <c r="P418" s="96" t="str">
        <f>IFERROR(__xludf.DUMMYFUNCTION("""COMPUTED_VALUE"""),"CASH-IN")</f>
        <v>CASH-IN</v>
      </c>
      <c r="Q418" s="99">
        <f>IFERROR(__xludf.DUMMYFUNCTION("""COMPUTED_VALUE"""),2951000.0)</f>
        <v>2951000</v>
      </c>
      <c r="R418" s="96" t="str">
        <f>IFERROR(__xludf.DUMMYFUNCTION("""COMPUTED_VALUE"""),"From Bank")</f>
        <v>From Bank</v>
      </c>
      <c r="S418" s="99">
        <f>IFERROR(__xludf.DUMMYFUNCTION("""COMPUTED_VALUE"""),0.0)</f>
        <v>0</v>
      </c>
      <c r="T418" s="99">
        <f>IFERROR(__xludf.DUMMYFUNCTION("""COMPUTED_VALUE"""),0.0)</f>
        <v>0</v>
      </c>
      <c r="U418" s="99">
        <f>IFERROR(__xludf.DUMMYFUNCTION("""COMPUTED_VALUE"""),2951000.0)</f>
        <v>2951000</v>
      </c>
      <c r="V418" s="99">
        <f>IFERROR(__xludf.DUMMYFUNCTION("""COMPUTED_VALUE"""),0.0)</f>
        <v>0</v>
      </c>
      <c r="W418" s="99">
        <f>IFERROR(__xludf.DUMMYFUNCTION("""COMPUTED_VALUE"""),0.0)</f>
        <v>0</v>
      </c>
    </row>
    <row r="419">
      <c r="N419" s="98">
        <f>IFERROR(__xludf.DUMMYFUNCTION("""COMPUTED_VALUE"""),44065.0)</f>
        <v>44065</v>
      </c>
      <c r="O419" s="96" t="str">
        <f>IFERROR(__xludf.DUMMYFUNCTION("""COMPUTED_VALUE"""),"RECTOR W.")</f>
        <v>RECTOR W.</v>
      </c>
      <c r="P419" s="96" t="str">
        <f>IFERROR(__xludf.DUMMYFUNCTION("""COMPUTED_VALUE"""),"Transport")</f>
        <v>Transport</v>
      </c>
      <c r="Q419" s="99">
        <f>IFERROR(__xludf.DUMMYFUNCTION("""COMPUTED_VALUE"""),140000.0)</f>
        <v>140000</v>
      </c>
      <c r="R419" s="96" t="str">
        <f>IFERROR(__xludf.DUMMYFUNCTION("""COMPUTED_VALUE"""),"Prefinance")</f>
        <v>Prefinance</v>
      </c>
      <c r="S419" s="99">
        <f>IFERROR(__xludf.DUMMYFUNCTION("""COMPUTED_VALUE"""),0.0)</f>
        <v>0</v>
      </c>
      <c r="T419" s="99">
        <f>IFERROR(__xludf.DUMMYFUNCTION("""COMPUTED_VALUE"""),0.0)</f>
        <v>0</v>
      </c>
      <c r="U419" s="99">
        <f>IFERROR(__xludf.DUMMYFUNCTION("""COMPUTED_VALUE"""),0.0)</f>
        <v>0</v>
      </c>
      <c r="V419" s="99">
        <f>IFERROR(__xludf.DUMMYFUNCTION("""COMPUTED_VALUE"""),0.0)</f>
        <v>0</v>
      </c>
      <c r="W419" s="99">
        <f>IFERROR(__xludf.DUMMYFUNCTION("""COMPUTED_VALUE"""),0.0)</f>
        <v>0</v>
      </c>
    </row>
    <row r="420">
      <c r="N420" s="98">
        <f>IFERROR(__xludf.DUMMYFUNCTION("""COMPUTED_VALUE"""),44065.0)</f>
        <v>44065</v>
      </c>
      <c r="O420" s="96" t="str">
        <f>IFERROR(__xludf.DUMMYFUNCTION("""COMPUTED_VALUE"""),"DIRECTOR")</f>
        <v>DIRECTOR</v>
      </c>
      <c r="P420" s="96" t="str">
        <f>IFERROR(__xludf.DUMMYFUNCTION("""COMPUTED_VALUE"""),"Personal Use")</f>
        <v>Personal Use</v>
      </c>
      <c r="Q420" s="99">
        <f>IFERROR(__xludf.DUMMYFUNCTION("""COMPUTED_VALUE"""),120000.0)</f>
        <v>120000</v>
      </c>
      <c r="R420" s="96" t="str">
        <f>IFERROR(__xludf.DUMMYFUNCTION("""COMPUTED_VALUE"""),"General Expenses")</f>
        <v>General Expenses</v>
      </c>
      <c r="S420" s="99">
        <f>IFERROR(__xludf.DUMMYFUNCTION("""COMPUTED_VALUE"""),0.0)</f>
        <v>0</v>
      </c>
      <c r="T420" s="99">
        <f>IFERROR(__xludf.DUMMYFUNCTION("""COMPUTED_VALUE"""),120000.0)</f>
        <v>120000</v>
      </c>
      <c r="U420" s="99">
        <f>IFERROR(__xludf.DUMMYFUNCTION("""COMPUTED_VALUE"""),0.0)</f>
        <v>0</v>
      </c>
      <c r="V420" s="99">
        <f>IFERROR(__xludf.DUMMYFUNCTION("""COMPUTED_VALUE"""),0.0)</f>
        <v>0</v>
      </c>
      <c r="W420" s="99">
        <f>IFERROR(__xludf.DUMMYFUNCTION("""COMPUTED_VALUE"""),0.0)</f>
        <v>0</v>
      </c>
    </row>
    <row r="421">
      <c r="N421" s="98">
        <f>IFERROR(__xludf.DUMMYFUNCTION("""COMPUTED_VALUE"""),44065.0)</f>
        <v>44065</v>
      </c>
      <c r="O421" s="96" t="str">
        <f>IFERROR(__xludf.DUMMYFUNCTION("""COMPUTED_VALUE"""),"LABOUR  BOY")</f>
        <v>LABOUR  BOY</v>
      </c>
      <c r="P421" s="96" t="str">
        <f>IFERROR(__xludf.DUMMYFUNCTION("""COMPUTED_VALUE"""),"Wages")</f>
        <v>Wages</v>
      </c>
      <c r="Q421" s="99">
        <f>IFERROR(__xludf.DUMMYFUNCTION("""COMPUTED_VALUE"""),50000.0)</f>
        <v>50000</v>
      </c>
      <c r="R421" s="96" t="str">
        <f>IFERROR(__xludf.DUMMYFUNCTION("""COMPUTED_VALUE"""),"General Expenses")</f>
        <v>General Expenses</v>
      </c>
      <c r="S421" s="99">
        <f>IFERROR(__xludf.DUMMYFUNCTION("""COMPUTED_VALUE"""),0.0)</f>
        <v>0</v>
      </c>
      <c r="T421" s="99">
        <f>IFERROR(__xludf.DUMMYFUNCTION("""COMPUTED_VALUE"""),50000.0)</f>
        <v>50000</v>
      </c>
      <c r="U421" s="99">
        <f>IFERROR(__xludf.DUMMYFUNCTION("""COMPUTED_VALUE"""),0.0)</f>
        <v>0</v>
      </c>
      <c r="V421" s="99">
        <f>IFERROR(__xludf.DUMMYFUNCTION("""COMPUTED_VALUE"""),0.0)</f>
        <v>0</v>
      </c>
      <c r="W421" s="99">
        <f>IFERROR(__xludf.DUMMYFUNCTION("""COMPUTED_VALUE"""),0.0)</f>
        <v>0</v>
      </c>
    </row>
    <row r="422">
      <c r="N422" s="98">
        <f>IFERROR(__xludf.DUMMYFUNCTION("""COMPUTED_VALUE"""),44065.0)</f>
        <v>44065</v>
      </c>
      <c r="O422" s="96" t="str">
        <f>IFERROR(__xludf.DUMMYFUNCTION("""COMPUTED_VALUE"""),"BLESSING CHAPMAN")</f>
        <v>BLESSING CHAPMAN</v>
      </c>
      <c r="P422" s="96" t="str">
        <f>IFERROR(__xludf.DUMMYFUNCTION("""COMPUTED_VALUE"""),"CASH COLLECTED")</f>
        <v>CASH COLLECTED</v>
      </c>
      <c r="Q422" s="99">
        <f>IFERROR(__xludf.DUMMYFUNCTION("""COMPUTED_VALUE"""),170000.0)</f>
        <v>170000</v>
      </c>
      <c r="R422" s="96" t="str">
        <f>IFERROR(__xludf.DUMMYFUNCTION("""COMPUTED_VALUE"""),"Petty Cash")</f>
        <v>Petty Cash</v>
      </c>
      <c r="S422" s="99">
        <f>IFERROR(__xludf.DUMMYFUNCTION("""COMPUTED_VALUE"""),0.0)</f>
        <v>0</v>
      </c>
      <c r="T422" s="99">
        <f>IFERROR(__xludf.DUMMYFUNCTION("""COMPUTED_VALUE"""),0.0)</f>
        <v>0</v>
      </c>
      <c r="U422" s="99">
        <f>IFERROR(__xludf.DUMMYFUNCTION("""COMPUTED_VALUE"""),0.0)</f>
        <v>0</v>
      </c>
      <c r="V422" s="99">
        <f>IFERROR(__xludf.DUMMYFUNCTION("""COMPUTED_VALUE"""),170000.0)</f>
        <v>170000</v>
      </c>
      <c r="W422" s="99">
        <f>IFERROR(__xludf.DUMMYFUNCTION("""COMPUTED_VALUE"""),0.0)</f>
        <v>0</v>
      </c>
    </row>
    <row r="423">
      <c r="N423" s="98">
        <f>IFERROR(__xludf.DUMMYFUNCTION("""COMPUTED_VALUE"""),44067.0)</f>
        <v>44067</v>
      </c>
      <c r="O423" s="96" t="str">
        <f>IFERROR(__xludf.DUMMYFUNCTION("""COMPUTED_VALUE"""),"LYDIA HNSON ")</f>
        <v>LYDIA HNSON </v>
      </c>
      <c r="P423" s="96" t="str">
        <f>IFERROR(__xludf.DUMMYFUNCTION("""COMPUTED_VALUE"""),"ADVANCE (DIR)")</f>
        <v>ADVANCE (DIR)</v>
      </c>
      <c r="Q423" s="99">
        <f>IFERROR(__xludf.DUMMYFUNCTION("""COMPUTED_VALUE"""),100000.0)</f>
        <v>100000</v>
      </c>
      <c r="R423" s="96" t="str">
        <f>IFERROR(__xludf.DUMMYFUNCTION("""COMPUTED_VALUE"""),"Prefinance")</f>
        <v>Prefinance</v>
      </c>
      <c r="S423" s="99">
        <f>IFERROR(__xludf.DUMMYFUNCTION("""COMPUTED_VALUE"""),0.0)</f>
        <v>0</v>
      </c>
      <c r="T423" s="99">
        <f>IFERROR(__xludf.DUMMYFUNCTION("""COMPUTED_VALUE"""),0.0)</f>
        <v>0</v>
      </c>
      <c r="U423" s="99">
        <f>IFERROR(__xludf.DUMMYFUNCTION("""COMPUTED_VALUE"""),0.0)</f>
        <v>0</v>
      </c>
      <c r="V423" s="99">
        <f>IFERROR(__xludf.DUMMYFUNCTION("""COMPUTED_VALUE"""),0.0)</f>
        <v>0</v>
      </c>
      <c r="W423" s="99">
        <f>IFERROR(__xludf.DUMMYFUNCTION("""COMPUTED_VALUE"""),0.0)</f>
        <v>0</v>
      </c>
    </row>
    <row r="424">
      <c r="N424" s="98">
        <f>IFERROR(__xludf.DUMMYFUNCTION("""COMPUTED_VALUE"""),44067.0)</f>
        <v>44067</v>
      </c>
      <c r="O424" s="96" t="str">
        <f>IFERROR(__xludf.DUMMYFUNCTION("""COMPUTED_VALUE"""),"BOSURU  BOSURU")</f>
        <v>BOSURU  BOSURU</v>
      </c>
      <c r="P424" s="96" t="str">
        <f>IFERROR(__xludf.DUMMYFUNCTION("""COMPUTED_VALUE"""),"ADVANCE")</f>
        <v>ADVANCE</v>
      </c>
      <c r="Q424" s="99">
        <f>IFERROR(__xludf.DUMMYFUNCTION("""COMPUTED_VALUE"""),100000.0)</f>
        <v>100000</v>
      </c>
      <c r="R424" s="96" t="str">
        <f>IFERROR(__xludf.DUMMYFUNCTION("""COMPUTED_VALUE"""),"Prefinance")</f>
        <v>Prefinance</v>
      </c>
      <c r="S424" s="99">
        <f>IFERROR(__xludf.DUMMYFUNCTION("""COMPUTED_VALUE"""),0.0)</f>
        <v>0</v>
      </c>
      <c r="T424" s="99">
        <f>IFERROR(__xludf.DUMMYFUNCTION("""COMPUTED_VALUE"""),0.0)</f>
        <v>0</v>
      </c>
      <c r="U424" s="99">
        <f>IFERROR(__xludf.DUMMYFUNCTION("""COMPUTED_VALUE"""),0.0)</f>
        <v>0</v>
      </c>
      <c r="V424" s="99">
        <f>IFERROR(__xludf.DUMMYFUNCTION("""COMPUTED_VALUE"""),0.0)</f>
        <v>0</v>
      </c>
      <c r="W424" s="99">
        <f>IFERROR(__xludf.DUMMYFUNCTION("""COMPUTED_VALUE"""),0.0)</f>
        <v>0</v>
      </c>
    </row>
    <row r="425">
      <c r="N425" s="98">
        <f>IFERROR(__xludf.DUMMYFUNCTION("""COMPUTED_VALUE"""),44067.0)</f>
        <v>44067</v>
      </c>
      <c r="O425" s="96" t="str">
        <f>IFERROR(__xludf.DUMMYFUNCTION("""COMPUTED_VALUE"""),"R.  MAXWELL AGRO")</f>
        <v>R.  MAXWELL AGRO</v>
      </c>
      <c r="P425" s="96" t="str">
        <f>IFERROR(__xludf.DUMMYFUNCTION("""COMPUTED_VALUE"""),"CAR INJECTOR (DIR)")</f>
        <v>CAR INJECTOR (DIR)</v>
      </c>
      <c r="Q425" s="99">
        <f>IFERROR(__xludf.DUMMYFUNCTION("""COMPUTED_VALUE"""),50000.0)</f>
        <v>50000</v>
      </c>
      <c r="R425" s="96" t="str">
        <f>IFERROR(__xludf.DUMMYFUNCTION("""COMPUTED_VALUE"""),"Prefinance")</f>
        <v>Prefinance</v>
      </c>
      <c r="S425" s="99">
        <f>IFERROR(__xludf.DUMMYFUNCTION("""COMPUTED_VALUE"""),0.0)</f>
        <v>0</v>
      </c>
      <c r="T425" s="99">
        <f>IFERROR(__xludf.DUMMYFUNCTION("""COMPUTED_VALUE"""),0.0)</f>
        <v>0</v>
      </c>
      <c r="U425" s="99">
        <f>IFERROR(__xludf.DUMMYFUNCTION("""COMPUTED_VALUE"""),0.0)</f>
        <v>0</v>
      </c>
      <c r="V425" s="99">
        <f>IFERROR(__xludf.DUMMYFUNCTION("""COMPUTED_VALUE"""),0.0)</f>
        <v>0</v>
      </c>
      <c r="W425" s="99">
        <f>IFERROR(__xludf.DUMMYFUNCTION("""COMPUTED_VALUE"""),0.0)</f>
        <v>0</v>
      </c>
    </row>
    <row r="426">
      <c r="N426" s="98">
        <f>IFERROR(__xludf.DUMMYFUNCTION("""COMPUTED_VALUE"""),44067.0)</f>
        <v>44067</v>
      </c>
      <c r="O426" s="96" t="str">
        <f>IFERROR(__xludf.DUMMYFUNCTION("""COMPUTED_VALUE"""),"EDWARD OKO")</f>
        <v>EDWARD OKO</v>
      </c>
      <c r="P426" s="96" t="str">
        <f>IFERROR(__xludf.DUMMYFUNCTION("""COMPUTED_VALUE"""),"ADVANCE")</f>
        <v>ADVANCE</v>
      </c>
      <c r="Q426" s="99">
        <f>IFERROR(__xludf.DUMMYFUNCTION("""COMPUTED_VALUE"""),85000.0)</f>
        <v>85000</v>
      </c>
      <c r="R426" s="96" t="str">
        <f>IFERROR(__xludf.DUMMYFUNCTION("""COMPUTED_VALUE"""),"Prefinance")</f>
        <v>Prefinance</v>
      </c>
      <c r="S426" s="99">
        <f>IFERROR(__xludf.DUMMYFUNCTION("""COMPUTED_VALUE"""),0.0)</f>
        <v>0</v>
      </c>
      <c r="T426" s="99">
        <f>IFERROR(__xludf.DUMMYFUNCTION("""COMPUTED_VALUE"""),0.0)</f>
        <v>0</v>
      </c>
      <c r="U426" s="99">
        <f>IFERROR(__xludf.DUMMYFUNCTION("""COMPUTED_VALUE"""),0.0)</f>
        <v>0</v>
      </c>
      <c r="V426" s="99">
        <f>IFERROR(__xludf.DUMMYFUNCTION("""COMPUTED_VALUE"""),0.0)</f>
        <v>0</v>
      </c>
      <c r="W426" s="99">
        <f>IFERROR(__xludf.DUMMYFUNCTION("""COMPUTED_VALUE"""),0.0)</f>
        <v>0</v>
      </c>
    </row>
    <row r="427">
      <c r="N427" s="98">
        <f>IFERROR(__xludf.DUMMYFUNCTION("""COMPUTED_VALUE"""),44067.0)</f>
        <v>44067</v>
      </c>
      <c r="O427" s="96" t="str">
        <f>IFERROR(__xludf.DUMMYFUNCTION("""COMPUTED_VALUE"""),"PAPA AJASCO BETTE")</f>
        <v>PAPA AJASCO BETTE</v>
      </c>
      <c r="P427" s="96" t="str">
        <f>IFERROR(__xludf.DUMMYFUNCTION("""COMPUTED_VALUE"""),"ADVANCE")</f>
        <v>ADVANCE</v>
      </c>
      <c r="Q427" s="99">
        <f>IFERROR(__xludf.DUMMYFUNCTION("""COMPUTED_VALUE"""),20000.0)</f>
        <v>20000</v>
      </c>
      <c r="R427" s="96" t="str">
        <f>IFERROR(__xludf.DUMMYFUNCTION("""COMPUTED_VALUE"""),"Prefinance")</f>
        <v>Prefinance</v>
      </c>
      <c r="S427" s="99">
        <f>IFERROR(__xludf.DUMMYFUNCTION("""COMPUTED_VALUE"""),0.0)</f>
        <v>0</v>
      </c>
      <c r="T427" s="99">
        <f>IFERROR(__xludf.DUMMYFUNCTION("""COMPUTED_VALUE"""),0.0)</f>
        <v>0</v>
      </c>
      <c r="U427" s="99">
        <f>IFERROR(__xludf.DUMMYFUNCTION("""COMPUTED_VALUE"""),0.0)</f>
        <v>0</v>
      </c>
      <c r="V427" s="99">
        <f>IFERROR(__xludf.DUMMYFUNCTION("""COMPUTED_VALUE"""),0.0)</f>
        <v>0</v>
      </c>
      <c r="W427" s="99">
        <f>IFERROR(__xludf.DUMMYFUNCTION("""COMPUTED_VALUE"""),0.0)</f>
        <v>0</v>
      </c>
    </row>
    <row r="428">
      <c r="N428" s="98">
        <f>IFERROR(__xludf.DUMMYFUNCTION("""COMPUTED_VALUE"""),44067.0)</f>
        <v>44067</v>
      </c>
      <c r="O428" s="96" t="str">
        <f>IFERROR(__xludf.DUMMYFUNCTION("""COMPUTED_VALUE"""),"DIAMOND")</f>
        <v>DIAMOND</v>
      </c>
      <c r="P428" s="96" t="str">
        <f>IFERROR(__xludf.DUMMYFUNCTION("""COMPUTED_VALUE"""),"CAR PART")</f>
        <v>CAR PART</v>
      </c>
      <c r="Q428" s="99">
        <f>IFERROR(__xludf.DUMMYFUNCTION("""COMPUTED_VALUE"""),50000.0)</f>
        <v>50000</v>
      </c>
      <c r="R428" s="96" t="str">
        <f>IFERROR(__xludf.DUMMYFUNCTION("""COMPUTED_VALUE"""),"General Expenses")</f>
        <v>General Expenses</v>
      </c>
      <c r="S428" s="99">
        <f>IFERROR(__xludf.DUMMYFUNCTION("""COMPUTED_VALUE"""),0.0)</f>
        <v>0</v>
      </c>
      <c r="T428" s="99">
        <f>IFERROR(__xludf.DUMMYFUNCTION("""COMPUTED_VALUE"""),50000.0)</f>
        <v>50000</v>
      </c>
      <c r="U428" s="99">
        <f>IFERROR(__xludf.DUMMYFUNCTION("""COMPUTED_VALUE"""),0.0)</f>
        <v>0</v>
      </c>
      <c r="V428" s="99">
        <f>IFERROR(__xludf.DUMMYFUNCTION("""COMPUTED_VALUE"""),0.0)</f>
        <v>0</v>
      </c>
      <c r="W428" s="99">
        <f>IFERROR(__xludf.DUMMYFUNCTION("""COMPUTED_VALUE"""),0.0)</f>
        <v>0</v>
      </c>
    </row>
    <row r="429">
      <c r="N429" s="98">
        <f>IFERROR(__xludf.DUMMYFUNCTION("""COMPUTED_VALUE"""),44067.0)</f>
        <v>44067</v>
      </c>
      <c r="O429" s="96" t="str">
        <f>IFERROR(__xludf.DUMMYFUNCTION("""COMPUTED_VALUE"""),"OJ")</f>
        <v>OJ</v>
      </c>
      <c r="P429" s="96" t="str">
        <f>IFERROR(__xludf.DUMMYFUNCTION("""COMPUTED_VALUE"""),"DIRECTOR ORDER")</f>
        <v>DIRECTOR ORDER</v>
      </c>
      <c r="Q429" s="99">
        <f>IFERROR(__xludf.DUMMYFUNCTION("""COMPUTED_VALUE"""),290000.0)</f>
        <v>290000</v>
      </c>
      <c r="R429" s="96" t="str">
        <f>IFERROR(__xludf.DUMMYFUNCTION("""COMPUTED_VALUE"""),"General Expenses")</f>
        <v>General Expenses</v>
      </c>
      <c r="S429" s="99">
        <f>IFERROR(__xludf.DUMMYFUNCTION("""COMPUTED_VALUE"""),0.0)</f>
        <v>0</v>
      </c>
      <c r="T429" s="99">
        <f>IFERROR(__xludf.DUMMYFUNCTION("""COMPUTED_VALUE"""),290000.0)</f>
        <v>290000</v>
      </c>
      <c r="U429" s="99">
        <f>IFERROR(__xludf.DUMMYFUNCTION("""COMPUTED_VALUE"""),0.0)</f>
        <v>0</v>
      </c>
      <c r="V429" s="99">
        <f>IFERROR(__xludf.DUMMYFUNCTION("""COMPUTED_VALUE"""),0.0)</f>
        <v>0</v>
      </c>
      <c r="W429" s="99">
        <f>IFERROR(__xludf.DUMMYFUNCTION("""COMPUTED_VALUE"""),0.0)</f>
        <v>0</v>
      </c>
    </row>
    <row r="430">
      <c r="N430" s="98">
        <f>IFERROR(__xludf.DUMMYFUNCTION("""COMPUTED_VALUE"""),44067.0)</f>
        <v>44067</v>
      </c>
      <c r="O430" s="96" t="str">
        <f>IFERROR(__xludf.DUMMYFUNCTION("""COMPUTED_VALUE"""),"CLIMENT")</f>
        <v>CLIMENT</v>
      </c>
      <c r="P430" s="96" t="str">
        <f>IFERROR(__xludf.DUMMYFUNCTION("""COMPUTED_VALUE"""),"LABOUR BOY ADVANCE WAGES")</f>
        <v>LABOUR BOY ADVANCE WAGES</v>
      </c>
      <c r="Q430" s="99">
        <f>IFERROR(__xludf.DUMMYFUNCTION("""COMPUTED_VALUE"""),20000.0)</f>
        <v>20000</v>
      </c>
      <c r="R430" s="96" t="str">
        <f>IFERROR(__xludf.DUMMYFUNCTION("""COMPUTED_VALUE"""),"General Expenses")</f>
        <v>General Expenses</v>
      </c>
      <c r="S430" s="99">
        <f>IFERROR(__xludf.DUMMYFUNCTION("""COMPUTED_VALUE"""),0.0)</f>
        <v>0</v>
      </c>
      <c r="T430" s="99">
        <f>IFERROR(__xludf.DUMMYFUNCTION("""COMPUTED_VALUE"""),20000.0)</f>
        <v>20000</v>
      </c>
      <c r="U430" s="99">
        <f>IFERROR(__xludf.DUMMYFUNCTION("""COMPUTED_VALUE"""),0.0)</f>
        <v>0</v>
      </c>
      <c r="V430" s="99">
        <f>IFERROR(__xludf.DUMMYFUNCTION("""COMPUTED_VALUE"""),0.0)</f>
        <v>0</v>
      </c>
      <c r="W430" s="99">
        <f>IFERROR(__xludf.DUMMYFUNCTION("""COMPUTED_VALUE"""),0.0)</f>
        <v>0</v>
      </c>
    </row>
    <row r="431">
      <c r="N431" s="98">
        <f>IFERROR(__xludf.DUMMYFUNCTION("""COMPUTED_VALUE"""),44067.0)</f>
        <v>44067</v>
      </c>
      <c r="O431" s="96" t="str">
        <f>IFERROR(__xludf.DUMMYFUNCTION("""COMPUTED_VALUE"""),"BLESSING CHAPMAN")</f>
        <v>BLESSING CHAPMAN</v>
      </c>
      <c r="P431" s="96" t="str">
        <f>IFERROR(__xludf.DUMMYFUNCTION("""COMPUTED_VALUE"""),"CASH COLLECTED")</f>
        <v>CASH COLLECTED</v>
      </c>
      <c r="Q431" s="99">
        <f>IFERROR(__xludf.DUMMYFUNCTION("""COMPUTED_VALUE"""),861000.0)</f>
        <v>861000</v>
      </c>
      <c r="R431" s="96" t="str">
        <f>IFERROR(__xludf.DUMMYFUNCTION("""COMPUTED_VALUE"""),"Petty Cash")</f>
        <v>Petty Cash</v>
      </c>
      <c r="S431" s="99">
        <f>IFERROR(__xludf.DUMMYFUNCTION("""COMPUTED_VALUE"""),0.0)</f>
        <v>0</v>
      </c>
      <c r="T431" s="99">
        <f>IFERROR(__xludf.DUMMYFUNCTION("""COMPUTED_VALUE"""),0.0)</f>
        <v>0</v>
      </c>
      <c r="U431" s="99">
        <f>IFERROR(__xludf.DUMMYFUNCTION("""COMPUTED_VALUE"""),0.0)</f>
        <v>0</v>
      </c>
      <c r="V431" s="99">
        <f>IFERROR(__xludf.DUMMYFUNCTION("""COMPUTED_VALUE"""),861000.0)</f>
        <v>861000</v>
      </c>
      <c r="W431" s="99">
        <f>IFERROR(__xludf.DUMMYFUNCTION("""COMPUTED_VALUE"""),0.0)</f>
        <v>0</v>
      </c>
    </row>
    <row r="432">
      <c r="N432" s="98">
        <f>IFERROR(__xludf.DUMMYFUNCTION("""COMPUTED_VALUE"""),44067.0)</f>
        <v>44067</v>
      </c>
      <c r="O432" s="96" t="str">
        <f>IFERROR(__xludf.DUMMYFUNCTION("""COMPUTED_VALUE"""),"DIRECTOR")</f>
        <v>DIRECTOR</v>
      </c>
      <c r="P432" s="96" t="str">
        <f>IFERROR(__xludf.DUMMYFUNCTION("""COMPUTED_VALUE"""),"CASH-IN")</f>
        <v>CASH-IN</v>
      </c>
      <c r="Q432" s="99">
        <f>IFERROR(__xludf.DUMMYFUNCTION("""COMPUTED_VALUE"""),150000.0)</f>
        <v>150000</v>
      </c>
      <c r="R432" s="96" t="str">
        <f>IFERROR(__xludf.DUMMYFUNCTION("""COMPUTED_VALUE"""),"From Bank")</f>
        <v>From Bank</v>
      </c>
      <c r="S432" s="99">
        <f>IFERROR(__xludf.DUMMYFUNCTION("""COMPUTED_VALUE"""),0.0)</f>
        <v>0</v>
      </c>
      <c r="T432" s="99">
        <f>IFERROR(__xludf.DUMMYFUNCTION("""COMPUTED_VALUE"""),0.0)</f>
        <v>0</v>
      </c>
      <c r="U432" s="99">
        <f>IFERROR(__xludf.DUMMYFUNCTION("""COMPUTED_VALUE"""),150000.0)</f>
        <v>150000</v>
      </c>
      <c r="V432" s="99">
        <f>IFERROR(__xludf.DUMMYFUNCTION("""COMPUTED_VALUE"""),0.0)</f>
        <v>0</v>
      </c>
      <c r="W432" s="99">
        <f>IFERROR(__xludf.DUMMYFUNCTION("""COMPUTED_VALUE"""),0.0)</f>
        <v>0</v>
      </c>
    </row>
    <row r="433">
      <c r="N433" s="98">
        <f>IFERROR(__xludf.DUMMYFUNCTION("""COMPUTED_VALUE"""),44068.0)</f>
        <v>44068</v>
      </c>
      <c r="O433" s="96" t="str">
        <f>IFERROR(__xludf.DUMMYFUNCTION("""COMPUTED_VALUE""")," MAXWELL AGRO")</f>
        <v> MAXWELL AGRO</v>
      </c>
      <c r="P433" s="96" t="str">
        <f>IFERROR(__xludf.DUMMYFUNCTION("""COMPUTED_VALUE"""),"ADVANCE")</f>
        <v>ADVANCE</v>
      </c>
      <c r="Q433" s="99">
        <f>IFERROR(__xludf.DUMMYFUNCTION("""COMPUTED_VALUE"""),300000.0)</f>
        <v>300000</v>
      </c>
      <c r="R433" s="96" t="str">
        <f>IFERROR(__xludf.DUMMYFUNCTION("""COMPUTED_VALUE"""),"Prefinance")</f>
        <v>Prefinance</v>
      </c>
      <c r="S433" s="99">
        <f>IFERROR(__xludf.DUMMYFUNCTION("""COMPUTED_VALUE"""),0.0)</f>
        <v>0</v>
      </c>
      <c r="T433" s="99">
        <f>IFERROR(__xludf.DUMMYFUNCTION("""COMPUTED_VALUE"""),0.0)</f>
        <v>0</v>
      </c>
      <c r="U433" s="99">
        <f>IFERROR(__xludf.DUMMYFUNCTION("""COMPUTED_VALUE"""),0.0)</f>
        <v>0</v>
      </c>
      <c r="V433" s="99">
        <f>IFERROR(__xludf.DUMMYFUNCTION("""COMPUTED_VALUE"""),0.0)</f>
        <v>0</v>
      </c>
      <c r="W433" s="99">
        <f>IFERROR(__xludf.DUMMYFUNCTION("""COMPUTED_VALUE"""),0.0)</f>
        <v>0</v>
      </c>
    </row>
    <row r="434">
      <c r="N434" s="98">
        <f>IFERROR(__xludf.DUMMYFUNCTION("""COMPUTED_VALUE"""),44068.0)</f>
        <v>44068</v>
      </c>
      <c r="O434" s="96" t="str">
        <f>IFERROR(__xludf.DUMMYFUNCTION("""COMPUTED_VALUE""")," MAXWELL AGRO")</f>
        <v> MAXWELL AGRO</v>
      </c>
      <c r="P434" s="96" t="str">
        <f>IFERROR(__xludf.DUMMYFUNCTION("""COMPUTED_VALUE"""),"TRANSPORTATION")</f>
        <v>TRANSPORTATION</v>
      </c>
      <c r="Q434" s="99">
        <f>IFERROR(__xludf.DUMMYFUNCTION("""COMPUTED_VALUE"""),4500.0)</f>
        <v>4500</v>
      </c>
      <c r="R434" s="96" t="str">
        <f>IFERROR(__xludf.DUMMYFUNCTION("""COMPUTED_VALUE"""),"Prefinance")</f>
        <v>Prefinance</v>
      </c>
      <c r="S434" s="99">
        <f>IFERROR(__xludf.DUMMYFUNCTION("""COMPUTED_VALUE"""),0.0)</f>
        <v>0</v>
      </c>
      <c r="T434" s="99">
        <f>IFERROR(__xludf.DUMMYFUNCTION("""COMPUTED_VALUE"""),0.0)</f>
        <v>0</v>
      </c>
      <c r="U434" s="99">
        <f>IFERROR(__xludf.DUMMYFUNCTION("""COMPUTED_VALUE"""),0.0)</f>
        <v>0</v>
      </c>
      <c r="V434" s="99">
        <f>IFERROR(__xludf.DUMMYFUNCTION("""COMPUTED_VALUE"""),0.0)</f>
        <v>0</v>
      </c>
      <c r="W434" s="99">
        <f>IFERROR(__xludf.DUMMYFUNCTION("""COMPUTED_VALUE"""),0.0)</f>
        <v>0</v>
      </c>
    </row>
    <row r="435">
      <c r="N435" s="98">
        <f>IFERROR(__xludf.DUMMYFUNCTION("""COMPUTED_VALUE"""),44068.0)</f>
        <v>44068</v>
      </c>
      <c r="O435" s="96" t="str">
        <f>IFERROR(__xludf.DUMMYFUNCTION("""COMPUTED_VALUE"""),"REIMON ALABA")</f>
        <v>REIMON ALABA</v>
      </c>
      <c r="P435" s="96" t="str">
        <f>IFERROR(__xludf.DUMMYFUNCTION("""COMPUTED_VALUE"""),"ADVANCE")</f>
        <v>ADVANCE</v>
      </c>
      <c r="Q435" s="99">
        <f>IFERROR(__xludf.DUMMYFUNCTION("""COMPUTED_VALUE"""),200000.0)</f>
        <v>200000</v>
      </c>
      <c r="R435" s="96" t="str">
        <f>IFERROR(__xludf.DUMMYFUNCTION("""COMPUTED_VALUE"""),"Prefinance")</f>
        <v>Prefinance</v>
      </c>
      <c r="S435" s="99">
        <f>IFERROR(__xludf.DUMMYFUNCTION("""COMPUTED_VALUE"""),0.0)</f>
        <v>0</v>
      </c>
      <c r="T435" s="99">
        <f>IFERROR(__xludf.DUMMYFUNCTION("""COMPUTED_VALUE"""),0.0)</f>
        <v>0</v>
      </c>
      <c r="U435" s="99">
        <f>IFERROR(__xludf.DUMMYFUNCTION("""COMPUTED_VALUE"""),0.0)</f>
        <v>0</v>
      </c>
      <c r="V435" s="99">
        <f>IFERROR(__xludf.DUMMYFUNCTION("""COMPUTED_VALUE"""),0.0)</f>
        <v>0</v>
      </c>
      <c r="W435" s="99">
        <f>IFERROR(__xludf.DUMMYFUNCTION("""COMPUTED_VALUE"""),0.0)</f>
        <v>0</v>
      </c>
    </row>
    <row r="436">
      <c r="N436" s="98">
        <f>IFERROR(__xludf.DUMMYFUNCTION("""COMPUTED_VALUE"""),44068.0)</f>
        <v>44068</v>
      </c>
      <c r="O436" s="96" t="str">
        <f>IFERROR(__xludf.DUMMYFUNCTION("""COMPUTED_VALUE"""),"LYDIA HNSON ")</f>
        <v>LYDIA HNSON </v>
      </c>
      <c r="P436" s="96" t="str">
        <f>IFERROR(__xludf.DUMMYFUNCTION("""COMPUTED_VALUE"""),"ADVANCE")</f>
        <v>ADVANCE</v>
      </c>
      <c r="Q436" s="99">
        <f>IFERROR(__xludf.DUMMYFUNCTION("""COMPUTED_VALUE"""),10000.0)</f>
        <v>10000</v>
      </c>
      <c r="R436" s="96" t="str">
        <f>IFERROR(__xludf.DUMMYFUNCTION("""COMPUTED_VALUE"""),"Prefinance")</f>
        <v>Prefinance</v>
      </c>
      <c r="S436" s="99">
        <f>IFERROR(__xludf.DUMMYFUNCTION("""COMPUTED_VALUE"""),0.0)</f>
        <v>0</v>
      </c>
      <c r="T436" s="99">
        <f>IFERROR(__xludf.DUMMYFUNCTION("""COMPUTED_VALUE"""),0.0)</f>
        <v>0</v>
      </c>
      <c r="U436" s="99">
        <f>IFERROR(__xludf.DUMMYFUNCTION("""COMPUTED_VALUE"""),0.0)</f>
        <v>0</v>
      </c>
      <c r="V436" s="99">
        <f>IFERROR(__xludf.DUMMYFUNCTION("""COMPUTED_VALUE"""),0.0)</f>
        <v>0</v>
      </c>
      <c r="W436" s="99">
        <f>IFERROR(__xludf.DUMMYFUNCTION("""COMPUTED_VALUE"""),0.0)</f>
        <v>0</v>
      </c>
    </row>
    <row r="437">
      <c r="N437" s="98">
        <f>IFERROR(__xludf.DUMMYFUNCTION("""COMPUTED_VALUE"""),44068.0)</f>
        <v>44068</v>
      </c>
      <c r="O437" s="96" t="str">
        <f>IFERROR(__xludf.DUMMYFUNCTION("""COMPUTED_VALUE"""),"NEIGHBOR")</f>
        <v>NEIGHBOR</v>
      </c>
      <c r="P437" s="96" t="str">
        <f>IFERROR(__xludf.DUMMYFUNCTION("""COMPUTED_VALUE"""),"ADVANCE")</f>
        <v>ADVANCE</v>
      </c>
      <c r="Q437" s="99">
        <f>IFERROR(__xludf.DUMMYFUNCTION("""COMPUTED_VALUE"""),500000.0)</f>
        <v>500000</v>
      </c>
      <c r="R437" s="96" t="str">
        <f>IFERROR(__xludf.DUMMYFUNCTION("""COMPUTED_VALUE"""),"Prefinance")</f>
        <v>Prefinance</v>
      </c>
      <c r="S437" s="99">
        <f>IFERROR(__xludf.DUMMYFUNCTION("""COMPUTED_VALUE"""),0.0)</f>
        <v>0</v>
      </c>
      <c r="T437" s="99">
        <f>IFERROR(__xludf.DUMMYFUNCTION("""COMPUTED_VALUE"""),0.0)</f>
        <v>0</v>
      </c>
      <c r="U437" s="99">
        <f>IFERROR(__xludf.DUMMYFUNCTION("""COMPUTED_VALUE"""),0.0)</f>
        <v>0</v>
      </c>
      <c r="V437" s="99">
        <f>IFERROR(__xludf.DUMMYFUNCTION("""COMPUTED_VALUE"""),0.0)</f>
        <v>0</v>
      </c>
      <c r="W437" s="99">
        <f>IFERROR(__xludf.DUMMYFUNCTION("""COMPUTED_VALUE"""),0.0)</f>
        <v>0</v>
      </c>
    </row>
    <row r="438">
      <c r="N438" s="98">
        <f>IFERROR(__xludf.DUMMYFUNCTION("""COMPUTED_VALUE"""),44068.0)</f>
        <v>44068</v>
      </c>
      <c r="O438" s="96" t="str">
        <f>IFERROR(__xludf.DUMMYFUNCTION("""COMPUTED_VALUE"""),"OJ")</f>
        <v>OJ</v>
      </c>
      <c r="P438" s="96" t="str">
        <f>IFERROR(__xludf.DUMMYFUNCTION("""COMPUTED_VALUE"""),"TP CAMEROON")</f>
        <v>TP CAMEROON</v>
      </c>
      <c r="Q438" s="99">
        <f>IFERROR(__xludf.DUMMYFUNCTION("""COMPUTED_VALUE"""),850000.0)</f>
        <v>850000</v>
      </c>
      <c r="R438" s="96" t="str">
        <f>IFERROR(__xludf.DUMMYFUNCTION("""COMPUTED_VALUE"""),"General Expenses")</f>
        <v>General Expenses</v>
      </c>
      <c r="S438" s="99">
        <f>IFERROR(__xludf.DUMMYFUNCTION("""COMPUTED_VALUE"""),0.0)</f>
        <v>0</v>
      </c>
      <c r="T438" s="99">
        <f>IFERROR(__xludf.DUMMYFUNCTION("""COMPUTED_VALUE"""),850000.0)</f>
        <v>850000</v>
      </c>
      <c r="U438" s="99">
        <f>IFERROR(__xludf.DUMMYFUNCTION("""COMPUTED_VALUE"""),0.0)</f>
        <v>0</v>
      </c>
      <c r="V438" s="99">
        <f>IFERROR(__xludf.DUMMYFUNCTION("""COMPUTED_VALUE"""),0.0)</f>
        <v>0</v>
      </c>
      <c r="W438" s="99">
        <f>IFERROR(__xludf.DUMMYFUNCTION("""COMPUTED_VALUE"""),0.0)</f>
        <v>0</v>
      </c>
    </row>
    <row r="439">
      <c r="N439" s="98">
        <f>IFERROR(__xludf.DUMMYFUNCTION("""COMPUTED_VALUE"""),44068.0)</f>
        <v>44068</v>
      </c>
      <c r="O439" s="96" t="str">
        <f>IFERROR(__xludf.DUMMYFUNCTION("""COMPUTED_VALUE"""),"NORA ")</f>
        <v>NORA </v>
      </c>
      <c r="P439" s="96" t="str">
        <f>IFERROR(__xludf.DUMMYFUNCTION("""COMPUTED_VALUE"""),"DIRECTOR ORDER")</f>
        <v>DIRECTOR ORDER</v>
      </c>
      <c r="Q439" s="99">
        <f>IFERROR(__xludf.DUMMYFUNCTION("""COMPUTED_VALUE"""),5000.0)</f>
        <v>5000</v>
      </c>
      <c r="R439" s="96" t="str">
        <f>IFERROR(__xludf.DUMMYFUNCTION("""COMPUTED_VALUE"""),"General Expenses")</f>
        <v>General Expenses</v>
      </c>
      <c r="S439" s="99">
        <f>IFERROR(__xludf.DUMMYFUNCTION("""COMPUTED_VALUE"""),0.0)</f>
        <v>0</v>
      </c>
      <c r="T439" s="99">
        <f>IFERROR(__xludf.DUMMYFUNCTION("""COMPUTED_VALUE"""),5000.0)</f>
        <v>5000</v>
      </c>
      <c r="U439" s="99">
        <f>IFERROR(__xludf.DUMMYFUNCTION("""COMPUTED_VALUE"""),0.0)</f>
        <v>0</v>
      </c>
      <c r="V439" s="99">
        <f>IFERROR(__xludf.DUMMYFUNCTION("""COMPUTED_VALUE"""),0.0)</f>
        <v>0</v>
      </c>
      <c r="W439" s="99">
        <f>IFERROR(__xludf.DUMMYFUNCTION("""COMPUTED_VALUE"""),0.0)</f>
        <v>0</v>
      </c>
    </row>
    <row r="440">
      <c r="N440" s="98">
        <f>IFERROR(__xludf.DUMMYFUNCTION("""COMPUTED_VALUE"""),44068.0)</f>
        <v>44068</v>
      </c>
      <c r="O440" s="96" t="str">
        <f>IFERROR(__xludf.DUMMYFUNCTION("""COMPUTED_VALUE"""),"DIRECTOR")</f>
        <v>DIRECTOR</v>
      </c>
      <c r="P440" s="96" t="str">
        <f>IFERROR(__xludf.DUMMYFUNCTION("""COMPUTED_VALUE"""),"DIRECTOR ORDER")</f>
        <v>DIRECTOR ORDER</v>
      </c>
      <c r="Q440" s="99">
        <f>IFERROR(__xludf.DUMMYFUNCTION("""COMPUTED_VALUE"""),700000.0)</f>
        <v>700000</v>
      </c>
      <c r="R440" s="96" t="str">
        <f>IFERROR(__xludf.DUMMYFUNCTION("""COMPUTED_VALUE"""),"General Expenses")</f>
        <v>General Expenses</v>
      </c>
      <c r="S440" s="99">
        <f>IFERROR(__xludf.DUMMYFUNCTION("""COMPUTED_VALUE"""),0.0)</f>
        <v>0</v>
      </c>
      <c r="T440" s="99">
        <f>IFERROR(__xludf.DUMMYFUNCTION("""COMPUTED_VALUE"""),700000.0)</f>
        <v>700000</v>
      </c>
      <c r="U440" s="99">
        <f>IFERROR(__xludf.DUMMYFUNCTION("""COMPUTED_VALUE"""),0.0)</f>
        <v>0</v>
      </c>
      <c r="V440" s="99">
        <f>IFERROR(__xludf.DUMMYFUNCTION("""COMPUTED_VALUE"""),0.0)</f>
        <v>0</v>
      </c>
      <c r="W440" s="99">
        <f>IFERROR(__xludf.DUMMYFUNCTION("""COMPUTED_VALUE"""),0.0)</f>
        <v>0</v>
      </c>
    </row>
    <row r="441">
      <c r="N441" s="98">
        <f>IFERROR(__xludf.DUMMYFUNCTION("""COMPUTED_VALUE"""),44068.0)</f>
        <v>44068</v>
      </c>
      <c r="O441" s="96" t="str">
        <f>IFERROR(__xludf.DUMMYFUNCTION("""COMPUTED_VALUE"""),"CHINEDU")</f>
        <v>CHINEDU</v>
      </c>
      <c r="P441" s="96" t="str">
        <f>IFERROR(__xludf.DUMMYFUNCTION("""COMPUTED_VALUE"""),"SALARY ADVANCE")</f>
        <v>SALARY ADVANCE</v>
      </c>
      <c r="Q441" s="99">
        <f>IFERROR(__xludf.DUMMYFUNCTION("""COMPUTED_VALUE"""),10000.0)</f>
        <v>10000</v>
      </c>
      <c r="R441" s="96" t="str">
        <f>IFERROR(__xludf.DUMMYFUNCTION("""COMPUTED_VALUE"""),"General Expenses")</f>
        <v>General Expenses</v>
      </c>
      <c r="S441" s="99">
        <f>IFERROR(__xludf.DUMMYFUNCTION("""COMPUTED_VALUE"""),0.0)</f>
        <v>0</v>
      </c>
      <c r="T441" s="99">
        <f>IFERROR(__xludf.DUMMYFUNCTION("""COMPUTED_VALUE"""),10000.0)</f>
        <v>10000</v>
      </c>
      <c r="U441" s="99">
        <f>IFERROR(__xludf.DUMMYFUNCTION("""COMPUTED_VALUE"""),0.0)</f>
        <v>0</v>
      </c>
      <c r="V441" s="99">
        <f>IFERROR(__xludf.DUMMYFUNCTION("""COMPUTED_VALUE"""),0.0)</f>
        <v>0</v>
      </c>
      <c r="W441" s="99">
        <f>IFERROR(__xludf.DUMMYFUNCTION("""COMPUTED_VALUE"""),0.0)</f>
        <v>0</v>
      </c>
    </row>
    <row r="442">
      <c r="N442" s="98">
        <f>IFERROR(__xludf.DUMMYFUNCTION("""COMPUTED_VALUE"""),44068.0)</f>
        <v>44068</v>
      </c>
      <c r="O442" s="96" t="str">
        <f>IFERROR(__xludf.DUMMYFUNCTION("""COMPUTED_VALUE"""),"ANDY")</f>
        <v>ANDY</v>
      </c>
      <c r="P442" s="96" t="str">
        <f>IFERROR(__xludf.DUMMYFUNCTION("""COMPUTED_VALUE"""),"TRANSPORTATION")</f>
        <v>TRANSPORTATION</v>
      </c>
      <c r="Q442" s="99">
        <f>IFERROR(__xludf.DUMMYFUNCTION("""COMPUTED_VALUE"""),200.0)</f>
        <v>200</v>
      </c>
      <c r="R442" s="96" t="str">
        <f>IFERROR(__xludf.DUMMYFUNCTION("""COMPUTED_VALUE"""),"General Expenses")</f>
        <v>General Expenses</v>
      </c>
      <c r="S442" s="99">
        <f>IFERROR(__xludf.DUMMYFUNCTION("""COMPUTED_VALUE"""),0.0)</f>
        <v>0</v>
      </c>
      <c r="T442" s="99">
        <f>IFERROR(__xludf.DUMMYFUNCTION("""COMPUTED_VALUE"""),200.0)</f>
        <v>200</v>
      </c>
      <c r="U442" s="99">
        <f>IFERROR(__xludf.DUMMYFUNCTION("""COMPUTED_VALUE"""),0.0)</f>
        <v>0</v>
      </c>
      <c r="V442" s="99">
        <f>IFERROR(__xludf.DUMMYFUNCTION("""COMPUTED_VALUE"""),0.0)</f>
        <v>0</v>
      </c>
      <c r="W442" s="99">
        <f>IFERROR(__xludf.DUMMYFUNCTION("""COMPUTED_VALUE"""),0.0)</f>
        <v>0</v>
      </c>
    </row>
    <row r="443">
      <c r="N443" s="98">
        <f>IFERROR(__xludf.DUMMYFUNCTION("""COMPUTED_VALUE"""),44068.0)</f>
        <v>44068</v>
      </c>
      <c r="O443" s="96" t="str">
        <f>IFERROR(__xludf.DUMMYFUNCTION("""COMPUTED_VALUE"""),"DIRECTOR")</f>
        <v>DIRECTOR</v>
      </c>
      <c r="P443" s="96" t="str">
        <f>IFERROR(__xludf.DUMMYFUNCTION("""COMPUTED_VALUE"""),"PERSONAL USE")</f>
        <v>PERSONAL USE</v>
      </c>
      <c r="Q443" s="99">
        <f>IFERROR(__xludf.DUMMYFUNCTION("""COMPUTED_VALUE"""),40000.0)</f>
        <v>40000</v>
      </c>
      <c r="R443" s="96" t="str">
        <f>IFERROR(__xludf.DUMMYFUNCTION("""COMPUTED_VALUE"""),"General Expenses")</f>
        <v>General Expenses</v>
      </c>
      <c r="S443" s="99">
        <f>IFERROR(__xludf.DUMMYFUNCTION("""COMPUTED_VALUE"""),0.0)</f>
        <v>0</v>
      </c>
      <c r="T443" s="99">
        <f>IFERROR(__xludf.DUMMYFUNCTION("""COMPUTED_VALUE"""),40000.0)</f>
        <v>40000</v>
      </c>
      <c r="U443" s="99">
        <f>IFERROR(__xludf.DUMMYFUNCTION("""COMPUTED_VALUE"""),0.0)</f>
        <v>0</v>
      </c>
      <c r="V443" s="99">
        <f>IFERROR(__xludf.DUMMYFUNCTION("""COMPUTED_VALUE"""),0.0)</f>
        <v>0</v>
      </c>
      <c r="W443" s="99">
        <f>IFERROR(__xludf.DUMMYFUNCTION("""COMPUTED_VALUE"""),0.0)</f>
        <v>0</v>
      </c>
    </row>
    <row r="444">
      <c r="N444" s="98">
        <f>IFERROR(__xludf.DUMMYFUNCTION("""COMPUTED_VALUE"""),44068.0)</f>
        <v>44068</v>
      </c>
      <c r="O444" s="96" t="str">
        <f>IFERROR(__xludf.DUMMYFUNCTION("""COMPUTED_VALUE"""),"DIAMOND")</f>
        <v>DIAMOND</v>
      </c>
      <c r="P444" s="96" t="str">
        <f>IFERROR(__xludf.DUMMYFUNCTION("""COMPUTED_VALUE"""),"REPAIRS")</f>
        <v>REPAIRS</v>
      </c>
      <c r="Q444" s="99">
        <f>IFERROR(__xludf.DUMMYFUNCTION("""COMPUTED_VALUE"""),5000.0)</f>
        <v>5000</v>
      </c>
      <c r="R444" s="96" t="str">
        <f>IFERROR(__xludf.DUMMYFUNCTION("""COMPUTED_VALUE"""),"General Expenses")</f>
        <v>General Expenses</v>
      </c>
      <c r="S444" s="99">
        <f>IFERROR(__xludf.DUMMYFUNCTION("""COMPUTED_VALUE"""),0.0)</f>
        <v>0</v>
      </c>
      <c r="T444" s="99">
        <f>IFERROR(__xludf.DUMMYFUNCTION("""COMPUTED_VALUE"""),5000.0)</f>
        <v>5000</v>
      </c>
      <c r="U444" s="99">
        <f>IFERROR(__xludf.DUMMYFUNCTION("""COMPUTED_VALUE"""),0.0)</f>
        <v>0</v>
      </c>
      <c r="V444" s="99">
        <f>IFERROR(__xludf.DUMMYFUNCTION("""COMPUTED_VALUE"""),0.0)</f>
        <v>0</v>
      </c>
      <c r="W444" s="99">
        <f>IFERROR(__xludf.DUMMYFUNCTION("""COMPUTED_VALUE"""),0.0)</f>
        <v>0</v>
      </c>
    </row>
    <row r="445">
      <c r="N445" s="98">
        <f>IFERROR(__xludf.DUMMYFUNCTION("""COMPUTED_VALUE"""),44068.0)</f>
        <v>44068</v>
      </c>
      <c r="O445" s="96" t="str">
        <f>IFERROR(__xludf.DUMMYFUNCTION("""COMPUTED_VALUE"""),"BLESSING CHAPMAN")</f>
        <v>BLESSING CHAPMAN</v>
      </c>
      <c r="P445" s="96" t="str">
        <f>IFERROR(__xludf.DUMMYFUNCTION("""COMPUTED_VALUE"""),"CASH COLLECTED")</f>
        <v>CASH COLLECTED</v>
      </c>
      <c r="Q445" s="99">
        <f>IFERROR(__xludf.DUMMYFUNCTION("""COMPUTED_VALUE"""),1610200.0)</f>
        <v>1610200</v>
      </c>
      <c r="R445" s="96" t="str">
        <f>IFERROR(__xludf.DUMMYFUNCTION("""COMPUTED_VALUE"""),"Petty Cash")</f>
        <v>Petty Cash</v>
      </c>
      <c r="S445" s="99">
        <f>IFERROR(__xludf.DUMMYFUNCTION("""COMPUTED_VALUE"""),0.0)</f>
        <v>0</v>
      </c>
      <c r="T445" s="99">
        <f>IFERROR(__xludf.DUMMYFUNCTION("""COMPUTED_VALUE"""),0.0)</f>
        <v>0</v>
      </c>
      <c r="U445" s="99">
        <f>IFERROR(__xludf.DUMMYFUNCTION("""COMPUTED_VALUE"""),0.0)</f>
        <v>0</v>
      </c>
      <c r="V445" s="99">
        <f>IFERROR(__xludf.DUMMYFUNCTION("""COMPUTED_VALUE"""),1610200.0)</f>
        <v>1610200</v>
      </c>
      <c r="W445" s="99">
        <f>IFERROR(__xludf.DUMMYFUNCTION("""COMPUTED_VALUE"""),0.0)</f>
        <v>0</v>
      </c>
    </row>
    <row r="446">
      <c r="N446" s="98">
        <f>IFERROR(__xludf.DUMMYFUNCTION("""COMPUTED_VALUE"""),44068.0)</f>
        <v>44068</v>
      </c>
      <c r="O446" s="96" t="str">
        <f>IFERROR(__xludf.DUMMYFUNCTION("""COMPUTED_VALUE"""),"MANAGER")</f>
        <v>MANAGER</v>
      </c>
      <c r="P446" s="96" t="str">
        <f>IFERROR(__xludf.DUMMYFUNCTION("""COMPUTED_VALUE"""),"CASH-IN")</f>
        <v>CASH-IN</v>
      </c>
      <c r="Q446" s="99">
        <f>IFERROR(__xludf.DUMMYFUNCTION("""COMPUTED_VALUE"""),2320000.0)</f>
        <v>2320000</v>
      </c>
      <c r="R446" s="96" t="str">
        <f>IFERROR(__xludf.DUMMYFUNCTION("""COMPUTED_VALUE"""),"From Bank")</f>
        <v>From Bank</v>
      </c>
      <c r="S446" s="99">
        <f>IFERROR(__xludf.DUMMYFUNCTION("""COMPUTED_VALUE"""),0.0)</f>
        <v>0</v>
      </c>
      <c r="T446" s="99">
        <f>IFERROR(__xludf.DUMMYFUNCTION("""COMPUTED_VALUE"""),0.0)</f>
        <v>0</v>
      </c>
      <c r="U446" s="99">
        <f>IFERROR(__xludf.DUMMYFUNCTION("""COMPUTED_VALUE"""),2320000.0)</f>
        <v>2320000</v>
      </c>
      <c r="V446" s="99">
        <f>IFERROR(__xludf.DUMMYFUNCTION("""COMPUTED_VALUE"""),0.0)</f>
        <v>0</v>
      </c>
      <c r="W446" s="99">
        <f>IFERROR(__xludf.DUMMYFUNCTION("""COMPUTED_VALUE"""),0.0)</f>
        <v>0</v>
      </c>
    </row>
    <row r="447">
      <c r="N447" s="98">
        <f>IFERROR(__xludf.DUMMYFUNCTION("""COMPUTED_VALUE"""),44069.0)</f>
        <v>44069</v>
      </c>
      <c r="O447" s="96" t="str">
        <f>IFERROR(__xludf.DUMMYFUNCTION("""COMPUTED_VALUE"""),"ANDRDEW GREAT")</f>
        <v>ANDRDEW GREAT</v>
      </c>
      <c r="P447" s="96" t="str">
        <f>IFERROR(__xludf.DUMMYFUNCTION("""COMPUTED_VALUE"""),"ADVANCE")</f>
        <v>ADVANCE</v>
      </c>
      <c r="Q447" s="99">
        <f>IFERROR(__xludf.DUMMYFUNCTION("""COMPUTED_VALUE"""),200000.0)</f>
        <v>200000</v>
      </c>
      <c r="R447" s="96" t="str">
        <f>IFERROR(__xludf.DUMMYFUNCTION("""COMPUTED_VALUE"""),"Prefinance")</f>
        <v>Prefinance</v>
      </c>
      <c r="S447" s="99">
        <f>IFERROR(__xludf.DUMMYFUNCTION("""COMPUTED_VALUE"""),0.0)</f>
        <v>0</v>
      </c>
      <c r="T447" s="99">
        <f>IFERROR(__xludf.DUMMYFUNCTION("""COMPUTED_VALUE"""),0.0)</f>
        <v>0</v>
      </c>
      <c r="U447" s="99">
        <f>IFERROR(__xludf.DUMMYFUNCTION("""COMPUTED_VALUE"""),0.0)</f>
        <v>0</v>
      </c>
      <c r="V447" s="99">
        <f>IFERROR(__xludf.DUMMYFUNCTION("""COMPUTED_VALUE"""),0.0)</f>
        <v>0</v>
      </c>
      <c r="W447" s="99">
        <f>IFERROR(__xludf.DUMMYFUNCTION("""COMPUTED_VALUE"""),0.0)</f>
        <v>0</v>
      </c>
    </row>
    <row r="448">
      <c r="N448" s="98">
        <f>IFERROR(__xludf.DUMMYFUNCTION("""COMPUTED_VALUE"""),44069.0)</f>
        <v>44069</v>
      </c>
      <c r="O448" s="96" t="str">
        <f>IFERROR(__xludf.DUMMYFUNCTION("""COMPUTED_VALUE"""),"EDWARD OKO")</f>
        <v>EDWARD OKO</v>
      </c>
      <c r="P448" s="96" t="str">
        <f>IFERROR(__xludf.DUMMYFUNCTION("""COMPUTED_VALUE"""),"ADVANCE")</f>
        <v>ADVANCE</v>
      </c>
      <c r="Q448" s="99">
        <f>IFERROR(__xludf.DUMMYFUNCTION("""COMPUTED_VALUE"""),100000.0)</f>
        <v>100000</v>
      </c>
      <c r="R448" s="96" t="str">
        <f>IFERROR(__xludf.DUMMYFUNCTION("""COMPUTED_VALUE"""),"Prefinance")</f>
        <v>Prefinance</v>
      </c>
      <c r="S448" s="99">
        <f>IFERROR(__xludf.DUMMYFUNCTION("""COMPUTED_VALUE"""),0.0)</f>
        <v>0</v>
      </c>
      <c r="T448" s="99">
        <f>IFERROR(__xludf.DUMMYFUNCTION("""COMPUTED_VALUE"""),0.0)</f>
        <v>0</v>
      </c>
      <c r="U448" s="99">
        <f>IFERROR(__xludf.DUMMYFUNCTION("""COMPUTED_VALUE"""),0.0)</f>
        <v>0</v>
      </c>
      <c r="V448" s="99">
        <f>IFERROR(__xludf.DUMMYFUNCTION("""COMPUTED_VALUE"""),0.0)</f>
        <v>0</v>
      </c>
      <c r="W448" s="99">
        <f>IFERROR(__xludf.DUMMYFUNCTION("""COMPUTED_VALUE"""),0.0)</f>
        <v>0</v>
      </c>
    </row>
    <row r="449">
      <c r="N449" s="98">
        <f>IFERROR(__xludf.DUMMYFUNCTION("""COMPUTED_VALUE"""),44069.0)</f>
        <v>44069</v>
      </c>
      <c r="O449" s="96" t="str">
        <f>IFERROR(__xludf.DUMMYFUNCTION("""COMPUTED_VALUE"""),"LYDIA HNSON ")</f>
        <v>LYDIA HNSON </v>
      </c>
      <c r="P449" s="96" t="str">
        <f>IFERROR(__xludf.DUMMYFUNCTION("""COMPUTED_VALUE"""),"ADVANCE")</f>
        <v>ADVANCE</v>
      </c>
      <c r="Q449" s="99">
        <f>IFERROR(__xludf.DUMMYFUNCTION("""COMPUTED_VALUE"""),1990000.0)</f>
        <v>1990000</v>
      </c>
      <c r="R449" s="96" t="str">
        <f>IFERROR(__xludf.DUMMYFUNCTION("""COMPUTED_VALUE"""),"Prefinance")</f>
        <v>Prefinance</v>
      </c>
      <c r="S449" s="99">
        <f>IFERROR(__xludf.DUMMYFUNCTION("""COMPUTED_VALUE"""),0.0)</f>
        <v>0</v>
      </c>
      <c r="T449" s="99">
        <f>IFERROR(__xludf.DUMMYFUNCTION("""COMPUTED_VALUE"""),0.0)</f>
        <v>0</v>
      </c>
      <c r="U449" s="99">
        <f>IFERROR(__xludf.DUMMYFUNCTION("""COMPUTED_VALUE"""),0.0)</f>
        <v>0</v>
      </c>
      <c r="V449" s="99">
        <f>IFERROR(__xludf.DUMMYFUNCTION("""COMPUTED_VALUE"""),0.0)</f>
        <v>0</v>
      </c>
      <c r="W449" s="99">
        <f>IFERROR(__xludf.DUMMYFUNCTION("""COMPUTED_VALUE"""),0.0)</f>
        <v>0</v>
      </c>
    </row>
    <row r="450">
      <c r="N450" s="98">
        <f>IFERROR(__xludf.DUMMYFUNCTION("""COMPUTED_VALUE"""),44069.0)</f>
        <v>44069</v>
      </c>
      <c r="O450" s="96" t="str">
        <f>IFERROR(__xludf.DUMMYFUNCTION("""COMPUTED_VALUE"""),"LIVINUS")</f>
        <v>LIVINUS</v>
      </c>
      <c r="P450" s="96" t="str">
        <f>IFERROR(__xludf.DUMMYFUNCTION("""COMPUTED_VALUE"""),"ADVANCE")</f>
        <v>ADVANCE</v>
      </c>
      <c r="Q450" s="99">
        <f>IFERROR(__xludf.DUMMYFUNCTION("""COMPUTED_VALUE"""),2250000.0)</f>
        <v>2250000</v>
      </c>
      <c r="R450" s="96" t="str">
        <f>IFERROR(__xludf.DUMMYFUNCTION("""COMPUTED_VALUE"""),"Prefinance")</f>
        <v>Prefinance</v>
      </c>
      <c r="S450" s="99">
        <f>IFERROR(__xludf.DUMMYFUNCTION("""COMPUTED_VALUE"""),0.0)</f>
        <v>0</v>
      </c>
      <c r="T450" s="99">
        <f>IFERROR(__xludf.DUMMYFUNCTION("""COMPUTED_VALUE"""),0.0)</f>
        <v>0</v>
      </c>
      <c r="U450" s="99">
        <f>IFERROR(__xludf.DUMMYFUNCTION("""COMPUTED_VALUE"""),0.0)</f>
        <v>0</v>
      </c>
      <c r="V450" s="99">
        <f>IFERROR(__xludf.DUMMYFUNCTION("""COMPUTED_VALUE"""),0.0)</f>
        <v>0</v>
      </c>
      <c r="W450" s="99">
        <f>IFERROR(__xludf.DUMMYFUNCTION("""COMPUTED_VALUE"""),0.0)</f>
        <v>0</v>
      </c>
    </row>
    <row r="451">
      <c r="N451" s="98">
        <f>IFERROR(__xludf.DUMMYFUNCTION("""COMPUTED_VALUE"""),44069.0)</f>
        <v>44069</v>
      </c>
      <c r="O451" s="96" t="str">
        <f>IFERROR(__xludf.DUMMYFUNCTION("""COMPUTED_VALUE"""),"MAXWELL AGRO OBI")</f>
        <v>MAXWELL AGRO OBI</v>
      </c>
      <c r="P451" s="96" t="str">
        <f>IFERROR(__xludf.DUMMYFUNCTION("""COMPUTED_VALUE"""),"ADVANCE")</f>
        <v>ADVANCE</v>
      </c>
      <c r="Q451" s="99">
        <f>IFERROR(__xludf.DUMMYFUNCTION("""COMPUTED_VALUE"""),500000.0)</f>
        <v>500000</v>
      </c>
      <c r="R451" s="96" t="str">
        <f>IFERROR(__xludf.DUMMYFUNCTION("""COMPUTED_VALUE"""),"Prefinance")</f>
        <v>Prefinance</v>
      </c>
      <c r="S451" s="99">
        <f>IFERROR(__xludf.DUMMYFUNCTION("""COMPUTED_VALUE"""),0.0)</f>
        <v>0</v>
      </c>
      <c r="T451" s="99">
        <f>IFERROR(__xludf.DUMMYFUNCTION("""COMPUTED_VALUE"""),0.0)</f>
        <v>0</v>
      </c>
      <c r="U451" s="99">
        <f>IFERROR(__xludf.DUMMYFUNCTION("""COMPUTED_VALUE"""),0.0)</f>
        <v>0</v>
      </c>
      <c r="V451" s="99">
        <f>IFERROR(__xludf.DUMMYFUNCTION("""COMPUTED_VALUE"""),0.0)</f>
        <v>0</v>
      </c>
      <c r="W451" s="99">
        <f>IFERROR(__xludf.DUMMYFUNCTION("""COMPUTED_VALUE"""),0.0)</f>
        <v>0</v>
      </c>
    </row>
    <row r="452">
      <c r="N452" s="98">
        <f>IFERROR(__xludf.DUMMYFUNCTION("""COMPUTED_VALUE"""),44069.0)</f>
        <v>44069</v>
      </c>
      <c r="O452" s="96" t="str">
        <f>IFERROR(__xludf.DUMMYFUNCTION("""COMPUTED_VALUE"""),"NDOMA BODE I.D")</f>
        <v>NDOMA BODE I.D</v>
      </c>
      <c r="P452" s="96" t="str">
        <f>IFERROR(__xludf.DUMMYFUNCTION("""COMPUTED_VALUE"""),"ADVANCE")</f>
        <v>ADVANCE</v>
      </c>
      <c r="Q452" s="99">
        <f>IFERROR(__xludf.DUMMYFUNCTION("""COMPUTED_VALUE"""),1052000.0)</f>
        <v>1052000</v>
      </c>
      <c r="R452" s="96" t="str">
        <f>IFERROR(__xludf.DUMMYFUNCTION("""COMPUTED_VALUE"""),"Prefinance")</f>
        <v>Prefinance</v>
      </c>
      <c r="S452" s="99">
        <f>IFERROR(__xludf.DUMMYFUNCTION("""COMPUTED_VALUE"""),0.0)</f>
        <v>0</v>
      </c>
      <c r="T452" s="99">
        <f>IFERROR(__xludf.DUMMYFUNCTION("""COMPUTED_VALUE"""),0.0)</f>
        <v>0</v>
      </c>
      <c r="U452" s="99">
        <f>IFERROR(__xludf.DUMMYFUNCTION("""COMPUTED_VALUE"""),0.0)</f>
        <v>0</v>
      </c>
      <c r="V452" s="99">
        <f>IFERROR(__xludf.DUMMYFUNCTION("""COMPUTED_VALUE"""),0.0)</f>
        <v>0</v>
      </c>
      <c r="W452" s="99">
        <f>IFERROR(__xludf.DUMMYFUNCTION("""COMPUTED_VALUE"""),0.0)</f>
        <v>0</v>
      </c>
    </row>
    <row r="453">
      <c r="N453" s="98">
        <f>IFERROR(__xludf.DUMMYFUNCTION("""COMPUTED_VALUE"""),44069.0)</f>
        <v>44069</v>
      </c>
      <c r="O453" s="96" t="str">
        <f>IFERROR(__xludf.DUMMYFUNCTION("""COMPUTED_VALUE"""),"EUGENE")</f>
        <v>EUGENE</v>
      </c>
      <c r="P453" s="96" t="str">
        <f>IFERROR(__xludf.DUMMYFUNCTION("""COMPUTED_VALUE"""),"ADVANCE")</f>
        <v>ADVANCE</v>
      </c>
      <c r="Q453" s="99">
        <f>IFERROR(__xludf.DUMMYFUNCTION("""COMPUTED_VALUE"""),800000.0)</f>
        <v>800000</v>
      </c>
      <c r="R453" s="96" t="str">
        <f>IFERROR(__xludf.DUMMYFUNCTION("""COMPUTED_VALUE"""),"Prefinance")</f>
        <v>Prefinance</v>
      </c>
      <c r="S453" s="99">
        <f>IFERROR(__xludf.DUMMYFUNCTION("""COMPUTED_VALUE"""),0.0)</f>
        <v>0</v>
      </c>
      <c r="T453" s="99">
        <f>IFERROR(__xludf.DUMMYFUNCTION("""COMPUTED_VALUE"""),0.0)</f>
        <v>0</v>
      </c>
      <c r="U453" s="99">
        <f>IFERROR(__xludf.DUMMYFUNCTION("""COMPUTED_VALUE"""),0.0)</f>
        <v>0</v>
      </c>
      <c r="V453" s="99">
        <f>IFERROR(__xludf.DUMMYFUNCTION("""COMPUTED_VALUE"""),0.0)</f>
        <v>0</v>
      </c>
      <c r="W453" s="99">
        <f>IFERROR(__xludf.DUMMYFUNCTION("""COMPUTED_VALUE"""),0.0)</f>
        <v>0</v>
      </c>
    </row>
    <row r="454">
      <c r="N454" s="98">
        <f>IFERROR(__xludf.DUMMYFUNCTION("""COMPUTED_VALUE"""),44069.0)</f>
        <v>44069</v>
      </c>
      <c r="O454" s="96" t="str">
        <f>IFERROR(__xludf.DUMMYFUNCTION("""COMPUTED_VALUE"""),"HONORABLE ")</f>
        <v>HONORABLE </v>
      </c>
      <c r="P454" s="96" t="str">
        <f>IFERROR(__xludf.DUMMYFUNCTION("""COMPUTED_VALUE"""),"TRANSPORT")</f>
        <v>TRANSPORT</v>
      </c>
      <c r="Q454" s="99">
        <f>IFERROR(__xludf.DUMMYFUNCTION("""COMPUTED_VALUE"""),520000.0)</f>
        <v>520000</v>
      </c>
      <c r="R454" s="96" t="str">
        <f>IFERROR(__xludf.DUMMYFUNCTION("""COMPUTED_VALUE"""),"General Expenses")</f>
        <v>General Expenses</v>
      </c>
      <c r="S454" s="99">
        <f>IFERROR(__xludf.DUMMYFUNCTION("""COMPUTED_VALUE"""),0.0)</f>
        <v>0</v>
      </c>
      <c r="T454" s="99">
        <f>IFERROR(__xludf.DUMMYFUNCTION("""COMPUTED_VALUE"""),520000.0)</f>
        <v>520000</v>
      </c>
      <c r="U454" s="99">
        <f>IFERROR(__xludf.DUMMYFUNCTION("""COMPUTED_VALUE"""),0.0)</f>
        <v>0</v>
      </c>
      <c r="V454" s="99">
        <f>IFERROR(__xludf.DUMMYFUNCTION("""COMPUTED_VALUE"""),0.0)</f>
        <v>0</v>
      </c>
      <c r="W454" s="99">
        <f>IFERROR(__xludf.DUMMYFUNCTION("""COMPUTED_VALUE"""),0.0)</f>
        <v>0</v>
      </c>
    </row>
    <row r="455">
      <c r="N455" s="98">
        <f>IFERROR(__xludf.DUMMYFUNCTION("""COMPUTED_VALUE"""),44069.0)</f>
        <v>44069</v>
      </c>
      <c r="O455" s="96" t="str">
        <f>IFERROR(__xludf.DUMMYFUNCTION("""COMPUTED_VALUE"""),"MANAGER")</f>
        <v>MANAGER</v>
      </c>
      <c r="P455" s="96" t="str">
        <f>IFERROR(__xludf.DUMMYFUNCTION("""COMPUTED_VALUE"""),"CAN")</f>
        <v>CAN</v>
      </c>
      <c r="Q455" s="99">
        <f>IFERROR(__xludf.DUMMYFUNCTION("""COMPUTED_VALUE"""),20500.0)</f>
        <v>20500</v>
      </c>
      <c r="R455" s="96" t="str">
        <f>IFERROR(__xludf.DUMMYFUNCTION("""COMPUTED_VALUE"""),"General Expenses")</f>
        <v>General Expenses</v>
      </c>
      <c r="S455" s="99">
        <f>IFERROR(__xludf.DUMMYFUNCTION("""COMPUTED_VALUE"""),0.0)</f>
        <v>0</v>
      </c>
      <c r="T455" s="99">
        <f>IFERROR(__xludf.DUMMYFUNCTION("""COMPUTED_VALUE"""),20500.0)</f>
        <v>20500</v>
      </c>
      <c r="U455" s="99">
        <f>IFERROR(__xludf.DUMMYFUNCTION("""COMPUTED_VALUE"""),0.0)</f>
        <v>0</v>
      </c>
      <c r="V455" s="99">
        <f>IFERROR(__xludf.DUMMYFUNCTION("""COMPUTED_VALUE"""),0.0)</f>
        <v>0</v>
      </c>
      <c r="W455" s="99">
        <f>IFERROR(__xludf.DUMMYFUNCTION("""COMPUTED_VALUE"""),0.0)</f>
        <v>0</v>
      </c>
    </row>
    <row r="456">
      <c r="N456" s="98">
        <f>IFERROR(__xludf.DUMMYFUNCTION("""COMPUTED_VALUE"""),44069.0)</f>
        <v>44069</v>
      </c>
      <c r="O456" s="96" t="str">
        <f>IFERROR(__xludf.DUMMYFUNCTION("""COMPUTED_VALUE"""),"DIAMOND")</f>
        <v>DIAMOND</v>
      </c>
      <c r="P456" s="96" t="str">
        <f>IFERROR(__xludf.DUMMYFUNCTION("""COMPUTED_VALUE"""),"CHAIN")</f>
        <v>CHAIN</v>
      </c>
      <c r="Q456" s="99">
        <f>IFERROR(__xludf.DUMMYFUNCTION("""COMPUTED_VALUE"""),2500.0)</f>
        <v>2500</v>
      </c>
      <c r="R456" s="96" t="str">
        <f>IFERROR(__xludf.DUMMYFUNCTION("""COMPUTED_VALUE"""),"General Expenses")</f>
        <v>General Expenses</v>
      </c>
      <c r="S456" s="99">
        <f>IFERROR(__xludf.DUMMYFUNCTION("""COMPUTED_VALUE"""),0.0)</f>
        <v>0</v>
      </c>
      <c r="T456" s="99">
        <f>IFERROR(__xludf.DUMMYFUNCTION("""COMPUTED_VALUE"""),2500.0)</f>
        <v>2500</v>
      </c>
      <c r="U456" s="99">
        <f>IFERROR(__xludf.DUMMYFUNCTION("""COMPUTED_VALUE"""),0.0)</f>
        <v>0</v>
      </c>
      <c r="V456" s="99">
        <f>IFERROR(__xludf.DUMMYFUNCTION("""COMPUTED_VALUE"""),0.0)</f>
        <v>0</v>
      </c>
      <c r="W456" s="99">
        <f>IFERROR(__xludf.DUMMYFUNCTION("""COMPUTED_VALUE"""),0.0)</f>
        <v>0</v>
      </c>
    </row>
    <row r="457">
      <c r="N457" s="98">
        <f>IFERROR(__xludf.DUMMYFUNCTION("""COMPUTED_VALUE"""),44069.0)</f>
        <v>44069</v>
      </c>
      <c r="O457" s="96" t="str">
        <f>IFERROR(__xludf.DUMMYFUNCTION("""COMPUTED_VALUE"""),"LABOUR  BOY")</f>
        <v>LABOUR  BOY</v>
      </c>
      <c r="P457" s="96" t="str">
        <f>IFERROR(__xludf.DUMMYFUNCTION("""COMPUTED_VALUE"""),"ADVANCE WAGES")</f>
        <v>ADVANCE WAGES</v>
      </c>
      <c r="Q457" s="99">
        <f>IFERROR(__xludf.DUMMYFUNCTION("""COMPUTED_VALUE"""),4000.0)</f>
        <v>4000</v>
      </c>
      <c r="R457" s="96" t="str">
        <f>IFERROR(__xludf.DUMMYFUNCTION("""COMPUTED_VALUE"""),"General Expenses")</f>
        <v>General Expenses</v>
      </c>
      <c r="S457" s="99">
        <f>IFERROR(__xludf.DUMMYFUNCTION("""COMPUTED_VALUE"""),0.0)</f>
        <v>0</v>
      </c>
      <c r="T457" s="99">
        <f>IFERROR(__xludf.DUMMYFUNCTION("""COMPUTED_VALUE"""),4000.0)</f>
        <v>4000</v>
      </c>
      <c r="U457" s="99">
        <f>IFERROR(__xludf.DUMMYFUNCTION("""COMPUTED_VALUE"""),0.0)</f>
        <v>0</v>
      </c>
      <c r="V457" s="99">
        <f>IFERROR(__xludf.DUMMYFUNCTION("""COMPUTED_VALUE"""),0.0)</f>
        <v>0</v>
      </c>
      <c r="W457" s="99">
        <f>IFERROR(__xludf.DUMMYFUNCTION("""COMPUTED_VALUE"""),0.0)</f>
        <v>0</v>
      </c>
    </row>
    <row r="458">
      <c r="N458" s="98">
        <f>IFERROR(__xludf.DUMMYFUNCTION("""COMPUTED_VALUE"""),44069.0)</f>
        <v>44069</v>
      </c>
      <c r="O458" s="96" t="str">
        <f>IFERROR(__xludf.DUMMYFUNCTION("""COMPUTED_VALUE"""),"ABANGS. HNSON")</f>
        <v>ABANGS. HNSON</v>
      </c>
      <c r="P458" s="96" t="str">
        <f>IFERROR(__xludf.DUMMYFUNCTION("""COMPUTED_VALUE"""),"WEEDING OF FARM")</f>
        <v>WEEDING OF FARM</v>
      </c>
      <c r="Q458" s="99">
        <f>IFERROR(__xludf.DUMMYFUNCTION("""COMPUTED_VALUE"""),17000.0)</f>
        <v>17000</v>
      </c>
      <c r="R458" s="96" t="str">
        <f>IFERROR(__xludf.DUMMYFUNCTION("""COMPUTED_VALUE"""),"General Expenses")</f>
        <v>General Expenses</v>
      </c>
      <c r="S458" s="99">
        <f>IFERROR(__xludf.DUMMYFUNCTION("""COMPUTED_VALUE"""),0.0)</f>
        <v>0</v>
      </c>
      <c r="T458" s="99">
        <f>IFERROR(__xludf.DUMMYFUNCTION("""COMPUTED_VALUE"""),17000.0)</f>
        <v>17000</v>
      </c>
      <c r="U458" s="99">
        <f>IFERROR(__xludf.DUMMYFUNCTION("""COMPUTED_VALUE"""),0.0)</f>
        <v>0</v>
      </c>
      <c r="V458" s="99">
        <f>IFERROR(__xludf.DUMMYFUNCTION("""COMPUTED_VALUE"""),0.0)</f>
        <v>0</v>
      </c>
      <c r="W458" s="99">
        <f>IFERROR(__xludf.DUMMYFUNCTION("""COMPUTED_VALUE"""),0.0)</f>
        <v>0</v>
      </c>
    </row>
    <row r="459">
      <c r="N459" s="98">
        <f>IFERROR(__xludf.DUMMYFUNCTION("""COMPUTED_VALUE"""),44069.0)</f>
        <v>44069</v>
      </c>
      <c r="O459" s="96" t="str">
        <f>IFERROR(__xludf.DUMMYFUNCTION("""COMPUTED_VALUE"""),"DIRECTOR")</f>
        <v>DIRECTOR</v>
      </c>
      <c r="P459" s="96" t="str">
        <f>IFERROR(__xludf.DUMMYFUNCTION("""COMPUTED_VALUE"""),"MOTOR PAD")</f>
        <v>MOTOR PAD</v>
      </c>
      <c r="Q459" s="99">
        <f>IFERROR(__xludf.DUMMYFUNCTION("""COMPUTED_VALUE"""),30000.0)</f>
        <v>30000</v>
      </c>
      <c r="R459" s="96" t="str">
        <f>IFERROR(__xludf.DUMMYFUNCTION("""COMPUTED_VALUE"""),"General Expenses")</f>
        <v>General Expenses</v>
      </c>
      <c r="S459" s="99">
        <f>IFERROR(__xludf.DUMMYFUNCTION("""COMPUTED_VALUE"""),0.0)</f>
        <v>0</v>
      </c>
      <c r="T459" s="99">
        <f>IFERROR(__xludf.DUMMYFUNCTION("""COMPUTED_VALUE"""),30000.0)</f>
        <v>30000</v>
      </c>
      <c r="U459" s="99">
        <f>IFERROR(__xludf.DUMMYFUNCTION("""COMPUTED_VALUE"""),0.0)</f>
        <v>0</v>
      </c>
      <c r="V459" s="99">
        <f>IFERROR(__xludf.DUMMYFUNCTION("""COMPUTED_VALUE"""),0.0)</f>
        <v>0</v>
      </c>
      <c r="W459" s="99">
        <f>IFERROR(__xludf.DUMMYFUNCTION("""COMPUTED_VALUE"""),0.0)</f>
        <v>0</v>
      </c>
    </row>
    <row r="460">
      <c r="N460" s="98">
        <f>IFERROR(__xludf.DUMMYFUNCTION("""COMPUTED_VALUE"""),44069.0)</f>
        <v>44069</v>
      </c>
      <c r="O460" s="96" t="str">
        <f>IFERROR(__xludf.DUMMYFUNCTION("""COMPUTED_VALUE"""),"BLESSING CHAPMAN")</f>
        <v>BLESSING CHAPMAN</v>
      </c>
      <c r="P460" s="96" t="str">
        <f>IFERROR(__xludf.DUMMYFUNCTION("""COMPUTED_VALUE"""),"CASH COLLECTED")</f>
        <v>CASH COLLECTED</v>
      </c>
      <c r="Q460" s="99">
        <f>IFERROR(__xludf.DUMMYFUNCTION("""COMPUTED_VALUE"""),888500.0)</f>
        <v>888500</v>
      </c>
      <c r="R460" s="96" t="str">
        <f>IFERROR(__xludf.DUMMYFUNCTION("""COMPUTED_VALUE"""),"Petty Cash")</f>
        <v>Petty Cash</v>
      </c>
      <c r="S460" s="99">
        <f>IFERROR(__xludf.DUMMYFUNCTION("""COMPUTED_VALUE"""),0.0)</f>
        <v>0</v>
      </c>
      <c r="T460" s="99">
        <f>IFERROR(__xludf.DUMMYFUNCTION("""COMPUTED_VALUE"""),0.0)</f>
        <v>0</v>
      </c>
      <c r="U460" s="99">
        <f>IFERROR(__xludf.DUMMYFUNCTION("""COMPUTED_VALUE"""),0.0)</f>
        <v>0</v>
      </c>
      <c r="V460" s="99">
        <f>IFERROR(__xludf.DUMMYFUNCTION("""COMPUTED_VALUE"""),888500.0)</f>
        <v>888500</v>
      </c>
      <c r="W460" s="99">
        <f>IFERROR(__xludf.DUMMYFUNCTION("""COMPUTED_VALUE"""),0.0)</f>
        <v>0</v>
      </c>
    </row>
    <row r="461">
      <c r="N461" s="98">
        <f>IFERROR(__xludf.DUMMYFUNCTION("""COMPUTED_VALUE"""),44069.0)</f>
        <v>44069</v>
      </c>
      <c r="O461" s="96" t="str">
        <f>IFERROR(__xludf.DUMMYFUNCTION("""COMPUTED_VALUE"""),"DIRECTOR")</f>
        <v>DIRECTOR</v>
      </c>
      <c r="P461" s="96" t="str">
        <f>IFERROR(__xludf.DUMMYFUNCTION("""COMPUTED_VALUE"""),"CASH-IN")</f>
        <v>CASH-IN</v>
      </c>
      <c r="Q461" s="99">
        <f>IFERROR(__xludf.DUMMYFUNCTION("""COMPUTED_VALUE"""),300000.0)</f>
        <v>300000</v>
      </c>
      <c r="R461" s="96" t="str">
        <f>IFERROR(__xludf.DUMMYFUNCTION("""COMPUTED_VALUE"""),"From Bank")</f>
        <v>From Bank</v>
      </c>
      <c r="S461" s="99">
        <f>IFERROR(__xludf.DUMMYFUNCTION("""COMPUTED_VALUE"""),0.0)</f>
        <v>0</v>
      </c>
      <c r="T461" s="99">
        <f>IFERROR(__xludf.DUMMYFUNCTION("""COMPUTED_VALUE"""),0.0)</f>
        <v>0</v>
      </c>
      <c r="U461" s="99">
        <f>IFERROR(__xludf.DUMMYFUNCTION("""COMPUTED_VALUE"""),300000.0)</f>
        <v>300000</v>
      </c>
      <c r="V461" s="99">
        <f>IFERROR(__xludf.DUMMYFUNCTION("""COMPUTED_VALUE"""),0.0)</f>
        <v>0</v>
      </c>
      <c r="W461" s="99">
        <f>IFERROR(__xludf.DUMMYFUNCTION("""COMPUTED_VALUE"""),0.0)</f>
        <v>0</v>
      </c>
    </row>
    <row r="462">
      <c r="N462" s="98">
        <f>IFERROR(__xludf.DUMMYFUNCTION("""COMPUTED_VALUE"""),44069.0)</f>
        <v>44069</v>
      </c>
      <c r="O462" s="96" t="str">
        <f>IFERROR(__xludf.DUMMYFUNCTION("""COMPUTED_VALUE"""),"MANAGER")</f>
        <v>MANAGER</v>
      </c>
      <c r="P462" s="96" t="str">
        <f>IFERROR(__xludf.DUMMYFUNCTION("""COMPUTED_VALUE"""),"CASH-IN")</f>
        <v>CASH-IN</v>
      </c>
      <c r="Q462" s="99">
        <f>IFERROR(__xludf.DUMMYFUNCTION("""COMPUTED_VALUE"""),7100000.0)</f>
        <v>7100000</v>
      </c>
      <c r="R462" s="96" t="str">
        <f>IFERROR(__xludf.DUMMYFUNCTION("""COMPUTED_VALUE"""),"From Bank")</f>
        <v>From Bank</v>
      </c>
      <c r="S462" s="99">
        <f>IFERROR(__xludf.DUMMYFUNCTION("""COMPUTED_VALUE"""),0.0)</f>
        <v>0</v>
      </c>
      <c r="T462" s="99">
        <f>IFERROR(__xludf.DUMMYFUNCTION("""COMPUTED_VALUE"""),0.0)</f>
        <v>0</v>
      </c>
      <c r="U462" s="99">
        <f>IFERROR(__xludf.DUMMYFUNCTION("""COMPUTED_VALUE"""),7100000.0)</f>
        <v>7100000</v>
      </c>
      <c r="V462" s="99">
        <f>IFERROR(__xludf.DUMMYFUNCTION("""COMPUTED_VALUE"""),0.0)</f>
        <v>0</v>
      </c>
      <c r="W462" s="99">
        <f>IFERROR(__xludf.DUMMYFUNCTION("""COMPUTED_VALUE"""),0.0)</f>
        <v>0</v>
      </c>
    </row>
    <row r="463">
      <c r="N463" s="98">
        <f>IFERROR(__xludf.DUMMYFUNCTION("""COMPUTED_VALUE"""),44069.0)</f>
        <v>44069</v>
      </c>
      <c r="O463" s="96" t="str">
        <f>IFERROR(__xludf.DUMMYFUNCTION("""COMPUTED_VALUE"""),"NEIGHBOR")</f>
        <v>NEIGHBOR</v>
      </c>
      <c r="P463" s="96" t="str">
        <f>IFERROR(__xludf.DUMMYFUNCTION("""COMPUTED_VALUE"""),"PAYMENT")</f>
        <v>PAYMENT</v>
      </c>
      <c r="Q463" s="99">
        <f>IFERROR(__xludf.DUMMYFUNCTION("""COMPUTED_VALUE"""),20400.0)</f>
        <v>20400</v>
      </c>
      <c r="R463" s="96" t="str">
        <f>IFERROR(__xludf.DUMMYFUNCTION("""COMPUTED_VALUE"""),"Prefinance")</f>
        <v>Prefinance</v>
      </c>
      <c r="S463" s="99">
        <f>IFERROR(__xludf.DUMMYFUNCTION("""COMPUTED_VALUE"""),0.0)</f>
        <v>0</v>
      </c>
      <c r="T463" s="99">
        <f>IFERROR(__xludf.DUMMYFUNCTION("""COMPUTED_VALUE"""),0.0)</f>
        <v>0</v>
      </c>
      <c r="U463" s="99">
        <f>IFERROR(__xludf.DUMMYFUNCTION("""COMPUTED_VALUE"""),0.0)</f>
        <v>0</v>
      </c>
      <c r="V463" s="99">
        <f>IFERROR(__xludf.DUMMYFUNCTION("""COMPUTED_VALUE"""),0.0)</f>
        <v>0</v>
      </c>
      <c r="W463" s="99">
        <f>IFERROR(__xludf.DUMMYFUNCTION("""COMPUTED_VALUE"""),0.0)</f>
        <v>0</v>
      </c>
    </row>
    <row r="464">
      <c r="N464" s="98">
        <f>IFERROR(__xludf.DUMMYFUNCTION("""COMPUTED_VALUE"""),44070.0)</f>
        <v>44070</v>
      </c>
      <c r="O464" s="96" t="str">
        <f>IFERROR(__xludf.DUMMYFUNCTION("""COMPUTED_VALUE"""),"CONNECT")</f>
        <v>CONNECT</v>
      </c>
      <c r="P464" s="96" t="str">
        <f>IFERROR(__xludf.DUMMYFUNCTION("""COMPUTED_VALUE"""),"ADVANCE (DIR)")</f>
        <v>ADVANCE (DIR)</v>
      </c>
      <c r="Q464" s="99">
        <f>IFERROR(__xludf.DUMMYFUNCTION("""COMPUTED_VALUE"""),2000000.0)</f>
        <v>2000000</v>
      </c>
      <c r="R464" s="96" t="str">
        <f>IFERROR(__xludf.DUMMYFUNCTION("""COMPUTED_VALUE"""),"Prefinance")</f>
        <v>Prefinance</v>
      </c>
      <c r="S464" s="99">
        <f>IFERROR(__xludf.DUMMYFUNCTION("""COMPUTED_VALUE"""),0.0)</f>
        <v>0</v>
      </c>
      <c r="T464" s="99">
        <f>IFERROR(__xludf.DUMMYFUNCTION("""COMPUTED_VALUE"""),0.0)</f>
        <v>0</v>
      </c>
      <c r="U464" s="99">
        <f>IFERROR(__xludf.DUMMYFUNCTION("""COMPUTED_VALUE"""),0.0)</f>
        <v>0</v>
      </c>
      <c r="V464" s="99">
        <f>IFERROR(__xludf.DUMMYFUNCTION("""COMPUTED_VALUE"""),0.0)</f>
        <v>0</v>
      </c>
      <c r="W464" s="99">
        <f>IFERROR(__xludf.DUMMYFUNCTION("""COMPUTED_VALUE"""),0.0)</f>
        <v>0</v>
      </c>
    </row>
    <row r="465">
      <c r="N465" s="98">
        <f>IFERROR(__xludf.DUMMYFUNCTION("""COMPUTED_VALUE"""),44070.0)</f>
        <v>44070</v>
      </c>
      <c r="O465" s="96" t="str">
        <f>IFERROR(__xludf.DUMMYFUNCTION("""COMPUTED_VALUE"""),"AUGUSTINE IGBA")</f>
        <v>AUGUSTINE IGBA</v>
      </c>
      <c r="P465" s="96" t="str">
        <f>IFERROR(__xludf.DUMMYFUNCTION("""COMPUTED_VALUE"""),"ADVANCE (DIR)")</f>
        <v>ADVANCE (DIR)</v>
      </c>
      <c r="Q465" s="99">
        <f>IFERROR(__xludf.DUMMYFUNCTION("""COMPUTED_VALUE"""),2000000.0)</f>
        <v>2000000</v>
      </c>
      <c r="R465" s="96" t="str">
        <f>IFERROR(__xludf.DUMMYFUNCTION("""COMPUTED_VALUE"""),"Prefinance")</f>
        <v>Prefinance</v>
      </c>
      <c r="S465" s="99">
        <f>IFERROR(__xludf.DUMMYFUNCTION("""COMPUTED_VALUE"""),0.0)</f>
        <v>0</v>
      </c>
      <c r="T465" s="99">
        <f>IFERROR(__xludf.DUMMYFUNCTION("""COMPUTED_VALUE"""),0.0)</f>
        <v>0</v>
      </c>
      <c r="U465" s="99">
        <f>IFERROR(__xludf.DUMMYFUNCTION("""COMPUTED_VALUE"""),0.0)</f>
        <v>0</v>
      </c>
      <c r="V465" s="99">
        <f>IFERROR(__xludf.DUMMYFUNCTION("""COMPUTED_VALUE"""),0.0)</f>
        <v>0</v>
      </c>
      <c r="W465" s="99">
        <f>IFERROR(__xludf.DUMMYFUNCTION("""COMPUTED_VALUE"""),0.0)</f>
        <v>0</v>
      </c>
    </row>
    <row r="466">
      <c r="N466" s="98">
        <f>IFERROR(__xludf.DUMMYFUNCTION("""COMPUTED_VALUE"""),44070.0)</f>
        <v>44070</v>
      </c>
      <c r="O466" s="96" t="str">
        <f>IFERROR(__xludf.DUMMYFUNCTION("""COMPUTED_VALUE"""),"OTU KOKO KEIBO")</f>
        <v>OTU KOKO KEIBO</v>
      </c>
      <c r="P466" s="96" t="str">
        <f>IFERROR(__xludf.DUMMYFUNCTION("""COMPUTED_VALUE"""),"ADVANCE ")</f>
        <v>ADVANCE </v>
      </c>
      <c r="Q466" s="99">
        <f>IFERROR(__xludf.DUMMYFUNCTION("""COMPUTED_VALUE"""),35000.0)</f>
        <v>35000</v>
      </c>
      <c r="R466" s="96" t="str">
        <f>IFERROR(__xludf.DUMMYFUNCTION("""COMPUTED_VALUE"""),"Prefinance")</f>
        <v>Prefinance</v>
      </c>
      <c r="S466" s="99">
        <f>IFERROR(__xludf.DUMMYFUNCTION("""COMPUTED_VALUE"""),0.0)</f>
        <v>0</v>
      </c>
      <c r="T466" s="99">
        <f>IFERROR(__xludf.DUMMYFUNCTION("""COMPUTED_VALUE"""),0.0)</f>
        <v>0</v>
      </c>
      <c r="U466" s="99">
        <f>IFERROR(__xludf.DUMMYFUNCTION("""COMPUTED_VALUE"""),0.0)</f>
        <v>0</v>
      </c>
      <c r="V466" s="99">
        <f>IFERROR(__xludf.DUMMYFUNCTION("""COMPUTED_VALUE"""),0.0)</f>
        <v>0</v>
      </c>
      <c r="W466" s="99">
        <f>IFERROR(__xludf.DUMMYFUNCTION("""COMPUTED_VALUE"""),0.0)</f>
        <v>0</v>
      </c>
    </row>
    <row r="467">
      <c r="N467" s="98">
        <f>IFERROR(__xludf.DUMMYFUNCTION("""COMPUTED_VALUE"""),44070.0)</f>
        <v>44070</v>
      </c>
      <c r="O467" s="96" t="str">
        <f>IFERROR(__xludf.DUMMYFUNCTION("""COMPUTED_VALUE"""),"DIESEL BOY")</f>
        <v>DIESEL BOY</v>
      </c>
      <c r="P467" s="96" t="str">
        <f>IFERROR(__xludf.DUMMYFUNCTION("""COMPUTED_VALUE"""),"DIESEL")</f>
        <v>DIESEL</v>
      </c>
      <c r="Q467" s="99">
        <f>IFERROR(__xludf.DUMMYFUNCTION("""COMPUTED_VALUE"""),20000.0)</f>
        <v>20000</v>
      </c>
      <c r="R467" s="96" t="str">
        <f>IFERROR(__xludf.DUMMYFUNCTION("""COMPUTED_VALUE"""),"General Expenses")</f>
        <v>General Expenses</v>
      </c>
      <c r="S467" s="99">
        <f>IFERROR(__xludf.DUMMYFUNCTION("""COMPUTED_VALUE"""),0.0)</f>
        <v>0</v>
      </c>
      <c r="T467" s="99">
        <f>IFERROR(__xludf.DUMMYFUNCTION("""COMPUTED_VALUE"""),20000.0)</f>
        <v>20000</v>
      </c>
      <c r="U467" s="99">
        <f>IFERROR(__xludf.DUMMYFUNCTION("""COMPUTED_VALUE"""),0.0)</f>
        <v>0</v>
      </c>
      <c r="V467" s="99">
        <f>IFERROR(__xludf.DUMMYFUNCTION("""COMPUTED_VALUE"""),0.0)</f>
        <v>0</v>
      </c>
      <c r="W467" s="99">
        <f>IFERROR(__xludf.DUMMYFUNCTION("""COMPUTED_VALUE"""),0.0)</f>
        <v>0</v>
      </c>
    </row>
    <row r="468">
      <c r="N468" s="98">
        <f>IFERROR(__xludf.DUMMYFUNCTION("""COMPUTED_VALUE"""),44070.0)</f>
        <v>44070</v>
      </c>
      <c r="O468" s="96" t="str">
        <f>IFERROR(__xludf.DUMMYFUNCTION("""COMPUTED_VALUE"""),"DIRECTOR")</f>
        <v>DIRECTOR</v>
      </c>
      <c r="P468" s="96" t="str">
        <f>IFERROR(__xludf.DUMMYFUNCTION("""COMPUTED_VALUE"""),"YOGHURT")</f>
        <v>YOGHURT</v>
      </c>
      <c r="Q468" s="99">
        <f>IFERROR(__xludf.DUMMYFUNCTION("""COMPUTED_VALUE"""),800.0)</f>
        <v>800</v>
      </c>
      <c r="R468" s="96" t="str">
        <f>IFERROR(__xludf.DUMMYFUNCTION("""COMPUTED_VALUE"""),"General Expenses")</f>
        <v>General Expenses</v>
      </c>
      <c r="S468" s="99">
        <f>IFERROR(__xludf.DUMMYFUNCTION("""COMPUTED_VALUE"""),0.0)</f>
        <v>0</v>
      </c>
      <c r="T468" s="99">
        <f>IFERROR(__xludf.DUMMYFUNCTION("""COMPUTED_VALUE"""),800.0)</f>
        <v>800</v>
      </c>
      <c r="U468" s="99">
        <f>IFERROR(__xludf.DUMMYFUNCTION("""COMPUTED_VALUE"""),0.0)</f>
        <v>0</v>
      </c>
      <c r="V468" s="99">
        <f>IFERROR(__xludf.DUMMYFUNCTION("""COMPUTED_VALUE"""),0.0)</f>
        <v>0</v>
      </c>
      <c r="W468" s="99">
        <f>IFERROR(__xludf.DUMMYFUNCTION("""COMPUTED_VALUE"""),0.0)</f>
        <v>0</v>
      </c>
    </row>
    <row r="469">
      <c r="N469" s="98">
        <f>IFERROR(__xludf.DUMMYFUNCTION("""COMPUTED_VALUE"""),44070.0)</f>
        <v>44070</v>
      </c>
      <c r="O469" s="96" t="str">
        <f>IFERROR(__xludf.DUMMYFUNCTION("""COMPUTED_VALUE"""),"BLESSING CHAPMAN")</f>
        <v>BLESSING CHAPMAN</v>
      </c>
      <c r="P469" s="96" t="str">
        <f>IFERROR(__xludf.DUMMYFUNCTION("""COMPUTED_VALUE"""),"SHOVEL")</f>
        <v>SHOVEL</v>
      </c>
      <c r="Q469" s="99">
        <f>IFERROR(__xludf.DUMMYFUNCTION("""COMPUTED_VALUE"""),3200.0)</f>
        <v>3200</v>
      </c>
      <c r="R469" s="96" t="str">
        <f>IFERROR(__xludf.DUMMYFUNCTION("""COMPUTED_VALUE"""),"General Expenses")</f>
        <v>General Expenses</v>
      </c>
      <c r="S469" s="99">
        <f>IFERROR(__xludf.DUMMYFUNCTION("""COMPUTED_VALUE"""),0.0)</f>
        <v>0</v>
      </c>
      <c r="T469" s="99">
        <f>IFERROR(__xludf.DUMMYFUNCTION("""COMPUTED_VALUE"""),3200.0)</f>
        <v>3200</v>
      </c>
      <c r="U469" s="99">
        <f>IFERROR(__xludf.DUMMYFUNCTION("""COMPUTED_VALUE"""),0.0)</f>
        <v>0</v>
      </c>
      <c r="V469" s="99">
        <f>IFERROR(__xludf.DUMMYFUNCTION("""COMPUTED_VALUE"""),0.0)</f>
        <v>0</v>
      </c>
      <c r="W469" s="99">
        <f>IFERROR(__xludf.DUMMYFUNCTION("""COMPUTED_VALUE"""),0.0)</f>
        <v>0</v>
      </c>
    </row>
    <row r="470">
      <c r="N470" s="98">
        <f>IFERROR(__xludf.DUMMYFUNCTION("""COMPUTED_VALUE"""),44070.0)</f>
        <v>44070</v>
      </c>
      <c r="O470" s="96" t="str">
        <f>IFERROR(__xludf.DUMMYFUNCTION("""COMPUTED_VALUE"""),"DIAMOND")</f>
        <v>DIAMOND</v>
      </c>
      <c r="P470" s="96" t="str">
        <f>IFERROR(__xludf.DUMMYFUNCTION("""COMPUTED_VALUE"""),"MOTOR REPAIRS")</f>
        <v>MOTOR REPAIRS</v>
      </c>
      <c r="Q470" s="99">
        <f>IFERROR(__xludf.DUMMYFUNCTION("""COMPUTED_VALUE"""),25000.0)</f>
        <v>25000</v>
      </c>
      <c r="R470" s="96" t="str">
        <f>IFERROR(__xludf.DUMMYFUNCTION("""COMPUTED_VALUE"""),"General Expenses")</f>
        <v>General Expenses</v>
      </c>
      <c r="S470" s="99">
        <f>IFERROR(__xludf.DUMMYFUNCTION("""COMPUTED_VALUE"""),0.0)</f>
        <v>0</v>
      </c>
      <c r="T470" s="99">
        <f>IFERROR(__xludf.DUMMYFUNCTION("""COMPUTED_VALUE"""),25000.0)</f>
        <v>25000</v>
      </c>
      <c r="U470" s="99">
        <f>IFERROR(__xludf.DUMMYFUNCTION("""COMPUTED_VALUE"""),0.0)</f>
        <v>0</v>
      </c>
      <c r="V470" s="99">
        <f>IFERROR(__xludf.DUMMYFUNCTION("""COMPUTED_VALUE"""),0.0)</f>
        <v>0</v>
      </c>
      <c r="W470" s="99">
        <f>IFERROR(__xludf.DUMMYFUNCTION("""COMPUTED_VALUE"""),0.0)</f>
        <v>0</v>
      </c>
    </row>
    <row r="471">
      <c r="N471" s="98">
        <f>IFERROR(__xludf.DUMMYFUNCTION("""COMPUTED_VALUE"""),44070.0)</f>
        <v>44070</v>
      </c>
      <c r="O471" s="96" t="str">
        <f>IFERROR(__xludf.DUMMYFUNCTION("""COMPUTED_VALUE"""),"MANAGER")</f>
        <v>MANAGER</v>
      </c>
      <c r="P471" s="96" t="str">
        <f>IFERROR(__xludf.DUMMYFUNCTION("""COMPUTED_VALUE"""),"SALARY ADVANCE")</f>
        <v>SALARY ADVANCE</v>
      </c>
      <c r="Q471" s="99">
        <f>IFERROR(__xludf.DUMMYFUNCTION("""COMPUTED_VALUE"""),2000.0)</f>
        <v>2000</v>
      </c>
      <c r="R471" s="96" t="str">
        <f>IFERROR(__xludf.DUMMYFUNCTION("""COMPUTED_VALUE"""),"General Expenses")</f>
        <v>General Expenses</v>
      </c>
      <c r="S471" s="99">
        <f>IFERROR(__xludf.DUMMYFUNCTION("""COMPUTED_VALUE"""),0.0)</f>
        <v>0</v>
      </c>
      <c r="T471" s="99">
        <f>IFERROR(__xludf.DUMMYFUNCTION("""COMPUTED_VALUE"""),2000.0)</f>
        <v>2000</v>
      </c>
      <c r="U471" s="99">
        <f>IFERROR(__xludf.DUMMYFUNCTION("""COMPUTED_VALUE"""),0.0)</f>
        <v>0</v>
      </c>
      <c r="V471" s="99">
        <f>IFERROR(__xludf.DUMMYFUNCTION("""COMPUTED_VALUE"""),0.0)</f>
        <v>0</v>
      </c>
      <c r="W471" s="99">
        <f>IFERROR(__xludf.DUMMYFUNCTION("""COMPUTED_VALUE"""),0.0)</f>
        <v>0</v>
      </c>
    </row>
    <row r="472">
      <c r="N472" s="98">
        <f>IFERROR(__xludf.DUMMYFUNCTION("""COMPUTED_VALUE"""),44070.0)</f>
        <v>44070</v>
      </c>
      <c r="O472" s="96" t="str">
        <f>IFERROR(__xludf.DUMMYFUNCTION("""COMPUTED_VALUE"""),"LABOUR  BOY")</f>
        <v>LABOUR  BOY</v>
      </c>
      <c r="P472" s="96" t="str">
        <f>IFERROR(__xludf.DUMMYFUNCTION("""COMPUTED_VALUE"""),"WAGES ADVANCE")</f>
        <v>WAGES ADVANCE</v>
      </c>
      <c r="Q472" s="99">
        <f>IFERROR(__xludf.DUMMYFUNCTION("""COMPUTED_VALUE"""),4000.0)</f>
        <v>4000</v>
      </c>
      <c r="R472" s="96" t="str">
        <f>IFERROR(__xludf.DUMMYFUNCTION("""COMPUTED_VALUE"""),"General Expenses")</f>
        <v>General Expenses</v>
      </c>
      <c r="S472" s="99">
        <f>IFERROR(__xludf.DUMMYFUNCTION("""COMPUTED_VALUE"""),0.0)</f>
        <v>0</v>
      </c>
      <c r="T472" s="99">
        <f>IFERROR(__xludf.DUMMYFUNCTION("""COMPUTED_VALUE"""),4000.0)</f>
        <v>4000</v>
      </c>
      <c r="U472" s="99">
        <f>IFERROR(__xludf.DUMMYFUNCTION("""COMPUTED_VALUE"""),0.0)</f>
        <v>0</v>
      </c>
      <c r="V472" s="99">
        <f>IFERROR(__xludf.DUMMYFUNCTION("""COMPUTED_VALUE"""),0.0)</f>
        <v>0</v>
      </c>
      <c r="W472" s="99">
        <f>IFERROR(__xludf.DUMMYFUNCTION("""COMPUTED_VALUE"""),0.0)</f>
        <v>0</v>
      </c>
    </row>
    <row r="473">
      <c r="N473" s="98">
        <f>IFERROR(__xludf.DUMMYFUNCTION("""COMPUTED_VALUE"""),44070.0)</f>
        <v>44070</v>
      </c>
      <c r="O473" s="96" t="str">
        <f>IFERROR(__xludf.DUMMYFUNCTION("""COMPUTED_VALUE"""),"MANAGER")</f>
        <v>MANAGER</v>
      </c>
      <c r="P473" s="96" t="str">
        <f>IFERROR(__xludf.DUMMYFUNCTION("""COMPUTED_VALUE"""),"PHOTOCOPY")</f>
        <v>PHOTOCOPY</v>
      </c>
      <c r="Q473" s="99">
        <f>IFERROR(__xludf.DUMMYFUNCTION("""COMPUTED_VALUE"""),100.0)</f>
        <v>100</v>
      </c>
      <c r="R473" s="96" t="str">
        <f>IFERROR(__xludf.DUMMYFUNCTION("""COMPUTED_VALUE"""),"General Expenses")</f>
        <v>General Expenses</v>
      </c>
      <c r="S473" s="99">
        <f>IFERROR(__xludf.DUMMYFUNCTION("""COMPUTED_VALUE"""),0.0)</f>
        <v>0</v>
      </c>
      <c r="T473" s="99">
        <f>IFERROR(__xludf.DUMMYFUNCTION("""COMPUTED_VALUE"""),100.0)</f>
        <v>100</v>
      </c>
      <c r="U473" s="99">
        <f>IFERROR(__xludf.DUMMYFUNCTION("""COMPUTED_VALUE"""),0.0)</f>
        <v>0</v>
      </c>
      <c r="V473" s="99">
        <f>IFERROR(__xludf.DUMMYFUNCTION("""COMPUTED_VALUE"""),0.0)</f>
        <v>0</v>
      </c>
      <c r="W473" s="99">
        <f>IFERROR(__xludf.DUMMYFUNCTION("""COMPUTED_VALUE"""),0.0)</f>
        <v>0</v>
      </c>
    </row>
    <row r="474">
      <c r="N474" s="98">
        <f>IFERROR(__xludf.DUMMYFUNCTION("""COMPUTED_VALUE"""),44070.0)</f>
        <v>44070</v>
      </c>
      <c r="O474" s="96" t="str">
        <f>IFERROR(__xludf.DUMMYFUNCTION("""COMPUTED_VALUE"""),"DIRECTOR")</f>
        <v>DIRECTOR</v>
      </c>
      <c r="P474" s="96" t="str">
        <f>IFERROR(__xludf.DUMMYFUNCTION("""COMPUTED_VALUE"""),"PERSONAL USE")</f>
        <v>PERSONAL USE</v>
      </c>
      <c r="Q474" s="99">
        <f>IFERROR(__xludf.DUMMYFUNCTION("""COMPUTED_VALUE"""),2500.0)</f>
        <v>2500</v>
      </c>
      <c r="R474" s="96" t="str">
        <f>IFERROR(__xludf.DUMMYFUNCTION("""COMPUTED_VALUE"""),"General Expenses")</f>
        <v>General Expenses</v>
      </c>
      <c r="S474" s="99">
        <f>IFERROR(__xludf.DUMMYFUNCTION("""COMPUTED_VALUE"""),0.0)</f>
        <v>0</v>
      </c>
      <c r="T474" s="99">
        <f>IFERROR(__xludf.DUMMYFUNCTION("""COMPUTED_VALUE"""),2500.0)</f>
        <v>2500</v>
      </c>
      <c r="U474" s="99">
        <f>IFERROR(__xludf.DUMMYFUNCTION("""COMPUTED_VALUE"""),0.0)</f>
        <v>0</v>
      </c>
      <c r="V474" s="99">
        <f>IFERROR(__xludf.DUMMYFUNCTION("""COMPUTED_VALUE"""),0.0)</f>
        <v>0</v>
      </c>
      <c r="W474" s="99">
        <f>IFERROR(__xludf.DUMMYFUNCTION("""COMPUTED_VALUE"""),0.0)</f>
        <v>0</v>
      </c>
    </row>
    <row r="475">
      <c r="N475" s="98">
        <f>IFERROR(__xludf.DUMMYFUNCTION("""COMPUTED_VALUE"""),44070.0)</f>
        <v>44070</v>
      </c>
      <c r="O475" s="96" t="str">
        <f>IFERROR(__xludf.DUMMYFUNCTION("""COMPUTED_VALUE"""),"BLESSING CHAPMAN")</f>
        <v>BLESSING CHAPMAN</v>
      </c>
      <c r="P475" s="96" t="str">
        <f>IFERROR(__xludf.DUMMYFUNCTION("""COMPUTED_VALUE"""),"CASH COLLECTED")</f>
        <v>CASH COLLECTED</v>
      </c>
      <c r="Q475" s="99">
        <f>IFERROR(__xludf.DUMMYFUNCTION("""COMPUTED_VALUE"""),428800.0)</f>
        <v>428800</v>
      </c>
      <c r="R475" s="96" t="str">
        <f>IFERROR(__xludf.DUMMYFUNCTION("""COMPUTED_VALUE"""),"Petty Cash")</f>
        <v>Petty Cash</v>
      </c>
      <c r="S475" s="99">
        <f>IFERROR(__xludf.DUMMYFUNCTION("""COMPUTED_VALUE"""),0.0)</f>
        <v>0</v>
      </c>
      <c r="T475" s="99">
        <f>IFERROR(__xludf.DUMMYFUNCTION("""COMPUTED_VALUE"""),0.0)</f>
        <v>0</v>
      </c>
      <c r="U475" s="99">
        <f>IFERROR(__xludf.DUMMYFUNCTION("""COMPUTED_VALUE"""),0.0)</f>
        <v>0</v>
      </c>
      <c r="V475" s="99">
        <f>IFERROR(__xludf.DUMMYFUNCTION("""COMPUTED_VALUE"""),428800.0)</f>
        <v>428800</v>
      </c>
      <c r="W475" s="99">
        <f>IFERROR(__xludf.DUMMYFUNCTION("""COMPUTED_VALUE"""),0.0)</f>
        <v>0</v>
      </c>
    </row>
    <row r="476">
      <c r="N476" s="98">
        <f>IFERROR(__xludf.DUMMYFUNCTION("""COMPUTED_VALUE"""),44070.0)</f>
        <v>44070</v>
      </c>
      <c r="O476" s="96" t="str">
        <f>IFERROR(__xludf.DUMMYFUNCTION("""COMPUTED_VALUE"""),"DIRECTOR")</f>
        <v>DIRECTOR</v>
      </c>
      <c r="P476" s="96" t="str">
        <f>IFERROR(__xludf.DUMMYFUNCTION("""COMPUTED_VALUE"""),"COCOA PAYMENT")</f>
        <v>COCOA PAYMENT</v>
      </c>
      <c r="Q476" s="99">
        <f>IFERROR(__xludf.DUMMYFUNCTION("""COMPUTED_VALUE"""),71380.0)</f>
        <v>71380</v>
      </c>
      <c r="R476" s="96" t="str">
        <f>IFERROR(__xludf.DUMMYFUNCTION("""COMPUTED_VALUE"""),"Petty Cash")</f>
        <v>Petty Cash</v>
      </c>
      <c r="S476" s="99">
        <f>IFERROR(__xludf.DUMMYFUNCTION("""COMPUTED_VALUE"""),0.0)</f>
        <v>0</v>
      </c>
      <c r="T476" s="99">
        <f>IFERROR(__xludf.DUMMYFUNCTION("""COMPUTED_VALUE"""),0.0)</f>
        <v>0</v>
      </c>
      <c r="U476" s="99">
        <f>IFERROR(__xludf.DUMMYFUNCTION("""COMPUTED_VALUE"""),0.0)</f>
        <v>0</v>
      </c>
      <c r="V476" s="99">
        <f>IFERROR(__xludf.DUMMYFUNCTION("""COMPUTED_VALUE"""),71380.0)</f>
        <v>71380</v>
      </c>
      <c r="W476" s="99">
        <f>IFERROR(__xludf.DUMMYFUNCTION("""COMPUTED_VALUE"""),0.0)</f>
        <v>0</v>
      </c>
    </row>
    <row r="477">
      <c r="N477" s="98">
        <f>IFERROR(__xludf.DUMMYFUNCTION("""COMPUTED_VALUE"""),44070.0)</f>
        <v>44070</v>
      </c>
      <c r="O477" s="96" t="str">
        <f>IFERROR(__xludf.DUMMYFUNCTION("""COMPUTED_VALUE"""),"MANAGER")</f>
        <v>MANAGER</v>
      </c>
      <c r="P477" s="96" t="str">
        <f>IFERROR(__xludf.DUMMYFUNCTION("""COMPUTED_VALUE"""),"CASH-IN")</f>
        <v>CASH-IN</v>
      </c>
      <c r="Q477" s="99">
        <f>IFERROR(__xludf.DUMMYFUNCTION("""COMPUTED_VALUE"""),600000.0)</f>
        <v>600000</v>
      </c>
      <c r="R477" s="96" t="str">
        <f>IFERROR(__xludf.DUMMYFUNCTION("""COMPUTED_VALUE"""),"From Bank")</f>
        <v>From Bank</v>
      </c>
      <c r="S477" s="99">
        <f>IFERROR(__xludf.DUMMYFUNCTION("""COMPUTED_VALUE"""),0.0)</f>
        <v>0</v>
      </c>
      <c r="T477" s="99">
        <f>IFERROR(__xludf.DUMMYFUNCTION("""COMPUTED_VALUE"""),0.0)</f>
        <v>0</v>
      </c>
      <c r="U477" s="99">
        <f>IFERROR(__xludf.DUMMYFUNCTION("""COMPUTED_VALUE"""),600000.0)</f>
        <v>600000</v>
      </c>
      <c r="V477" s="99">
        <f>IFERROR(__xludf.DUMMYFUNCTION("""COMPUTED_VALUE"""),0.0)</f>
        <v>0</v>
      </c>
      <c r="W477" s="99">
        <f>IFERROR(__xludf.DUMMYFUNCTION("""COMPUTED_VALUE"""),0.0)</f>
        <v>0</v>
      </c>
    </row>
    <row r="478">
      <c r="N478" s="98">
        <f>IFERROR(__xludf.DUMMYFUNCTION("""COMPUTED_VALUE"""),44070.0)</f>
        <v>44070</v>
      </c>
      <c r="O478" s="96" t="str">
        <f>IFERROR(__xludf.DUMMYFUNCTION("""COMPUTED_VALUE"""),"DIRECTOR")</f>
        <v>DIRECTOR</v>
      </c>
      <c r="P478" s="96" t="str">
        <f>IFERROR(__xludf.DUMMYFUNCTION("""COMPUTED_VALUE"""),"ADVANCE TRANSFERED")</f>
        <v>ADVANCE TRANSFERED</v>
      </c>
      <c r="Q478" s="99">
        <f>IFERROR(__xludf.DUMMYFUNCTION("""COMPUTED_VALUE"""),4000000.0)</f>
        <v>4000000</v>
      </c>
      <c r="R478" s="96" t="str">
        <f>IFERROR(__xludf.DUMMYFUNCTION("""COMPUTED_VALUE"""),"From Bank")</f>
        <v>From Bank</v>
      </c>
      <c r="S478" s="99">
        <f>IFERROR(__xludf.DUMMYFUNCTION("""COMPUTED_VALUE"""),0.0)</f>
        <v>0</v>
      </c>
      <c r="T478" s="99">
        <f>IFERROR(__xludf.DUMMYFUNCTION("""COMPUTED_VALUE"""),0.0)</f>
        <v>0</v>
      </c>
      <c r="U478" s="99">
        <f>IFERROR(__xludf.DUMMYFUNCTION("""COMPUTED_VALUE"""),4000000.0)</f>
        <v>4000000</v>
      </c>
      <c r="V478" s="99">
        <f>IFERROR(__xludf.DUMMYFUNCTION("""COMPUTED_VALUE"""),0.0)</f>
        <v>0</v>
      </c>
      <c r="W478" s="99">
        <f>IFERROR(__xludf.DUMMYFUNCTION("""COMPUTED_VALUE"""),0.0)</f>
        <v>0</v>
      </c>
    </row>
    <row r="479">
      <c r="N479" s="98">
        <f>IFERROR(__xludf.DUMMYFUNCTION("""COMPUTED_VALUE"""),44070.0)</f>
        <v>44070</v>
      </c>
      <c r="O479" s="96" t="str">
        <f>IFERROR(__xludf.DUMMYFUNCTION("""COMPUTED_VALUE"""),"DIRECTOR")</f>
        <v>DIRECTOR</v>
      </c>
      <c r="P479" s="96" t="str">
        <f>IFERROR(__xludf.DUMMYFUNCTION("""COMPUTED_VALUE"""),"PAYMAENT TRANSFERED")</f>
        <v>PAYMAENT TRANSFERED</v>
      </c>
      <c r="Q479" s="99">
        <f>IFERROR(__xludf.DUMMYFUNCTION("""COMPUTED_VALUE"""),71380.0)</f>
        <v>71380</v>
      </c>
      <c r="R479" s="96" t="str">
        <f>IFERROR(__xludf.DUMMYFUNCTION("""COMPUTED_VALUE"""),"From Bank")</f>
        <v>From Bank</v>
      </c>
      <c r="S479" s="99">
        <f>IFERROR(__xludf.DUMMYFUNCTION("""COMPUTED_VALUE"""),0.0)</f>
        <v>0</v>
      </c>
      <c r="T479" s="99">
        <f>IFERROR(__xludf.DUMMYFUNCTION("""COMPUTED_VALUE"""),0.0)</f>
        <v>0</v>
      </c>
      <c r="U479" s="99">
        <f>IFERROR(__xludf.DUMMYFUNCTION("""COMPUTED_VALUE"""),71380.0)</f>
        <v>71380</v>
      </c>
      <c r="V479" s="99">
        <f>IFERROR(__xludf.DUMMYFUNCTION("""COMPUTED_VALUE"""),0.0)</f>
        <v>0</v>
      </c>
      <c r="W479" s="99">
        <f>IFERROR(__xludf.DUMMYFUNCTION("""COMPUTED_VALUE"""),0.0)</f>
        <v>0</v>
      </c>
    </row>
    <row r="480">
      <c r="N480" s="98">
        <f>IFERROR(__xludf.DUMMYFUNCTION("""COMPUTED_VALUE"""),44071.0)</f>
        <v>44071</v>
      </c>
      <c r="O480" s="96" t="str">
        <f>IFERROR(__xludf.DUMMYFUNCTION("""COMPUTED_VALUE"""),"OTU KOKO KEIBO")</f>
        <v>OTU KOKO KEIBO</v>
      </c>
      <c r="P480" s="96" t="str">
        <f>IFERROR(__xludf.DUMMYFUNCTION("""COMPUTED_VALUE"""),"ADVANCE")</f>
        <v>ADVANCE</v>
      </c>
      <c r="Q480" s="99">
        <f>IFERROR(__xludf.DUMMYFUNCTION("""COMPUTED_VALUE"""),50000.0)</f>
        <v>50000</v>
      </c>
      <c r="R480" s="96" t="str">
        <f>IFERROR(__xludf.DUMMYFUNCTION("""COMPUTED_VALUE"""),"Prefinance")</f>
        <v>Prefinance</v>
      </c>
      <c r="S480" s="99">
        <f>IFERROR(__xludf.DUMMYFUNCTION("""COMPUTED_VALUE"""),0.0)</f>
        <v>0</v>
      </c>
      <c r="T480" s="99">
        <f>IFERROR(__xludf.DUMMYFUNCTION("""COMPUTED_VALUE"""),0.0)</f>
        <v>0</v>
      </c>
      <c r="U480" s="99">
        <f>IFERROR(__xludf.DUMMYFUNCTION("""COMPUTED_VALUE"""),0.0)</f>
        <v>0</v>
      </c>
      <c r="V480" s="99">
        <f>IFERROR(__xludf.DUMMYFUNCTION("""COMPUTED_VALUE"""),0.0)</f>
        <v>0</v>
      </c>
      <c r="W480" s="99">
        <f>IFERROR(__xludf.DUMMYFUNCTION("""COMPUTED_VALUE"""),0.0)</f>
        <v>0</v>
      </c>
    </row>
    <row r="481">
      <c r="N481" s="98">
        <f>IFERROR(__xludf.DUMMYFUNCTION("""COMPUTED_VALUE"""),44071.0)</f>
        <v>44071</v>
      </c>
      <c r="O481" s="96" t="str">
        <f>IFERROR(__xludf.DUMMYFUNCTION("""COMPUTED_VALUE"""),"NAOMI")</f>
        <v>NAOMI</v>
      </c>
      <c r="P481" s="96" t="str">
        <f>IFERROR(__xludf.DUMMYFUNCTION("""COMPUTED_VALUE"""),"ADVANCE")</f>
        <v>ADVANCE</v>
      </c>
      <c r="Q481" s="99">
        <f>IFERROR(__xludf.DUMMYFUNCTION("""COMPUTED_VALUE"""),50000.0)</f>
        <v>50000</v>
      </c>
      <c r="R481" s="96" t="str">
        <f>IFERROR(__xludf.DUMMYFUNCTION("""COMPUTED_VALUE"""),"Prefinance")</f>
        <v>Prefinance</v>
      </c>
      <c r="S481" s="99">
        <f>IFERROR(__xludf.DUMMYFUNCTION("""COMPUTED_VALUE"""),0.0)</f>
        <v>0</v>
      </c>
      <c r="T481" s="99">
        <f>IFERROR(__xludf.DUMMYFUNCTION("""COMPUTED_VALUE"""),0.0)</f>
        <v>0</v>
      </c>
      <c r="U481" s="99">
        <f>IFERROR(__xludf.DUMMYFUNCTION("""COMPUTED_VALUE"""),0.0)</f>
        <v>0</v>
      </c>
      <c r="V481" s="99">
        <f>IFERROR(__xludf.DUMMYFUNCTION("""COMPUTED_VALUE"""),0.0)</f>
        <v>0</v>
      </c>
      <c r="W481" s="99">
        <f>IFERROR(__xludf.DUMMYFUNCTION("""COMPUTED_VALUE"""),0.0)</f>
        <v>0</v>
      </c>
    </row>
    <row r="482">
      <c r="N482" s="98">
        <f>IFERROR(__xludf.DUMMYFUNCTION("""COMPUTED_VALUE"""),44071.0)</f>
        <v>44071</v>
      </c>
      <c r="O482" s="96" t="str">
        <f>IFERROR(__xludf.DUMMYFUNCTION("""COMPUTED_VALUE"""),"RECTOR W.")</f>
        <v>RECTOR W.</v>
      </c>
      <c r="P482" s="96" t="str">
        <f>IFERROR(__xludf.DUMMYFUNCTION("""COMPUTED_VALUE"""),"ADVANCE")</f>
        <v>ADVANCE</v>
      </c>
      <c r="Q482" s="99">
        <f>IFERROR(__xludf.DUMMYFUNCTION("""COMPUTED_VALUE"""),100000.0)</f>
        <v>100000</v>
      </c>
      <c r="R482" s="96" t="str">
        <f>IFERROR(__xludf.DUMMYFUNCTION("""COMPUTED_VALUE"""),"Prefinance")</f>
        <v>Prefinance</v>
      </c>
      <c r="S482" s="99">
        <f>IFERROR(__xludf.DUMMYFUNCTION("""COMPUTED_VALUE"""),0.0)</f>
        <v>0</v>
      </c>
      <c r="T482" s="99">
        <f>IFERROR(__xludf.DUMMYFUNCTION("""COMPUTED_VALUE"""),0.0)</f>
        <v>0</v>
      </c>
      <c r="U482" s="99">
        <f>IFERROR(__xludf.DUMMYFUNCTION("""COMPUTED_VALUE"""),0.0)</f>
        <v>0</v>
      </c>
      <c r="V482" s="99">
        <f>IFERROR(__xludf.DUMMYFUNCTION("""COMPUTED_VALUE"""),0.0)</f>
        <v>0</v>
      </c>
      <c r="W482" s="99">
        <f>IFERROR(__xludf.DUMMYFUNCTION("""COMPUTED_VALUE"""),0.0)</f>
        <v>0</v>
      </c>
    </row>
    <row r="483">
      <c r="N483" s="98">
        <f>IFERROR(__xludf.DUMMYFUNCTION("""COMPUTED_VALUE"""),44071.0)</f>
        <v>44071</v>
      </c>
      <c r="O483" s="96" t="str">
        <f>IFERROR(__xludf.DUMMYFUNCTION("""COMPUTED_VALUE"""),"NDOMA PRIN")</f>
        <v>NDOMA PRIN</v>
      </c>
      <c r="P483" s="96" t="str">
        <f>IFERROR(__xludf.DUMMYFUNCTION("""COMPUTED_VALUE"""),"ADVANCE")</f>
        <v>ADVANCE</v>
      </c>
      <c r="Q483" s="99">
        <f>IFERROR(__xludf.DUMMYFUNCTION("""COMPUTED_VALUE"""),159000.0)</f>
        <v>159000</v>
      </c>
      <c r="R483" s="96" t="str">
        <f>IFERROR(__xludf.DUMMYFUNCTION("""COMPUTED_VALUE"""),"Prefinance")</f>
        <v>Prefinance</v>
      </c>
      <c r="S483" s="99">
        <f>IFERROR(__xludf.DUMMYFUNCTION("""COMPUTED_VALUE"""),0.0)</f>
        <v>0</v>
      </c>
      <c r="T483" s="99">
        <f>IFERROR(__xludf.DUMMYFUNCTION("""COMPUTED_VALUE"""),0.0)</f>
        <v>0</v>
      </c>
      <c r="U483" s="99">
        <f>IFERROR(__xludf.DUMMYFUNCTION("""COMPUTED_VALUE"""),0.0)</f>
        <v>0</v>
      </c>
      <c r="V483" s="99">
        <f>IFERROR(__xludf.DUMMYFUNCTION("""COMPUTED_VALUE"""),0.0)</f>
        <v>0</v>
      </c>
      <c r="W483" s="99">
        <f>IFERROR(__xludf.DUMMYFUNCTION("""COMPUTED_VALUE"""),0.0)</f>
        <v>0</v>
      </c>
    </row>
    <row r="484">
      <c r="N484" s="98">
        <f>IFERROR(__xludf.DUMMYFUNCTION("""COMPUTED_VALUE"""),44071.0)</f>
        <v>44071</v>
      </c>
      <c r="O484" s="96" t="str">
        <f>IFERROR(__xludf.DUMMYFUNCTION("""COMPUTED_VALUE"""),"ESCORT PETER")</f>
        <v>ESCORT PETER</v>
      </c>
      <c r="P484" s="96" t="str">
        <f>IFERROR(__xludf.DUMMYFUNCTION("""COMPUTED_VALUE"""),"ESCORT FEE")</f>
        <v>ESCORT FEE</v>
      </c>
      <c r="Q484" s="99">
        <f>IFERROR(__xludf.DUMMYFUNCTION("""COMPUTED_VALUE"""),65000.0)</f>
        <v>65000</v>
      </c>
      <c r="R484" s="96" t="str">
        <f>IFERROR(__xludf.DUMMYFUNCTION("""COMPUTED_VALUE"""),"General Expenses")</f>
        <v>General Expenses</v>
      </c>
      <c r="S484" s="99">
        <f>IFERROR(__xludf.DUMMYFUNCTION("""COMPUTED_VALUE"""),0.0)</f>
        <v>0</v>
      </c>
      <c r="T484" s="99">
        <f>IFERROR(__xludf.DUMMYFUNCTION("""COMPUTED_VALUE"""),65000.0)</f>
        <v>65000</v>
      </c>
      <c r="U484" s="99">
        <f>IFERROR(__xludf.DUMMYFUNCTION("""COMPUTED_VALUE"""),0.0)</f>
        <v>0</v>
      </c>
      <c r="V484" s="99">
        <f>IFERROR(__xludf.DUMMYFUNCTION("""COMPUTED_VALUE"""),0.0)</f>
        <v>0</v>
      </c>
      <c r="W484" s="99">
        <f>IFERROR(__xludf.DUMMYFUNCTION("""COMPUTED_VALUE"""),0.0)</f>
        <v>0</v>
      </c>
    </row>
    <row r="485">
      <c r="N485" s="98">
        <f>IFERROR(__xludf.DUMMYFUNCTION("""COMPUTED_VALUE"""),44071.0)</f>
        <v>44071</v>
      </c>
      <c r="O485" s="96" t="str">
        <f>IFERROR(__xludf.DUMMYFUNCTION("""COMPUTED_VALUE"""),"MANAGER")</f>
        <v>MANAGER</v>
      </c>
      <c r="P485" s="96" t="str">
        <f>IFERROR(__xludf.DUMMYFUNCTION("""COMPUTED_VALUE"""),"PRODUCTION PAPER")</f>
        <v>PRODUCTION PAPER</v>
      </c>
      <c r="Q485" s="99">
        <f>IFERROR(__xludf.DUMMYFUNCTION("""COMPUTED_VALUE"""),200000.0)</f>
        <v>200000</v>
      </c>
      <c r="R485" s="96" t="str">
        <f>IFERROR(__xludf.DUMMYFUNCTION("""COMPUTED_VALUE"""),"General Expenses")</f>
        <v>General Expenses</v>
      </c>
      <c r="S485" s="99">
        <f>IFERROR(__xludf.DUMMYFUNCTION("""COMPUTED_VALUE"""),0.0)</f>
        <v>0</v>
      </c>
      <c r="T485" s="99">
        <f>IFERROR(__xludf.DUMMYFUNCTION("""COMPUTED_VALUE"""),200000.0)</f>
        <v>200000</v>
      </c>
      <c r="U485" s="99">
        <f>IFERROR(__xludf.DUMMYFUNCTION("""COMPUTED_VALUE"""),0.0)</f>
        <v>0</v>
      </c>
      <c r="V485" s="99">
        <f>IFERROR(__xludf.DUMMYFUNCTION("""COMPUTED_VALUE"""),0.0)</f>
        <v>0</v>
      </c>
      <c r="W485" s="99">
        <f>IFERROR(__xludf.DUMMYFUNCTION("""COMPUTED_VALUE"""),0.0)</f>
        <v>0</v>
      </c>
    </row>
    <row r="486">
      <c r="N486" s="98">
        <f>IFERROR(__xludf.DUMMYFUNCTION("""COMPUTED_VALUE"""),44071.0)</f>
        <v>44071</v>
      </c>
      <c r="O486" s="96" t="str">
        <f>IFERROR(__xludf.DUMMYFUNCTION("""COMPUTED_VALUE"""),"DIAMOND")</f>
        <v>DIAMOND</v>
      </c>
      <c r="P486" s="96" t="str">
        <f>IFERROR(__xludf.DUMMYFUNCTION("""COMPUTED_VALUE"""),"DIESEL")</f>
        <v>DIESEL</v>
      </c>
      <c r="Q486" s="99">
        <f>IFERROR(__xludf.DUMMYFUNCTION("""COMPUTED_VALUE"""),1000.0)</f>
        <v>1000</v>
      </c>
      <c r="R486" s="96" t="str">
        <f>IFERROR(__xludf.DUMMYFUNCTION("""COMPUTED_VALUE"""),"General Expenses")</f>
        <v>General Expenses</v>
      </c>
      <c r="S486" s="99">
        <f>IFERROR(__xludf.DUMMYFUNCTION("""COMPUTED_VALUE"""),0.0)</f>
        <v>0</v>
      </c>
      <c r="T486" s="99">
        <f>IFERROR(__xludf.DUMMYFUNCTION("""COMPUTED_VALUE"""),1000.0)</f>
        <v>1000</v>
      </c>
      <c r="U486" s="99">
        <f>IFERROR(__xludf.DUMMYFUNCTION("""COMPUTED_VALUE"""),0.0)</f>
        <v>0</v>
      </c>
      <c r="V486" s="99">
        <f>IFERROR(__xludf.DUMMYFUNCTION("""COMPUTED_VALUE"""),0.0)</f>
        <v>0</v>
      </c>
      <c r="W486" s="99">
        <f>IFERROR(__xludf.DUMMYFUNCTION("""COMPUTED_VALUE"""),0.0)</f>
        <v>0</v>
      </c>
    </row>
    <row r="487">
      <c r="N487" s="98">
        <f>IFERROR(__xludf.DUMMYFUNCTION("""COMPUTED_VALUE"""),44071.0)</f>
        <v>44071</v>
      </c>
      <c r="O487" s="96" t="str">
        <f>IFERROR(__xludf.DUMMYFUNCTION("""COMPUTED_VALUE"""),"ESUA")</f>
        <v>ESUA</v>
      </c>
      <c r="P487" s="96" t="str">
        <f>IFERROR(__xludf.DUMMYFUNCTION("""COMPUTED_VALUE"""),"GRADING PAPER")</f>
        <v>GRADING PAPER</v>
      </c>
      <c r="Q487" s="99">
        <f>IFERROR(__xludf.DUMMYFUNCTION("""COMPUTED_VALUE"""),4000.0)</f>
        <v>4000</v>
      </c>
      <c r="R487" s="96" t="str">
        <f>IFERROR(__xludf.DUMMYFUNCTION("""COMPUTED_VALUE"""),"General Expenses")</f>
        <v>General Expenses</v>
      </c>
      <c r="S487" s="99">
        <f>IFERROR(__xludf.DUMMYFUNCTION("""COMPUTED_VALUE"""),0.0)</f>
        <v>0</v>
      </c>
      <c r="T487" s="99">
        <f>IFERROR(__xludf.DUMMYFUNCTION("""COMPUTED_VALUE"""),4000.0)</f>
        <v>4000</v>
      </c>
      <c r="U487" s="99">
        <f>IFERROR(__xludf.DUMMYFUNCTION("""COMPUTED_VALUE"""),0.0)</f>
        <v>0</v>
      </c>
      <c r="V487" s="99">
        <f>IFERROR(__xludf.DUMMYFUNCTION("""COMPUTED_VALUE"""),0.0)</f>
        <v>0</v>
      </c>
      <c r="W487" s="99">
        <f>IFERROR(__xludf.DUMMYFUNCTION("""COMPUTED_VALUE"""),0.0)</f>
        <v>0</v>
      </c>
    </row>
    <row r="488">
      <c r="N488" s="98">
        <f>IFERROR(__xludf.DUMMYFUNCTION("""COMPUTED_VALUE"""),44071.0)</f>
        <v>44071</v>
      </c>
      <c r="O488" s="96" t="str">
        <f>IFERROR(__xludf.DUMMYFUNCTION("""COMPUTED_VALUE"""),"DIESEL BOY")</f>
        <v>DIESEL BOY</v>
      </c>
      <c r="P488" s="96" t="str">
        <f>IFERROR(__xludf.DUMMYFUNCTION("""COMPUTED_VALUE"""),"DIESEL")</f>
        <v>DIESEL</v>
      </c>
      <c r="Q488" s="99">
        <f>IFERROR(__xludf.DUMMYFUNCTION("""COMPUTED_VALUE"""),20000.0)</f>
        <v>20000</v>
      </c>
      <c r="R488" s="96" t="str">
        <f>IFERROR(__xludf.DUMMYFUNCTION("""COMPUTED_VALUE"""),"General Expenses")</f>
        <v>General Expenses</v>
      </c>
      <c r="S488" s="99">
        <f>IFERROR(__xludf.DUMMYFUNCTION("""COMPUTED_VALUE"""),0.0)</f>
        <v>0</v>
      </c>
      <c r="T488" s="99">
        <f>IFERROR(__xludf.DUMMYFUNCTION("""COMPUTED_VALUE"""),20000.0)</f>
        <v>20000</v>
      </c>
      <c r="U488" s="99">
        <f>IFERROR(__xludf.DUMMYFUNCTION("""COMPUTED_VALUE"""),0.0)</f>
        <v>0</v>
      </c>
      <c r="V488" s="99">
        <f>IFERROR(__xludf.DUMMYFUNCTION("""COMPUTED_VALUE"""),0.0)</f>
        <v>0</v>
      </c>
      <c r="W488" s="99">
        <f>IFERROR(__xludf.DUMMYFUNCTION("""COMPUTED_VALUE"""),0.0)</f>
        <v>0</v>
      </c>
    </row>
    <row r="489">
      <c r="N489" s="98">
        <f>IFERROR(__xludf.DUMMYFUNCTION("""COMPUTED_VALUE"""),44071.0)</f>
        <v>44071</v>
      </c>
      <c r="O489" s="96" t="str">
        <f>IFERROR(__xludf.DUMMYFUNCTION("""COMPUTED_VALUE"""),"OBI-DRIVER")</f>
        <v>OBI-DRIVER</v>
      </c>
      <c r="P489" s="96" t="str">
        <f>IFERROR(__xludf.DUMMYFUNCTION("""COMPUTED_VALUE"""),"TRANSPORT")</f>
        <v>TRANSPORT</v>
      </c>
      <c r="Q489" s="99">
        <f>IFERROR(__xludf.DUMMYFUNCTION("""COMPUTED_VALUE"""),1000.0)</f>
        <v>1000</v>
      </c>
      <c r="R489" s="96" t="str">
        <f>IFERROR(__xludf.DUMMYFUNCTION("""COMPUTED_VALUE"""),"General Expenses")</f>
        <v>General Expenses</v>
      </c>
      <c r="S489" s="99">
        <f>IFERROR(__xludf.DUMMYFUNCTION("""COMPUTED_VALUE"""),0.0)</f>
        <v>0</v>
      </c>
      <c r="T489" s="99">
        <f>IFERROR(__xludf.DUMMYFUNCTION("""COMPUTED_VALUE"""),1000.0)</f>
        <v>1000</v>
      </c>
      <c r="U489" s="99">
        <f>IFERROR(__xludf.DUMMYFUNCTION("""COMPUTED_VALUE"""),0.0)</f>
        <v>0</v>
      </c>
      <c r="V489" s="99">
        <f>IFERROR(__xludf.DUMMYFUNCTION("""COMPUTED_VALUE"""),0.0)</f>
        <v>0</v>
      </c>
      <c r="W489" s="99">
        <f>IFERROR(__xludf.DUMMYFUNCTION("""COMPUTED_VALUE"""),0.0)</f>
        <v>0</v>
      </c>
    </row>
    <row r="490">
      <c r="N490" s="98">
        <f>IFERROR(__xludf.DUMMYFUNCTION("""COMPUTED_VALUE"""),44071.0)</f>
        <v>44071</v>
      </c>
      <c r="O490" s="96" t="str">
        <f>IFERROR(__xludf.DUMMYFUNCTION("""COMPUTED_VALUE"""),"LABOUR  BOY")</f>
        <v>LABOUR  BOY</v>
      </c>
      <c r="P490" s="96" t="str">
        <f>IFERROR(__xludf.DUMMYFUNCTION("""COMPUTED_VALUE"""),"WAGES ADVANCE")</f>
        <v>WAGES ADVANCE</v>
      </c>
      <c r="Q490" s="99">
        <f>IFERROR(__xludf.DUMMYFUNCTION("""COMPUTED_VALUE"""),3000.0)</f>
        <v>3000</v>
      </c>
      <c r="R490" s="96" t="str">
        <f>IFERROR(__xludf.DUMMYFUNCTION("""COMPUTED_VALUE"""),"General Expenses")</f>
        <v>General Expenses</v>
      </c>
      <c r="S490" s="99">
        <f>IFERROR(__xludf.DUMMYFUNCTION("""COMPUTED_VALUE"""),0.0)</f>
        <v>0</v>
      </c>
      <c r="T490" s="99">
        <f>IFERROR(__xludf.DUMMYFUNCTION("""COMPUTED_VALUE"""),3000.0)</f>
        <v>3000</v>
      </c>
      <c r="U490" s="99">
        <f>IFERROR(__xludf.DUMMYFUNCTION("""COMPUTED_VALUE"""),0.0)</f>
        <v>0</v>
      </c>
      <c r="V490" s="99">
        <f>IFERROR(__xludf.DUMMYFUNCTION("""COMPUTED_VALUE"""),0.0)</f>
        <v>0</v>
      </c>
      <c r="W490" s="99">
        <f>IFERROR(__xludf.DUMMYFUNCTION("""COMPUTED_VALUE"""),0.0)</f>
        <v>0</v>
      </c>
    </row>
    <row r="491">
      <c r="N491" s="98">
        <f>IFERROR(__xludf.DUMMYFUNCTION("""COMPUTED_VALUE"""),44071.0)</f>
        <v>44071</v>
      </c>
      <c r="O491" s="96" t="str">
        <f>IFERROR(__xludf.DUMMYFUNCTION("""COMPUTED_VALUE"""),"BLESSING CHAPMAN")</f>
        <v>BLESSING CHAPMAN</v>
      </c>
      <c r="P491" s="96" t="str">
        <f>IFERROR(__xludf.DUMMYFUNCTION("""COMPUTED_VALUE"""),"CASH COLLECTED")</f>
        <v>CASH COLLECTED</v>
      </c>
      <c r="Q491" s="99">
        <f>IFERROR(__xludf.DUMMYFUNCTION("""COMPUTED_VALUE"""),1583400.0)</f>
        <v>1583400</v>
      </c>
      <c r="R491" s="96" t="str">
        <f>IFERROR(__xludf.DUMMYFUNCTION("""COMPUTED_VALUE"""),"Petty Cash")</f>
        <v>Petty Cash</v>
      </c>
      <c r="S491" s="99">
        <f>IFERROR(__xludf.DUMMYFUNCTION("""COMPUTED_VALUE"""),0.0)</f>
        <v>0</v>
      </c>
      <c r="T491" s="99">
        <f>IFERROR(__xludf.DUMMYFUNCTION("""COMPUTED_VALUE"""),0.0)</f>
        <v>0</v>
      </c>
      <c r="U491" s="99">
        <f>IFERROR(__xludf.DUMMYFUNCTION("""COMPUTED_VALUE"""),0.0)</f>
        <v>0</v>
      </c>
      <c r="V491" s="99">
        <f>IFERROR(__xludf.DUMMYFUNCTION("""COMPUTED_VALUE"""),1583400.0)</f>
        <v>1583400</v>
      </c>
      <c r="W491" s="99">
        <f>IFERROR(__xludf.DUMMYFUNCTION("""COMPUTED_VALUE"""),0.0)</f>
        <v>0</v>
      </c>
    </row>
    <row r="492">
      <c r="N492" s="98">
        <f>IFERROR(__xludf.DUMMYFUNCTION("""COMPUTED_VALUE"""),44071.0)</f>
        <v>44071</v>
      </c>
      <c r="O492" s="96" t="str">
        <f>IFERROR(__xludf.DUMMYFUNCTION("""COMPUTED_VALUE"""),"DIRECTOR")</f>
        <v>DIRECTOR</v>
      </c>
      <c r="P492" s="96" t="str">
        <f>IFERROR(__xludf.DUMMYFUNCTION("""COMPUTED_VALUE"""),"CASH-IN")</f>
        <v>CASH-IN</v>
      </c>
      <c r="Q492" s="99">
        <f>IFERROR(__xludf.DUMMYFUNCTION("""COMPUTED_VALUE"""),3100000.0)</f>
        <v>3100000</v>
      </c>
      <c r="R492" s="96" t="str">
        <f>IFERROR(__xludf.DUMMYFUNCTION("""COMPUTED_VALUE"""),"From Bank")</f>
        <v>From Bank</v>
      </c>
      <c r="S492" s="99">
        <f>IFERROR(__xludf.DUMMYFUNCTION("""COMPUTED_VALUE"""),0.0)</f>
        <v>0</v>
      </c>
      <c r="T492" s="99">
        <f>IFERROR(__xludf.DUMMYFUNCTION("""COMPUTED_VALUE"""),0.0)</f>
        <v>0</v>
      </c>
      <c r="U492" s="99">
        <f>IFERROR(__xludf.DUMMYFUNCTION("""COMPUTED_VALUE"""),3100000.0)</f>
        <v>3100000</v>
      </c>
      <c r="V492" s="99">
        <f>IFERROR(__xludf.DUMMYFUNCTION("""COMPUTED_VALUE"""),0.0)</f>
        <v>0</v>
      </c>
      <c r="W492" s="99">
        <f>IFERROR(__xludf.DUMMYFUNCTION("""COMPUTED_VALUE"""),0.0)</f>
        <v>0</v>
      </c>
    </row>
    <row r="493">
      <c r="N493" s="98">
        <f>IFERROR(__xludf.DUMMYFUNCTION("""COMPUTED_VALUE"""),44072.0)</f>
        <v>44072</v>
      </c>
      <c r="O493" s="96" t="str">
        <f>IFERROR(__xludf.DUMMYFUNCTION("""COMPUTED_VALUE"""),"OTU KOKO KEIBO")</f>
        <v>OTU KOKO KEIBO</v>
      </c>
      <c r="P493" s="96" t="str">
        <f>IFERROR(__xludf.DUMMYFUNCTION("""COMPUTED_VALUE"""),"PRIN")</f>
        <v>PRIN</v>
      </c>
      <c r="Q493" s="99">
        <f>IFERROR(__xludf.DUMMYFUNCTION("""COMPUTED_VALUE"""),5000.0)</f>
        <v>5000</v>
      </c>
      <c r="R493" s="96" t="str">
        <f>IFERROR(__xludf.DUMMYFUNCTION("""COMPUTED_VALUE"""),"Prefinance")</f>
        <v>Prefinance</v>
      </c>
      <c r="S493" s="99">
        <f>IFERROR(__xludf.DUMMYFUNCTION("""COMPUTED_VALUE"""),0.0)</f>
        <v>0</v>
      </c>
      <c r="T493" s="99">
        <f>IFERROR(__xludf.DUMMYFUNCTION("""COMPUTED_VALUE"""),0.0)</f>
        <v>0</v>
      </c>
      <c r="U493" s="99">
        <f>IFERROR(__xludf.DUMMYFUNCTION("""COMPUTED_VALUE"""),0.0)</f>
        <v>0</v>
      </c>
      <c r="V493" s="99">
        <f>IFERROR(__xludf.DUMMYFUNCTION("""COMPUTED_VALUE"""),0.0)</f>
        <v>0</v>
      </c>
      <c r="W493" s="99">
        <f>IFERROR(__xludf.DUMMYFUNCTION("""COMPUTED_VALUE"""),0.0)</f>
        <v>0</v>
      </c>
    </row>
    <row r="494">
      <c r="N494" s="98">
        <f>IFERROR(__xludf.DUMMYFUNCTION("""COMPUTED_VALUE"""),44072.0)</f>
        <v>44072</v>
      </c>
      <c r="O494" s="96" t="str">
        <f>IFERROR(__xludf.DUMMYFUNCTION("""COMPUTED_VALUE"""),"SECURITY")</f>
        <v>SECURITY</v>
      </c>
      <c r="P494" s="96" t="str">
        <f>IFERROR(__xludf.DUMMYFUNCTION("""COMPUTED_VALUE"""),"ADVANCE PAYMENT")</f>
        <v>ADVANCE PAYMENT</v>
      </c>
      <c r="Q494" s="99">
        <f>IFERROR(__xludf.DUMMYFUNCTION("""COMPUTED_VALUE"""),3000.0)</f>
        <v>3000</v>
      </c>
      <c r="R494" s="96" t="str">
        <f>IFERROR(__xludf.DUMMYFUNCTION("""COMPUTED_VALUE"""),"General Expenses")</f>
        <v>General Expenses</v>
      </c>
      <c r="S494" s="99">
        <f>IFERROR(__xludf.DUMMYFUNCTION("""COMPUTED_VALUE"""),0.0)</f>
        <v>0</v>
      </c>
      <c r="T494" s="99">
        <f>IFERROR(__xludf.DUMMYFUNCTION("""COMPUTED_VALUE"""),3000.0)</f>
        <v>3000</v>
      </c>
      <c r="U494" s="99">
        <f>IFERROR(__xludf.DUMMYFUNCTION("""COMPUTED_VALUE"""),0.0)</f>
        <v>0</v>
      </c>
      <c r="V494" s="99">
        <f>IFERROR(__xludf.DUMMYFUNCTION("""COMPUTED_VALUE"""),0.0)</f>
        <v>0</v>
      </c>
      <c r="W494" s="99">
        <f>IFERROR(__xludf.DUMMYFUNCTION("""COMPUTED_VALUE"""),0.0)</f>
        <v>0</v>
      </c>
    </row>
    <row r="495">
      <c r="N495" s="98">
        <f>IFERROR(__xludf.DUMMYFUNCTION("""COMPUTED_VALUE"""),44072.0)</f>
        <v>44072</v>
      </c>
      <c r="O495" s="96" t="str">
        <f>IFERROR(__xludf.DUMMYFUNCTION("""COMPUTED_VALUE"""),"BLESSING CHAPMAN")</f>
        <v>BLESSING CHAPMAN</v>
      </c>
      <c r="P495" s="96" t="str">
        <f>IFERROR(__xludf.DUMMYFUNCTION("""COMPUTED_VALUE"""),"sationeries")</f>
        <v>sationeries</v>
      </c>
      <c r="Q495" s="99">
        <f>IFERROR(__xludf.DUMMYFUNCTION("""COMPUTED_VALUE"""),5400.0)</f>
        <v>5400</v>
      </c>
      <c r="R495" s="96" t="str">
        <f>IFERROR(__xludf.DUMMYFUNCTION("""COMPUTED_VALUE"""),"General Expenses")</f>
        <v>General Expenses</v>
      </c>
      <c r="S495" s="99">
        <f>IFERROR(__xludf.DUMMYFUNCTION("""COMPUTED_VALUE"""),0.0)</f>
        <v>0</v>
      </c>
      <c r="T495" s="99">
        <f>IFERROR(__xludf.DUMMYFUNCTION("""COMPUTED_VALUE"""),5400.0)</f>
        <v>5400</v>
      </c>
      <c r="U495" s="99">
        <f>IFERROR(__xludf.DUMMYFUNCTION("""COMPUTED_VALUE"""),0.0)</f>
        <v>0</v>
      </c>
      <c r="V495" s="99">
        <f>IFERROR(__xludf.DUMMYFUNCTION("""COMPUTED_VALUE"""),0.0)</f>
        <v>0</v>
      </c>
      <c r="W495" s="99">
        <f>IFERROR(__xludf.DUMMYFUNCTION("""COMPUTED_VALUE"""),0.0)</f>
        <v>0</v>
      </c>
    </row>
    <row r="496">
      <c r="N496" s="98">
        <f>IFERROR(__xludf.DUMMYFUNCTION("""COMPUTED_VALUE"""),44072.0)</f>
        <v>44072</v>
      </c>
      <c r="O496" s="96" t="str">
        <f>IFERROR(__xludf.DUMMYFUNCTION("""COMPUTED_VALUE"""),"BARRI")</f>
        <v>BARRI</v>
      </c>
      <c r="P496" s="96" t="str">
        <f>IFERROR(__xludf.DUMMYFUNCTION("""COMPUTED_VALUE"""),"DIRECTOR ORDER")</f>
        <v>DIRECTOR ORDER</v>
      </c>
      <c r="Q496" s="99">
        <f>IFERROR(__xludf.DUMMYFUNCTION("""COMPUTED_VALUE"""),5000.0)</f>
        <v>5000</v>
      </c>
      <c r="R496" s="96" t="str">
        <f>IFERROR(__xludf.DUMMYFUNCTION("""COMPUTED_VALUE"""),"General Expenses")</f>
        <v>General Expenses</v>
      </c>
      <c r="S496" s="99">
        <f>IFERROR(__xludf.DUMMYFUNCTION("""COMPUTED_VALUE"""),0.0)</f>
        <v>0</v>
      </c>
      <c r="T496" s="99">
        <f>IFERROR(__xludf.DUMMYFUNCTION("""COMPUTED_VALUE"""),5000.0)</f>
        <v>5000</v>
      </c>
      <c r="U496" s="99">
        <f>IFERROR(__xludf.DUMMYFUNCTION("""COMPUTED_VALUE"""),0.0)</f>
        <v>0</v>
      </c>
      <c r="V496" s="99">
        <f>IFERROR(__xludf.DUMMYFUNCTION("""COMPUTED_VALUE"""),0.0)</f>
        <v>0</v>
      </c>
      <c r="W496" s="99">
        <f>IFERROR(__xludf.DUMMYFUNCTION("""COMPUTED_VALUE"""),0.0)</f>
        <v>0</v>
      </c>
    </row>
    <row r="497">
      <c r="N497" s="98">
        <f>IFERROR(__xludf.DUMMYFUNCTION("""COMPUTED_VALUE"""),44072.0)</f>
        <v>44072</v>
      </c>
      <c r="O497" s="96" t="str">
        <f>IFERROR(__xludf.DUMMYFUNCTION("""COMPUTED_VALUE"""),"ECOTEX")</f>
        <v>ECOTEX</v>
      </c>
      <c r="P497" s="96" t="str">
        <f>IFERROR(__xludf.DUMMYFUNCTION("""COMPUTED_VALUE"""),"HAULAGE")</f>
        <v>HAULAGE</v>
      </c>
      <c r="Q497" s="99">
        <f>IFERROR(__xludf.DUMMYFUNCTION("""COMPUTED_VALUE"""),16500.0)</f>
        <v>16500</v>
      </c>
      <c r="R497" s="96" t="str">
        <f>IFERROR(__xludf.DUMMYFUNCTION("""COMPUTED_VALUE"""),"General Expenses")</f>
        <v>General Expenses</v>
      </c>
      <c r="S497" s="99">
        <f>IFERROR(__xludf.DUMMYFUNCTION("""COMPUTED_VALUE"""),0.0)</f>
        <v>0</v>
      </c>
      <c r="T497" s="99">
        <f>IFERROR(__xludf.DUMMYFUNCTION("""COMPUTED_VALUE"""),16500.0)</f>
        <v>16500</v>
      </c>
      <c r="U497" s="99">
        <f>IFERROR(__xludf.DUMMYFUNCTION("""COMPUTED_VALUE"""),0.0)</f>
        <v>0</v>
      </c>
      <c r="V497" s="99">
        <f>IFERROR(__xludf.DUMMYFUNCTION("""COMPUTED_VALUE"""),0.0)</f>
        <v>0</v>
      </c>
      <c r="W497" s="99">
        <f>IFERROR(__xludf.DUMMYFUNCTION("""COMPUTED_VALUE"""),0.0)</f>
        <v>0</v>
      </c>
    </row>
    <row r="498">
      <c r="N498" s="98">
        <f>IFERROR(__xludf.DUMMYFUNCTION("""COMPUTED_VALUE"""),44072.0)</f>
        <v>44072</v>
      </c>
      <c r="O498" s="96" t="str">
        <f>IFERROR(__xludf.DUMMYFUNCTION("""COMPUTED_VALUE"""),"DIRECTOR")</f>
        <v>DIRECTOR</v>
      </c>
      <c r="P498" s="96" t="str">
        <f>IFERROR(__xludf.DUMMYFUNCTION("""COMPUTED_VALUE"""),"PERSONAL USE")</f>
        <v>PERSONAL USE</v>
      </c>
      <c r="Q498" s="99">
        <f>IFERROR(__xludf.DUMMYFUNCTION("""COMPUTED_VALUE"""),15000.0)</f>
        <v>15000</v>
      </c>
      <c r="R498" s="96" t="str">
        <f>IFERROR(__xludf.DUMMYFUNCTION("""COMPUTED_VALUE"""),"General Expenses")</f>
        <v>General Expenses</v>
      </c>
      <c r="S498" s="99">
        <f>IFERROR(__xludf.DUMMYFUNCTION("""COMPUTED_VALUE"""),0.0)</f>
        <v>0</v>
      </c>
      <c r="T498" s="99">
        <f>IFERROR(__xludf.DUMMYFUNCTION("""COMPUTED_VALUE"""),15000.0)</f>
        <v>15000</v>
      </c>
      <c r="U498" s="99">
        <f>IFERROR(__xludf.DUMMYFUNCTION("""COMPUTED_VALUE"""),0.0)</f>
        <v>0</v>
      </c>
      <c r="V498" s="99">
        <f>IFERROR(__xludf.DUMMYFUNCTION("""COMPUTED_VALUE"""),0.0)</f>
        <v>0</v>
      </c>
      <c r="W498" s="99">
        <f>IFERROR(__xludf.DUMMYFUNCTION("""COMPUTED_VALUE"""),0.0)</f>
        <v>0</v>
      </c>
    </row>
    <row r="499">
      <c r="N499" s="98">
        <f>IFERROR(__xludf.DUMMYFUNCTION("""COMPUTED_VALUE"""),44072.0)</f>
        <v>44072</v>
      </c>
      <c r="O499" s="96" t="str">
        <f>IFERROR(__xludf.DUMMYFUNCTION("""COMPUTED_VALUE"""),"LABOUR  BOY")</f>
        <v>LABOUR  BOY</v>
      </c>
      <c r="P499" s="96" t="str">
        <f>IFERROR(__xludf.DUMMYFUNCTION("""COMPUTED_VALUE"""),"WAGES ADVANCE")</f>
        <v>WAGES ADVANCE</v>
      </c>
      <c r="Q499" s="99">
        <f>IFERROR(__xludf.DUMMYFUNCTION("""COMPUTED_VALUE"""),2500.0)</f>
        <v>2500</v>
      </c>
      <c r="R499" s="96" t="str">
        <f>IFERROR(__xludf.DUMMYFUNCTION("""COMPUTED_VALUE"""),"General Expenses")</f>
        <v>General Expenses</v>
      </c>
      <c r="S499" s="99">
        <f>IFERROR(__xludf.DUMMYFUNCTION("""COMPUTED_VALUE"""),0.0)</f>
        <v>0</v>
      </c>
      <c r="T499" s="99">
        <f>IFERROR(__xludf.DUMMYFUNCTION("""COMPUTED_VALUE"""),2500.0)</f>
        <v>2500</v>
      </c>
      <c r="U499" s="99">
        <f>IFERROR(__xludf.DUMMYFUNCTION("""COMPUTED_VALUE"""),0.0)</f>
        <v>0</v>
      </c>
      <c r="V499" s="99">
        <f>IFERROR(__xludf.DUMMYFUNCTION("""COMPUTED_VALUE"""),0.0)</f>
        <v>0</v>
      </c>
      <c r="W499" s="99">
        <f>IFERROR(__xludf.DUMMYFUNCTION("""COMPUTED_VALUE"""),0.0)</f>
        <v>0</v>
      </c>
    </row>
    <row r="500">
      <c r="N500" s="98">
        <f>IFERROR(__xludf.DUMMYFUNCTION("""COMPUTED_VALUE"""),44072.0)</f>
        <v>44072</v>
      </c>
      <c r="O500" s="96" t="str">
        <f>IFERROR(__xludf.DUMMYFUNCTION("""COMPUTED_VALUE"""),"DIRECTOR")</f>
        <v>DIRECTOR</v>
      </c>
      <c r="P500" s="96" t="str">
        <f>IFERROR(__xludf.DUMMYFUNCTION("""COMPUTED_VALUE"""),"WAREHOUSE EXPENSES")</f>
        <v>WAREHOUSE EXPENSES</v>
      </c>
      <c r="Q500" s="99">
        <f>IFERROR(__xludf.DUMMYFUNCTION("""COMPUTED_VALUE"""),313100.0)</f>
        <v>313100</v>
      </c>
      <c r="R500" s="96" t="str">
        <f>IFERROR(__xludf.DUMMYFUNCTION("""COMPUTED_VALUE"""),"General Expenses")</f>
        <v>General Expenses</v>
      </c>
      <c r="S500" s="99">
        <f>IFERROR(__xludf.DUMMYFUNCTION("""COMPUTED_VALUE"""),0.0)</f>
        <v>0</v>
      </c>
      <c r="T500" s="99">
        <f>IFERROR(__xludf.DUMMYFUNCTION("""COMPUTED_VALUE"""),313100.0)</f>
        <v>313100</v>
      </c>
      <c r="U500" s="99">
        <f>IFERROR(__xludf.DUMMYFUNCTION("""COMPUTED_VALUE"""),0.0)</f>
        <v>0</v>
      </c>
      <c r="V500" s="99">
        <f>IFERROR(__xludf.DUMMYFUNCTION("""COMPUTED_VALUE"""),0.0)</f>
        <v>0</v>
      </c>
      <c r="W500" s="99">
        <f>IFERROR(__xludf.DUMMYFUNCTION("""COMPUTED_VALUE"""),0.0)</f>
        <v>0</v>
      </c>
    </row>
    <row r="501">
      <c r="N501" s="98">
        <f>IFERROR(__xludf.DUMMYFUNCTION("""COMPUTED_VALUE"""),44072.0)</f>
        <v>44072</v>
      </c>
      <c r="O501" s="96" t="str">
        <f>IFERROR(__xludf.DUMMYFUNCTION("""COMPUTED_VALUE"""),"PAULISET")</f>
        <v>PAULISET</v>
      </c>
      <c r="P501" s="96"/>
      <c r="Q501" s="99"/>
      <c r="R501" s="96"/>
      <c r="S501" s="99">
        <f>IFERROR(__xludf.DUMMYFUNCTION("""COMPUTED_VALUE"""),0.0)</f>
        <v>0</v>
      </c>
      <c r="T501" s="99">
        <f>IFERROR(__xludf.DUMMYFUNCTION("""COMPUTED_VALUE"""),0.0)</f>
        <v>0</v>
      </c>
      <c r="U501" s="99">
        <f>IFERROR(__xludf.DUMMYFUNCTION("""COMPUTED_VALUE"""),0.0)</f>
        <v>0</v>
      </c>
      <c r="V501" s="99">
        <f>IFERROR(__xludf.DUMMYFUNCTION("""COMPUTED_VALUE"""),0.0)</f>
        <v>0</v>
      </c>
      <c r="W501" s="99">
        <f>IFERROR(__xludf.DUMMYFUNCTION("""COMPUTED_VALUE"""),0.0)</f>
        <v>0</v>
      </c>
    </row>
    <row r="502">
      <c r="N502" s="98">
        <f>IFERROR(__xludf.DUMMYFUNCTION("""COMPUTED_VALUE"""),44072.0)</f>
        <v>44072</v>
      </c>
      <c r="O502" s="96" t="str">
        <f>IFERROR(__xludf.DUMMYFUNCTION("""COMPUTED_VALUE"""),"PAULISET")</f>
        <v>PAULISET</v>
      </c>
      <c r="P502" s="96" t="str">
        <f>IFERROR(__xludf.DUMMYFUNCTION("""COMPUTED_VALUE"""),"PAYMENT")</f>
        <v>PAYMENT</v>
      </c>
      <c r="Q502" s="99">
        <f>IFERROR(__xludf.DUMMYFUNCTION("""COMPUTED_VALUE"""),90000.0)</f>
        <v>90000</v>
      </c>
      <c r="R502" s="96" t="str">
        <f>IFERROR(__xludf.DUMMYFUNCTION("""COMPUTED_VALUE"""),"General Expenses")</f>
        <v>General Expenses</v>
      </c>
      <c r="S502" s="99">
        <f>IFERROR(__xludf.DUMMYFUNCTION("""COMPUTED_VALUE"""),0.0)</f>
        <v>0</v>
      </c>
      <c r="T502" s="99">
        <f>IFERROR(__xludf.DUMMYFUNCTION("""COMPUTED_VALUE"""),90000.0)</f>
        <v>90000</v>
      </c>
      <c r="U502" s="99">
        <f>IFERROR(__xludf.DUMMYFUNCTION("""COMPUTED_VALUE"""),0.0)</f>
        <v>0</v>
      </c>
      <c r="V502" s="99">
        <f>IFERROR(__xludf.DUMMYFUNCTION("""COMPUTED_VALUE"""),0.0)</f>
        <v>0</v>
      </c>
      <c r="W502" s="99">
        <f>IFERROR(__xludf.DUMMYFUNCTION("""COMPUTED_VALUE"""),0.0)</f>
        <v>0</v>
      </c>
    </row>
    <row r="503">
      <c r="N503" s="98">
        <f>IFERROR(__xludf.DUMMYFUNCTION("""COMPUTED_VALUE"""),44072.0)</f>
        <v>44072</v>
      </c>
      <c r="O503" s="96" t="str">
        <f>IFERROR(__xludf.DUMMYFUNCTION("""COMPUTED_VALUE"""),"BLESSING CHAPMAN")</f>
        <v>BLESSING CHAPMAN</v>
      </c>
      <c r="P503" s="96" t="str">
        <f>IFERROR(__xludf.DUMMYFUNCTION("""COMPUTED_VALUE"""),"CASH COLLECTED")</f>
        <v>CASH COLLECTED</v>
      </c>
      <c r="Q503" s="99">
        <f>IFERROR(__xludf.DUMMYFUNCTION("""COMPUTED_VALUE"""),450500.0)</f>
        <v>450500</v>
      </c>
      <c r="R503" s="96" t="str">
        <f>IFERROR(__xludf.DUMMYFUNCTION("""COMPUTED_VALUE"""),"Petty Cash")</f>
        <v>Petty Cash</v>
      </c>
      <c r="S503" s="99">
        <f>IFERROR(__xludf.DUMMYFUNCTION("""COMPUTED_VALUE"""),0.0)</f>
        <v>0</v>
      </c>
      <c r="T503" s="99">
        <f>IFERROR(__xludf.DUMMYFUNCTION("""COMPUTED_VALUE"""),0.0)</f>
        <v>0</v>
      </c>
      <c r="U503" s="99">
        <f>IFERROR(__xludf.DUMMYFUNCTION("""COMPUTED_VALUE"""),0.0)</f>
        <v>0</v>
      </c>
      <c r="V503" s="99">
        <f>IFERROR(__xludf.DUMMYFUNCTION("""COMPUTED_VALUE"""),450500.0)</f>
        <v>450500</v>
      </c>
      <c r="W503" s="99">
        <f>IFERROR(__xludf.DUMMYFUNCTION("""COMPUTED_VALUE"""),0.0)</f>
        <v>0</v>
      </c>
    </row>
    <row r="504">
      <c r="N504" s="98">
        <f>IFERROR(__xludf.DUMMYFUNCTION("""COMPUTED_VALUE"""),44074.0)</f>
        <v>44074</v>
      </c>
      <c r="O504" s="96" t="str">
        <f>IFERROR(__xludf.DUMMYFUNCTION("""COMPUTED_VALUE"""),"REMMY BODES")</f>
        <v>REMMY BODES</v>
      </c>
      <c r="P504" s="96" t="str">
        <f>IFERROR(__xludf.DUMMYFUNCTION("""COMPUTED_VALUE"""),"ADVANCE")</f>
        <v>ADVANCE</v>
      </c>
      <c r="Q504" s="99">
        <f>IFERROR(__xludf.DUMMYFUNCTION("""COMPUTED_VALUE"""),220000.0)</f>
        <v>220000</v>
      </c>
      <c r="R504" s="96" t="str">
        <f>IFERROR(__xludf.DUMMYFUNCTION("""COMPUTED_VALUE"""),"Prefinance")</f>
        <v>Prefinance</v>
      </c>
      <c r="S504" s="99">
        <f>IFERROR(__xludf.DUMMYFUNCTION("""COMPUTED_VALUE"""),0.0)</f>
        <v>0</v>
      </c>
      <c r="T504" s="99">
        <f>IFERROR(__xludf.DUMMYFUNCTION("""COMPUTED_VALUE"""),0.0)</f>
        <v>0</v>
      </c>
      <c r="U504" s="99">
        <f>IFERROR(__xludf.DUMMYFUNCTION("""COMPUTED_VALUE"""),0.0)</f>
        <v>0</v>
      </c>
      <c r="V504" s="99">
        <f>IFERROR(__xludf.DUMMYFUNCTION("""COMPUTED_VALUE"""),0.0)</f>
        <v>0</v>
      </c>
      <c r="W504" s="99">
        <f>IFERROR(__xludf.DUMMYFUNCTION("""COMPUTED_VALUE"""),0.0)</f>
        <v>0</v>
      </c>
    </row>
    <row r="505">
      <c r="N505" s="98">
        <f>IFERROR(__xludf.DUMMYFUNCTION("""COMPUTED_VALUE"""),44074.0)</f>
        <v>44074</v>
      </c>
      <c r="O505" s="96" t="str">
        <f>IFERROR(__xludf.DUMMYFUNCTION("""COMPUTED_VALUE"""),"LYDIA HNSON ")</f>
        <v>LYDIA HNSON </v>
      </c>
      <c r="P505" s="96" t="str">
        <f>IFERROR(__xludf.DUMMYFUNCTION("""COMPUTED_VALUE"""),"ADVANCE")</f>
        <v>ADVANCE</v>
      </c>
      <c r="Q505" s="99">
        <f>IFERROR(__xludf.DUMMYFUNCTION("""COMPUTED_VALUE"""),35000.0)</f>
        <v>35000</v>
      </c>
      <c r="R505" s="96" t="str">
        <f>IFERROR(__xludf.DUMMYFUNCTION("""COMPUTED_VALUE"""),"Prefinance")</f>
        <v>Prefinance</v>
      </c>
      <c r="S505" s="99">
        <f>IFERROR(__xludf.DUMMYFUNCTION("""COMPUTED_VALUE"""),0.0)</f>
        <v>0</v>
      </c>
      <c r="T505" s="99">
        <f>IFERROR(__xludf.DUMMYFUNCTION("""COMPUTED_VALUE"""),0.0)</f>
        <v>0</v>
      </c>
      <c r="U505" s="99">
        <f>IFERROR(__xludf.DUMMYFUNCTION("""COMPUTED_VALUE"""),0.0)</f>
        <v>0</v>
      </c>
      <c r="V505" s="99">
        <f>IFERROR(__xludf.DUMMYFUNCTION("""COMPUTED_VALUE"""),0.0)</f>
        <v>0</v>
      </c>
      <c r="W505" s="99">
        <f>IFERROR(__xludf.DUMMYFUNCTION("""COMPUTED_VALUE"""),0.0)</f>
        <v>0</v>
      </c>
    </row>
    <row r="506">
      <c r="N506" s="98">
        <f>IFERROR(__xludf.DUMMYFUNCTION("""COMPUTED_VALUE"""),44074.0)</f>
        <v>44074</v>
      </c>
      <c r="O506" s="96" t="str">
        <f>IFERROR(__xludf.DUMMYFUNCTION("""COMPUTED_VALUE"""),"FREDERICK")</f>
        <v>FREDERICK</v>
      </c>
      <c r="P506" s="96" t="str">
        <f>IFERROR(__xludf.DUMMYFUNCTION("""COMPUTED_VALUE"""),"DIRECTOR ORDER")</f>
        <v>DIRECTOR ORDER</v>
      </c>
      <c r="Q506" s="99">
        <f>IFERROR(__xludf.DUMMYFUNCTION("""COMPUTED_VALUE"""),5000.0)</f>
        <v>5000</v>
      </c>
      <c r="R506" s="96" t="str">
        <f>IFERROR(__xludf.DUMMYFUNCTION("""COMPUTED_VALUE"""),"General Expenses")</f>
        <v>General Expenses</v>
      </c>
      <c r="S506" s="99">
        <f>IFERROR(__xludf.DUMMYFUNCTION("""COMPUTED_VALUE"""),0.0)</f>
        <v>0</v>
      </c>
      <c r="T506" s="99">
        <f>IFERROR(__xludf.DUMMYFUNCTION("""COMPUTED_VALUE"""),5000.0)</f>
        <v>5000</v>
      </c>
      <c r="U506" s="99">
        <f>IFERROR(__xludf.DUMMYFUNCTION("""COMPUTED_VALUE"""),0.0)</f>
        <v>0</v>
      </c>
      <c r="V506" s="99">
        <f>IFERROR(__xludf.DUMMYFUNCTION("""COMPUTED_VALUE"""),0.0)</f>
        <v>0</v>
      </c>
      <c r="W506" s="99">
        <f>IFERROR(__xludf.DUMMYFUNCTION("""COMPUTED_VALUE"""),0.0)</f>
        <v>0</v>
      </c>
    </row>
    <row r="507">
      <c r="N507" s="98">
        <f>IFERROR(__xludf.DUMMYFUNCTION("""COMPUTED_VALUE"""),44074.0)</f>
        <v>44074</v>
      </c>
      <c r="O507" s="96" t="str">
        <f>IFERROR(__xludf.DUMMYFUNCTION("""COMPUTED_VALUE"""),"MANAGER")</f>
        <v>MANAGER</v>
      </c>
      <c r="P507" s="96" t="str">
        <f>IFERROR(__xludf.DUMMYFUNCTION("""COMPUTED_VALUE"""),"DIESEL")</f>
        <v>DIESEL</v>
      </c>
      <c r="Q507" s="99">
        <f>IFERROR(__xludf.DUMMYFUNCTION("""COMPUTED_VALUE"""),10000.0)</f>
        <v>10000</v>
      </c>
      <c r="R507" s="96" t="str">
        <f>IFERROR(__xludf.DUMMYFUNCTION("""COMPUTED_VALUE"""),"General Expenses")</f>
        <v>General Expenses</v>
      </c>
      <c r="S507" s="99">
        <f>IFERROR(__xludf.DUMMYFUNCTION("""COMPUTED_VALUE"""),0.0)</f>
        <v>0</v>
      </c>
      <c r="T507" s="99">
        <f>IFERROR(__xludf.DUMMYFUNCTION("""COMPUTED_VALUE"""),10000.0)</f>
        <v>10000</v>
      </c>
      <c r="U507" s="99">
        <f>IFERROR(__xludf.DUMMYFUNCTION("""COMPUTED_VALUE"""),0.0)</f>
        <v>0</v>
      </c>
      <c r="V507" s="99">
        <f>IFERROR(__xludf.DUMMYFUNCTION("""COMPUTED_VALUE"""),0.0)</f>
        <v>0</v>
      </c>
      <c r="W507" s="99">
        <f>IFERROR(__xludf.DUMMYFUNCTION("""COMPUTED_VALUE"""),0.0)</f>
        <v>0</v>
      </c>
    </row>
    <row r="508">
      <c r="N508" s="98">
        <f>IFERROR(__xludf.DUMMYFUNCTION("""COMPUTED_VALUE"""),44074.0)</f>
        <v>44074</v>
      </c>
      <c r="O508" s="96" t="str">
        <f>IFERROR(__xludf.DUMMYFUNCTION("""COMPUTED_VALUE"""),"AMBA")</f>
        <v>AMBA</v>
      </c>
      <c r="P508" s="96" t="str">
        <f>IFERROR(__xludf.DUMMYFUNCTION("""COMPUTED_VALUE"""),"ROYALTY")</f>
        <v>ROYALTY</v>
      </c>
      <c r="Q508" s="99">
        <f>IFERROR(__xludf.DUMMYFUNCTION("""COMPUTED_VALUE"""),5000.0)</f>
        <v>5000</v>
      </c>
      <c r="R508" s="96" t="str">
        <f>IFERROR(__xludf.DUMMYFUNCTION("""COMPUTED_VALUE"""),"General Expenses")</f>
        <v>General Expenses</v>
      </c>
      <c r="S508" s="99">
        <f>IFERROR(__xludf.DUMMYFUNCTION("""COMPUTED_VALUE"""),0.0)</f>
        <v>0</v>
      </c>
      <c r="T508" s="99">
        <f>IFERROR(__xludf.DUMMYFUNCTION("""COMPUTED_VALUE"""),5000.0)</f>
        <v>5000</v>
      </c>
      <c r="U508" s="99">
        <f>IFERROR(__xludf.DUMMYFUNCTION("""COMPUTED_VALUE"""),0.0)</f>
        <v>0</v>
      </c>
      <c r="V508" s="99">
        <f>IFERROR(__xludf.DUMMYFUNCTION("""COMPUTED_VALUE"""),0.0)</f>
        <v>0</v>
      </c>
      <c r="W508" s="99">
        <f>IFERROR(__xludf.DUMMYFUNCTION("""COMPUTED_VALUE"""),0.0)</f>
        <v>0</v>
      </c>
    </row>
    <row r="509">
      <c r="N509" s="98">
        <f>IFERROR(__xludf.DUMMYFUNCTION("""COMPUTED_VALUE"""),44074.0)</f>
        <v>44074</v>
      </c>
      <c r="O509" s="96" t="str">
        <f>IFERROR(__xludf.DUMMYFUNCTION("""COMPUTED_VALUE"""),"MANAGER")</f>
        <v>MANAGER</v>
      </c>
      <c r="P509" s="96" t="str">
        <f>IFERROR(__xludf.DUMMYFUNCTION("""COMPUTED_VALUE"""),"AIRTIME/ TRANSPORT")</f>
        <v>AIRTIME/ TRANSPORT</v>
      </c>
      <c r="Q509" s="99">
        <f>IFERROR(__xludf.DUMMYFUNCTION("""COMPUTED_VALUE"""),1000.0)</f>
        <v>1000</v>
      </c>
      <c r="R509" s="96" t="str">
        <f>IFERROR(__xludf.DUMMYFUNCTION("""COMPUTED_VALUE"""),"General Expenses")</f>
        <v>General Expenses</v>
      </c>
      <c r="S509" s="99">
        <f>IFERROR(__xludf.DUMMYFUNCTION("""COMPUTED_VALUE"""),0.0)</f>
        <v>0</v>
      </c>
      <c r="T509" s="99">
        <f>IFERROR(__xludf.DUMMYFUNCTION("""COMPUTED_VALUE"""),1000.0)</f>
        <v>1000</v>
      </c>
      <c r="U509" s="99">
        <f>IFERROR(__xludf.DUMMYFUNCTION("""COMPUTED_VALUE"""),0.0)</f>
        <v>0</v>
      </c>
      <c r="V509" s="99">
        <f>IFERROR(__xludf.DUMMYFUNCTION("""COMPUTED_VALUE"""),0.0)</f>
        <v>0</v>
      </c>
      <c r="W509" s="99">
        <f>IFERROR(__xludf.DUMMYFUNCTION("""COMPUTED_VALUE"""),0.0)</f>
        <v>0</v>
      </c>
    </row>
    <row r="510">
      <c r="N510" s="98">
        <f>IFERROR(__xludf.DUMMYFUNCTION("""COMPUTED_VALUE"""),44074.0)</f>
        <v>44074</v>
      </c>
      <c r="O510" s="96" t="str">
        <f>IFERROR(__xludf.DUMMYFUNCTION("""COMPUTED_VALUE"""),"HN &amp; BASIL")</f>
        <v>HN &amp; BASIL</v>
      </c>
      <c r="P510" s="96" t="str">
        <f>IFERROR(__xludf.DUMMYFUNCTION("""COMPUTED_VALUE"""),"TRANSPORT ")</f>
        <v>TRANSPORT </v>
      </c>
      <c r="Q510" s="99">
        <f>IFERROR(__xludf.DUMMYFUNCTION("""COMPUTED_VALUE"""),50000.0)</f>
        <v>50000</v>
      </c>
      <c r="R510" s="96" t="str">
        <f>IFERROR(__xludf.DUMMYFUNCTION("""COMPUTED_VALUE"""),"General Expenses")</f>
        <v>General Expenses</v>
      </c>
      <c r="S510" s="99">
        <f>IFERROR(__xludf.DUMMYFUNCTION("""COMPUTED_VALUE"""),0.0)</f>
        <v>0</v>
      </c>
      <c r="T510" s="99">
        <f>IFERROR(__xludf.DUMMYFUNCTION("""COMPUTED_VALUE"""),50000.0)</f>
        <v>50000</v>
      </c>
      <c r="U510" s="99">
        <f>IFERROR(__xludf.DUMMYFUNCTION("""COMPUTED_VALUE"""),0.0)</f>
        <v>0</v>
      </c>
      <c r="V510" s="99">
        <f>IFERROR(__xludf.DUMMYFUNCTION("""COMPUTED_VALUE"""),0.0)</f>
        <v>0</v>
      </c>
      <c r="W510" s="99">
        <f>IFERROR(__xludf.DUMMYFUNCTION("""COMPUTED_VALUE"""),0.0)</f>
        <v>0</v>
      </c>
    </row>
    <row r="511">
      <c r="N511" s="98">
        <f>IFERROR(__xludf.DUMMYFUNCTION("""COMPUTED_VALUE"""),44074.0)</f>
        <v>44074</v>
      </c>
      <c r="O511" s="96" t="str">
        <f>IFERROR(__xludf.DUMMYFUNCTION("""COMPUTED_VALUE"""),"LABOUR  BOY")</f>
        <v>LABOUR  BOY</v>
      </c>
      <c r="P511" s="96" t="str">
        <f>IFERROR(__xludf.DUMMYFUNCTION("""COMPUTED_VALUE"""),"WAGES ADVANCE")</f>
        <v>WAGES ADVANCE</v>
      </c>
      <c r="Q511" s="99">
        <f>IFERROR(__xludf.DUMMYFUNCTION("""COMPUTED_VALUE"""),1500.0)</f>
        <v>1500</v>
      </c>
      <c r="R511" s="96" t="str">
        <f>IFERROR(__xludf.DUMMYFUNCTION("""COMPUTED_VALUE"""),"General Expenses")</f>
        <v>General Expenses</v>
      </c>
      <c r="S511" s="99">
        <f>IFERROR(__xludf.DUMMYFUNCTION("""COMPUTED_VALUE"""),0.0)</f>
        <v>0</v>
      </c>
      <c r="T511" s="99">
        <f>IFERROR(__xludf.DUMMYFUNCTION("""COMPUTED_VALUE"""),1500.0)</f>
        <v>1500</v>
      </c>
      <c r="U511" s="99">
        <f>IFERROR(__xludf.DUMMYFUNCTION("""COMPUTED_VALUE"""),0.0)</f>
        <v>0</v>
      </c>
      <c r="V511" s="99">
        <f>IFERROR(__xludf.DUMMYFUNCTION("""COMPUTED_VALUE"""),0.0)</f>
        <v>0</v>
      </c>
      <c r="W511" s="99">
        <f>IFERROR(__xludf.DUMMYFUNCTION("""COMPUTED_VALUE"""),0.0)</f>
        <v>0</v>
      </c>
    </row>
    <row r="512">
      <c r="N512" s="98">
        <f>IFERROR(__xludf.DUMMYFUNCTION("""COMPUTED_VALUE"""),44074.0)</f>
        <v>44074</v>
      </c>
      <c r="O512" s="96" t="str">
        <f>IFERROR(__xludf.DUMMYFUNCTION("""COMPUTED_VALUE"""),"BLESSING CHAPMAN")</f>
        <v>BLESSING CHAPMAN</v>
      </c>
      <c r="P512" s="96" t="str">
        <f>IFERROR(__xludf.DUMMYFUNCTION("""COMPUTED_VALUE"""),"CASH COLLECTED")</f>
        <v>CASH COLLECTED</v>
      </c>
      <c r="Q512" s="99">
        <f>IFERROR(__xludf.DUMMYFUNCTION("""COMPUTED_VALUE"""),741500.0)</f>
        <v>741500</v>
      </c>
      <c r="R512" s="96" t="str">
        <f>IFERROR(__xludf.DUMMYFUNCTION("""COMPUTED_VALUE"""),"Petty Cash")</f>
        <v>Petty Cash</v>
      </c>
      <c r="S512" s="99">
        <f>IFERROR(__xludf.DUMMYFUNCTION("""COMPUTED_VALUE"""),0.0)</f>
        <v>0</v>
      </c>
      <c r="T512" s="99">
        <f>IFERROR(__xludf.DUMMYFUNCTION("""COMPUTED_VALUE"""),0.0)</f>
        <v>0</v>
      </c>
      <c r="U512" s="99">
        <f>IFERROR(__xludf.DUMMYFUNCTION("""COMPUTED_VALUE"""),0.0)</f>
        <v>0</v>
      </c>
      <c r="V512" s="99">
        <f>IFERROR(__xludf.DUMMYFUNCTION("""COMPUTED_VALUE"""),741500.0)</f>
        <v>741500</v>
      </c>
      <c r="W512" s="99">
        <f>IFERROR(__xludf.DUMMYFUNCTION("""COMPUTED_VALUE"""),0.0)</f>
        <v>0</v>
      </c>
    </row>
    <row r="513">
      <c r="N513" s="98">
        <f>IFERROR(__xludf.DUMMYFUNCTION("""COMPUTED_VALUE"""),44074.0)</f>
        <v>44074</v>
      </c>
      <c r="O513" s="96" t="str">
        <f>IFERROR(__xludf.DUMMYFUNCTION("""COMPUTED_VALUE"""),"SEPH LOVE")</f>
        <v>SEPH LOVE</v>
      </c>
      <c r="P513" s="96" t="str">
        <f>IFERROR(__xludf.DUMMYFUNCTION("""COMPUTED_VALUE"""),"ADVANCE")</f>
        <v>ADVANCE</v>
      </c>
      <c r="Q513" s="99">
        <f>IFERROR(__xludf.DUMMYFUNCTION("""COMPUTED_VALUE"""),2500000.0)</f>
        <v>2500000</v>
      </c>
      <c r="R513" s="96" t="str">
        <f>IFERROR(__xludf.DUMMYFUNCTION("""COMPUTED_VALUE"""),"Prefinance")</f>
        <v>Prefinance</v>
      </c>
      <c r="S513" s="99">
        <f>IFERROR(__xludf.DUMMYFUNCTION("""COMPUTED_VALUE"""),0.0)</f>
        <v>0</v>
      </c>
      <c r="T513" s="99">
        <f>IFERROR(__xludf.DUMMYFUNCTION("""COMPUTED_VALUE"""),0.0)</f>
        <v>0</v>
      </c>
      <c r="U513" s="99">
        <f>IFERROR(__xludf.DUMMYFUNCTION("""COMPUTED_VALUE"""),0.0)</f>
        <v>0</v>
      </c>
      <c r="V513" s="99">
        <f>IFERROR(__xludf.DUMMYFUNCTION("""COMPUTED_VALUE"""),0.0)</f>
        <v>0</v>
      </c>
      <c r="W513" s="99">
        <f>IFERROR(__xludf.DUMMYFUNCTION("""COMPUTED_VALUE"""),0.0)</f>
        <v>0</v>
      </c>
    </row>
    <row r="514">
      <c r="N514" s="98">
        <f>IFERROR(__xludf.DUMMYFUNCTION("""COMPUTED_VALUE"""),44074.0)</f>
        <v>44074</v>
      </c>
      <c r="O514" s="96" t="str">
        <f>IFERROR(__xludf.DUMMYFUNCTION("""COMPUTED_VALUE"""),"MANAGER")</f>
        <v>MANAGER</v>
      </c>
      <c r="P514" s="96" t="str">
        <f>IFERROR(__xludf.DUMMYFUNCTION("""COMPUTED_VALUE"""),"CASH-IN")</f>
        <v>CASH-IN</v>
      </c>
      <c r="Q514" s="99">
        <f>IFERROR(__xludf.DUMMYFUNCTION("""COMPUTED_VALUE"""),2500000.0)</f>
        <v>2500000</v>
      </c>
      <c r="R514" s="96" t="str">
        <f>IFERROR(__xludf.DUMMYFUNCTION("""COMPUTED_VALUE"""),"From Bank")</f>
        <v>From Bank</v>
      </c>
      <c r="S514" s="99">
        <f>IFERROR(__xludf.DUMMYFUNCTION("""COMPUTED_VALUE"""),0.0)</f>
        <v>0</v>
      </c>
      <c r="T514" s="99">
        <f>IFERROR(__xludf.DUMMYFUNCTION("""COMPUTED_VALUE"""),0.0)</f>
        <v>0</v>
      </c>
      <c r="U514" s="99">
        <f>IFERROR(__xludf.DUMMYFUNCTION("""COMPUTED_VALUE"""),2500000.0)</f>
        <v>2500000</v>
      </c>
      <c r="V514" s="99">
        <f>IFERROR(__xludf.DUMMYFUNCTION("""COMPUTED_VALUE"""),0.0)</f>
        <v>0</v>
      </c>
      <c r="W514" s="99">
        <f>IFERROR(__xludf.DUMMYFUNCTION("""COMPUTED_VALUE"""),0.0)</f>
        <v>0</v>
      </c>
    </row>
    <row r="515">
      <c r="N515" s="98">
        <f>IFERROR(__xludf.DUMMYFUNCTION("""COMPUTED_VALUE"""),44075.0)</f>
        <v>44075</v>
      </c>
      <c r="O515" s="96" t="str">
        <f>IFERROR(__xludf.DUMMYFUNCTION("""COMPUTED_VALUE"""),"A. D. FREDERICK")</f>
        <v>A. D. FREDERICK</v>
      </c>
      <c r="P515" s="96" t="str">
        <f>IFERROR(__xludf.DUMMYFUNCTION("""COMPUTED_VALUE"""),"ADVANCE")</f>
        <v>ADVANCE</v>
      </c>
      <c r="Q515" s="99">
        <f>IFERROR(__xludf.DUMMYFUNCTION("""COMPUTED_VALUE"""),1105000.0)</f>
        <v>1105000</v>
      </c>
      <c r="R515" s="96" t="str">
        <f>IFERROR(__xludf.DUMMYFUNCTION("""COMPUTED_VALUE"""),"Prefinance")</f>
        <v>Prefinance</v>
      </c>
      <c r="S515" s="99">
        <f>IFERROR(__xludf.DUMMYFUNCTION("""COMPUTED_VALUE"""),0.0)</f>
        <v>0</v>
      </c>
      <c r="T515" s="99">
        <f>IFERROR(__xludf.DUMMYFUNCTION("""COMPUTED_VALUE"""),0.0)</f>
        <v>0</v>
      </c>
      <c r="U515" s="99">
        <f>IFERROR(__xludf.DUMMYFUNCTION("""COMPUTED_VALUE"""),0.0)</f>
        <v>0</v>
      </c>
      <c r="V515" s="99">
        <f>IFERROR(__xludf.DUMMYFUNCTION("""COMPUTED_VALUE"""),0.0)</f>
        <v>0</v>
      </c>
      <c r="W515" s="99">
        <f>IFERROR(__xludf.DUMMYFUNCTION("""COMPUTED_VALUE"""),0.0)</f>
        <v>0</v>
      </c>
    </row>
    <row r="516">
      <c r="N516" s="98">
        <f>IFERROR(__xludf.DUMMYFUNCTION("""COMPUTED_VALUE"""),44075.0)</f>
        <v>44075</v>
      </c>
      <c r="O516" s="96" t="str">
        <f>IFERROR(__xludf.DUMMYFUNCTION("""COMPUTED_VALUE"""),"OTU KOKO KEIBO")</f>
        <v>OTU KOKO KEIBO</v>
      </c>
      <c r="P516" s="96" t="str">
        <f>IFERROR(__xludf.DUMMYFUNCTION("""COMPUTED_VALUE"""),"ADVANCE")</f>
        <v>ADVANCE</v>
      </c>
      <c r="Q516" s="99">
        <f>IFERROR(__xludf.DUMMYFUNCTION("""COMPUTED_VALUE"""),20000.0)</f>
        <v>20000</v>
      </c>
      <c r="R516" s="96" t="str">
        <f>IFERROR(__xludf.DUMMYFUNCTION("""COMPUTED_VALUE"""),"Prefinance")</f>
        <v>Prefinance</v>
      </c>
      <c r="S516" s="99">
        <f>IFERROR(__xludf.DUMMYFUNCTION("""COMPUTED_VALUE"""),0.0)</f>
        <v>0</v>
      </c>
      <c r="T516" s="99">
        <f>IFERROR(__xludf.DUMMYFUNCTION("""COMPUTED_VALUE"""),0.0)</f>
        <v>0</v>
      </c>
      <c r="U516" s="99">
        <f>IFERROR(__xludf.DUMMYFUNCTION("""COMPUTED_VALUE"""),0.0)</f>
        <v>0</v>
      </c>
      <c r="V516" s="99">
        <f>IFERROR(__xludf.DUMMYFUNCTION("""COMPUTED_VALUE"""),0.0)</f>
        <v>0</v>
      </c>
      <c r="W516" s="99">
        <f>IFERROR(__xludf.DUMMYFUNCTION("""COMPUTED_VALUE"""),0.0)</f>
        <v>0</v>
      </c>
    </row>
    <row r="517">
      <c r="N517" s="98">
        <f>IFERROR(__xludf.DUMMYFUNCTION("""COMPUTED_VALUE"""),44075.0)</f>
        <v>44075</v>
      </c>
      <c r="O517" s="96" t="str">
        <f>IFERROR(__xludf.DUMMYFUNCTION("""COMPUTED_VALUE"""),"EMMANUEL OKO ")</f>
        <v>EMMANUEL OKO </v>
      </c>
      <c r="P517" s="96" t="str">
        <f>IFERROR(__xludf.DUMMYFUNCTION("""COMPUTED_VALUE"""),"ADVANCE")</f>
        <v>ADVANCE</v>
      </c>
      <c r="Q517" s="99">
        <f>IFERROR(__xludf.DUMMYFUNCTION("""COMPUTED_VALUE"""),936000.0)</f>
        <v>936000</v>
      </c>
      <c r="R517" s="96" t="str">
        <f>IFERROR(__xludf.DUMMYFUNCTION("""COMPUTED_VALUE"""),"Prefinance")</f>
        <v>Prefinance</v>
      </c>
      <c r="S517" s="99">
        <f>IFERROR(__xludf.DUMMYFUNCTION("""COMPUTED_VALUE"""),0.0)</f>
        <v>0</v>
      </c>
      <c r="T517" s="99">
        <f>IFERROR(__xludf.DUMMYFUNCTION("""COMPUTED_VALUE"""),0.0)</f>
        <v>0</v>
      </c>
      <c r="U517" s="99">
        <f>IFERROR(__xludf.DUMMYFUNCTION("""COMPUTED_VALUE"""),0.0)</f>
        <v>0</v>
      </c>
      <c r="V517" s="99">
        <f>IFERROR(__xludf.DUMMYFUNCTION("""COMPUTED_VALUE"""),0.0)</f>
        <v>0</v>
      </c>
      <c r="W517" s="99">
        <f>IFERROR(__xludf.DUMMYFUNCTION("""COMPUTED_VALUE"""),0.0)</f>
        <v>0</v>
      </c>
    </row>
    <row r="518">
      <c r="N518" s="98">
        <f>IFERROR(__xludf.DUMMYFUNCTION("""COMPUTED_VALUE"""),44075.0)</f>
        <v>44075</v>
      </c>
      <c r="O518" s="96" t="str">
        <f>IFERROR(__xludf.DUMMYFUNCTION("""COMPUTED_VALUE"""),"EZE")</f>
        <v>EZE</v>
      </c>
      <c r="P518" s="96" t="str">
        <f>IFERROR(__xludf.DUMMYFUNCTION("""COMPUTED_VALUE"""),"FUEL")</f>
        <v>FUEL</v>
      </c>
      <c r="Q518" s="99">
        <f>IFERROR(__xludf.DUMMYFUNCTION("""COMPUTED_VALUE"""),4000.0)</f>
        <v>4000</v>
      </c>
      <c r="R518" s="96" t="str">
        <f>IFERROR(__xludf.DUMMYFUNCTION("""COMPUTED_VALUE"""),"General Expenses")</f>
        <v>General Expenses</v>
      </c>
      <c r="S518" s="99">
        <f>IFERROR(__xludf.DUMMYFUNCTION("""COMPUTED_VALUE"""),0.0)</f>
        <v>0</v>
      </c>
      <c r="T518" s="99">
        <f>IFERROR(__xludf.DUMMYFUNCTION("""COMPUTED_VALUE"""),4000.0)</f>
        <v>4000</v>
      </c>
      <c r="U518" s="99">
        <f>IFERROR(__xludf.DUMMYFUNCTION("""COMPUTED_VALUE"""),0.0)</f>
        <v>0</v>
      </c>
      <c r="V518" s="99">
        <f>IFERROR(__xludf.DUMMYFUNCTION("""COMPUTED_VALUE"""),0.0)</f>
        <v>0</v>
      </c>
      <c r="W518" s="99">
        <f>IFERROR(__xludf.DUMMYFUNCTION("""COMPUTED_VALUE"""),0.0)</f>
        <v>0</v>
      </c>
    </row>
    <row r="519">
      <c r="N519" s="98">
        <f>IFERROR(__xludf.DUMMYFUNCTION("""COMPUTED_VALUE"""),44075.0)</f>
        <v>44075</v>
      </c>
      <c r="O519" s="96" t="str">
        <f>IFERROR(__xludf.DUMMYFUNCTION("""COMPUTED_VALUE"""),"SECURITY")</f>
        <v>SECURITY</v>
      </c>
      <c r="P519" s="96" t="str">
        <f>IFERROR(__xludf.DUMMYFUNCTION("""COMPUTED_VALUE"""),"SALARY ADVANCE")</f>
        <v>SALARY ADVANCE</v>
      </c>
      <c r="Q519" s="99">
        <f>IFERROR(__xludf.DUMMYFUNCTION("""COMPUTED_VALUE"""),500.0)</f>
        <v>500</v>
      </c>
      <c r="R519" s="96" t="str">
        <f>IFERROR(__xludf.DUMMYFUNCTION("""COMPUTED_VALUE"""),"General Expenses")</f>
        <v>General Expenses</v>
      </c>
      <c r="S519" s="99">
        <f>IFERROR(__xludf.DUMMYFUNCTION("""COMPUTED_VALUE"""),0.0)</f>
        <v>0</v>
      </c>
      <c r="T519" s="99">
        <f>IFERROR(__xludf.DUMMYFUNCTION("""COMPUTED_VALUE"""),500.0)</f>
        <v>500</v>
      </c>
      <c r="U519" s="99">
        <f>IFERROR(__xludf.DUMMYFUNCTION("""COMPUTED_VALUE"""),0.0)</f>
        <v>0</v>
      </c>
      <c r="V519" s="99">
        <f>IFERROR(__xludf.DUMMYFUNCTION("""COMPUTED_VALUE"""),0.0)</f>
        <v>0</v>
      </c>
      <c r="W519" s="99">
        <f>IFERROR(__xludf.DUMMYFUNCTION("""COMPUTED_VALUE"""),0.0)</f>
        <v>0</v>
      </c>
    </row>
    <row r="520">
      <c r="N520" s="98">
        <f>IFERROR(__xludf.DUMMYFUNCTION("""COMPUTED_VALUE"""),44075.0)</f>
        <v>44075</v>
      </c>
      <c r="O520" s="96" t="str">
        <f>IFERROR(__xludf.DUMMYFUNCTION("""COMPUTED_VALUE"""),"TULIP DRIVERS")</f>
        <v>TULIP DRIVERS</v>
      </c>
      <c r="P520" s="96" t="str">
        <f>IFERROR(__xludf.DUMMYFUNCTION("""COMPUTED_VALUE"""),"FEE")</f>
        <v>FEE</v>
      </c>
      <c r="Q520" s="99">
        <f>IFERROR(__xludf.DUMMYFUNCTION("""COMPUTED_VALUE"""),1000.0)</f>
        <v>1000</v>
      </c>
      <c r="R520" s="96" t="str">
        <f>IFERROR(__xludf.DUMMYFUNCTION("""COMPUTED_VALUE"""),"General Expenses")</f>
        <v>General Expenses</v>
      </c>
      <c r="S520" s="99">
        <f>IFERROR(__xludf.DUMMYFUNCTION("""COMPUTED_VALUE"""),0.0)</f>
        <v>0</v>
      </c>
      <c r="T520" s="99">
        <f>IFERROR(__xludf.DUMMYFUNCTION("""COMPUTED_VALUE"""),1000.0)</f>
        <v>1000</v>
      </c>
      <c r="U520" s="99">
        <f>IFERROR(__xludf.DUMMYFUNCTION("""COMPUTED_VALUE"""),0.0)</f>
        <v>0</v>
      </c>
      <c r="V520" s="99">
        <f>IFERROR(__xludf.DUMMYFUNCTION("""COMPUTED_VALUE"""),0.0)</f>
        <v>0</v>
      </c>
      <c r="W520" s="99">
        <f>IFERROR(__xludf.DUMMYFUNCTION("""COMPUTED_VALUE"""),0.0)</f>
        <v>0</v>
      </c>
    </row>
    <row r="521">
      <c r="N521" s="98">
        <f>IFERROR(__xludf.DUMMYFUNCTION("""COMPUTED_VALUE"""),44075.0)</f>
        <v>44075</v>
      </c>
      <c r="O521" s="96" t="str">
        <f>IFERROR(__xludf.DUMMYFUNCTION("""COMPUTED_VALUE"""),"DORATHY")</f>
        <v>DORATHY</v>
      </c>
      <c r="P521" s="96" t="str">
        <f>IFERROR(__xludf.DUMMYFUNCTION("""COMPUTED_VALUE"""),"TRANSPORT")</f>
        <v>TRANSPORT</v>
      </c>
      <c r="Q521" s="99">
        <f>IFERROR(__xludf.DUMMYFUNCTION("""COMPUTED_VALUE"""),100.0)</f>
        <v>100</v>
      </c>
      <c r="R521" s="96" t="str">
        <f>IFERROR(__xludf.DUMMYFUNCTION("""COMPUTED_VALUE"""),"General Expenses")</f>
        <v>General Expenses</v>
      </c>
      <c r="S521" s="99">
        <f>IFERROR(__xludf.DUMMYFUNCTION("""COMPUTED_VALUE"""),0.0)</f>
        <v>0</v>
      </c>
      <c r="T521" s="99">
        <f>IFERROR(__xludf.DUMMYFUNCTION("""COMPUTED_VALUE"""),100.0)</f>
        <v>100</v>
      </c>
      <c r="U521" s="99">
        <f>IFERROR(__xludf.DUMMYFUNCTION("""COMPUTED_VALUE"""),0.0)</f>
        <v>0</v>
      </c>
      <c r="V521" s="99">
        <f>IFERROR(__xludf.DUMMYFUNCTION("""COMPUTED_VALUE"""),0.0)</f>
        <v>0</v>
      </c>
      <c r="W521" s="99">
        <f>IFERROR(__xludf.DUMMYFUNCTION("""COMPUTED_VALUE"""),0.0)</f>
        <v>0</v>
      </c>
    </row>
    <row r="522">
      <c r="N522" s="98">
        <f>IFERROR(__xludf.DUMMYFUNCTION("""COMPUTED_VALUE"""),44075.0)</f>
        <v>44075</v>
      </c>
      <c r="O522" s="96" t="str">
        <f>IFERROR(__xludf.DUMMYFUNCTION("""COMPUTED_VALUE"""),"OBI-DRIVER")</f>
        <v>OBI-DRIVER</v>
      </c>
      <c r="P522" s="96" t="str">
        <f>IFERROR(__xludf.DUMMYFUNCTION("""COMPUTED_VALUE"""),"MOTOR REPAIRS/ FUEL")</f>
        <v>MOTOR REPAIRS/ FUEL</v>
      </c>
      <c r="Q522" s="99">
        <f>IFERROR(__xludf.DUMMYFUNCTION("""COMPUTED_VALUE"""),11500.0)</f>
        <v>11500</v>
      </c>
      <c r="R522" s="96" t="str">
        <f>IFERROR(__xludf.DUMMYFUNCTION("""COMPUTED_VALUE"""),"General Expenses")</f>
        <v>General Expenses</v>
      </c>
      <c r="S522" s="99">
        <f>IFERROR(__xludf.DUMMYFUNCTION("""COMPUTED_VALUE"""),0.0)</f>
        <v>0</v>
      </c>
      <c r="T522" s="99">
        <f>IFERROR(__xludf.DUMMYFUNCTION("""COMPUTED_VALUE"""),11500.0)</f>
        <v>11500</v>
      </c>
      <c r="U522" s="99">
        <f>IFERROR(__xludf.DUMMYFUNCTION("""COMPUTED_VALUE"""),0.0)</f>
        <v>0</v>
      </c>
      <c r="V522" s="99">
        <f>IFERROR(__xludf.DUMMYFUNCTION("""COMPUTED_VALUE"""),0.0)</f>
        <v>0</v>
      </c>
      <c r="W522" s="99">
        <f>IFERROR(__xludf.DUMMYFUNCTION("""COMPUTED_VALUE"""),0.0)</f>
        <v>0</v>
      </c>
    </row>
    <row r="523">
      <c r="N523" s="98">
        <f>IFERROR(__xludf.DUMMYFUNCTION("""COMPUTED_VALUE"""),44075.0)</f>
        <v>44075</v>
      </c>
      <c r="O523" s="96" t="str">
        <f>IFERROR(__xludf.DUMMYFUNCTION("""COMPUTED_VALUE"""),"ZULU LABOUR BOY")</f>
        <v>ZULU LABOUR BOY</v>
      </c>
      <c r="P523" s="96" t="str">
        <f>IFERROR(__xludf.DUMMYFUNCTION("""COMPUTED_VALUE"""),"WAGES ADVANCE")</f>
        <v>WAGES ADVANCE</v>
      </c>
      <c r="Q523" s="99">
        <f>IFERROR(__xludf.DUMMYFUNCTION("""COMPUTED_VALUE"""),20000.0)</f>
        <v>20000</v>
      </c>
      <c r="R523" s="96" t="str">
        <f>IFERROR(__xludf.DUMMYFUNCTION("""COMPUTED_VALUE"""),"General Expenses")</f>
        <v>General Expenses</v>
      </c>
      <c r="S523" s="99">
        <f>IFERROR(__xludf.DUMMYFUNCTION("""COMPUTED_VALUE"""),0.0)</f>
        <v>0</v>
      </c>
      <c r="T523" s="99">
        <f>IFERROR(__xludf.DUMMYFUNCTION("""COMPUTED_VALUE"""),20000.0)</f>
        <v>20000</v>
      </c>
      <c r="U523" s="99">
        <f>IFERROR(__xludf.DUMMYFUNCTION("""COMPUTED_VALUE"""),0.0)</f>
        <v>0</v>
      </c>
      <c r="V523" s="99">
        <f>IFERROR(__xludf.DUMMYFUNCTION("""COMPUTED_VALUE"""),0.0)</f>
        <v>0</v>
      </c>
      <c r="W523" s="99">
        <f>IFERROR(__xludf.DUMMYFUNCTION("""COMPUTED_VALUE"""),0.0)</f>
        <v>0</v>
      </c>
    </row>
    <row r="524">
      <c r="N524" s="98">
        <f>IFERROR(__xludf.DUMMYFUNCTION("""COMPUTED_VALUE"""),44075.0)</f>
        <v>44075</v>
      </c>
      <c r="O524" s="96" t="str">
        <f>IFERROR(__xludf.DUMMYFUNCTION("""COMPUTED_VALUE"""),"BLESSING CHAPMAN")</f>
        <v>BLESSING CHAPMAN</v>
      </c>
      <c r="P524" s="96" t="str">
        <f>IFERROR(__xludf.DUMMYFUNCTION("""COMPUTED_VALUE"""),"CASH COLLECTED")</f>
        <v>CASH COLLECTED</v>
      </c>
      <c r="Q524" s="99">
        <f>IFERROR(__xludf.DUMMYFUNCTION("""COMPUTED_VALUE"""),941900.0)</f>
        <v>941900</v>
      </c>
      <c r="R524" s="96" t="str">
        <f>IFERROR(__xludf.DUMMYFUNCTION("""COMPUTED_VALUE"""),"Petty Cash")</f>
        <v>Petty Cash</v>
      </c>
      <c r="S524" s="99">
        <f>IFERROR(__xludf.DUMMYFUNCTION("""COMPUTED_VALUE"""),0.0)</f>
        <v>0</v>
      </c>
      <c r="T524" s="99">
        <f>IFERROR(__xludf.DUMMYFUNCTION("""COMPUTED_VALUE"""),0.0)</f>
        <v>0</v>
      </c>
      <c r="U524" s="99">
        <f>IFERROR(__xludf.DUMMYFUNCTION("""COMPUTED_VALUE"""),0.0)</f>
        <v>0</v>
      </c>
      <c r="V524" s="99">
        <f>IFERROR(__xludf.DUMMYFUNCTION("""COMPUTED_VALUE"""),941900.0)</f>
        <v>941900</v>
      </c>
      <c r="W524" s="99">
        <f>IFERROR(__xludf.DUMMYFUNCTION("""COMPUTED_VALUE"""),0.0)</f>
        <v>0</v>
      </c>
    </row>
    <row r="525">
      <c r="N525" s="98">
        <f>IFERROR(__xludf.DUMMYFUNCTION("""COMPUTED_VALUE"""),44075.0)</f>
        <v>44075</v>
      </c>
      <c r="O525" s="96" t="str">
        <f>IFERROR(__xludf.DUMMYFUNCTION("""COMPUTED_VALUE"""),"MANAGER")</f>
        <v>MANAGER</v>
      </c>
      <c r="P525" s="96" t="str">
        <f>IFERROR(__xludf.DUMMYFUNCTION("""COMPUTED_VALUE"""),"CASH-IN")</f>
        <v>CASH-IN</v>
      </c>
      <c r="Q525" s="99">
        <f>IFERROR(__xludf.DUMMYFUNCTION("""COMPUTED_VALUE"""),3000000.0)</f>
        <v>3000000</v>
      </c>
      <c r="R525" s="96" t="str">
        <f>IFERROR(__xludf.DUMMYFUNCTION("""COMPUTED_VALUE"""),"From Bank")</f>
        <v>From Bank</v>
      </c>
      <c r="S525" s="99">
        <f>IFERROR(__xludf.DUMMYFUNCTION("""COMPUTED_VALUE"""),0.0)</f>
        <v>0</v>
      </c>
      <c r="T525" s="99">
        <f>IFERROR(__xludf.DUMMYFUNCTION("""COMPUTED_VALUE"""),0.0)</f>
        <v>0</v>
      </c>
      <c r="U525" s="99">
        <f>IFERROR(__xludf.DUMMYFUNCTION("""COMPUTED_VALUE"""),3000000.0)</f>
        <v>3000000</v>
      </c>
      <c r="V525" s="99">
        <f>IFERROR(__xludf.DUMMYFUNCTION("""COMPUTED_VALUE"""),0.0)</f>
        <v>0</v>
      </c>
      <c r="W525" s="99">
        <f>IFERROR(__xludf.DUMMYFUNCTION("""COMPUTED_VALUE"""),0.0)</f>
        <v>0</v>
      </c>
    </row>
    <row r="526">
      <c r="N526" s="98">
        <f>IFERROR(__xludf.DUMMYFUNCTION("""COMPUTED_VALUE"""),44077.0)</f>
        <v>44077</v>
      </c>
      <c r="O526" s="96" t="str">
        <f>IFERROR(__xludf.DUMMYFUNCTION("""COMPUTED_VALUE"""),"BOSURU  BOSURU")</f>
        <v>BOSURU  BOSURU</v>
      </c>
      <c r="P526" s="96" t="str">
        <f>IFERROR(__xludf.DUMMYFUNCTION("""COMPUTED_VALUE"""),"ADVANCE")</f>
        <v>ADVANCE</v>
      </c>
      <c r="Q526" s="99">
        <f>IFERROR(__xludf.DUMMYFUNCTION("""COMPUTED_VALUE"""),500000.0)</f>
        <v>500000</v>
      </c>
      <c r="R526" s="96" t="str">
        <f>IFERROR(__xludf.DUMMYFUNCTION("""COMPUTED_VALUE"""),"Prefinance")</f>
        <v>Prefinance</v>
      </c>
      <c r="S526" s="99">
        <f>IFERROR(__xludf.DUMMYFUNCTION("""COMPUTED_VALUE"""),0.0)</f>
        <v>0</v>
      </c>
      <c r="T526" s="99">
        <f>IFERROR(__xludf.DUMMYFUNCTION("""COMPUTED_VALUE"""),0.0)</f>
        <v>0</v>
      </c>
      <c r="U526" s="99">
        <f>IFERROR(__xludf.DUMMYFUNCTION("""COMPUTED_VALUE"""),0.0)</f>
        <v>0</v>
      </c>
      <c r="V526" s="99">
        <f>IFERROR(__xludf.DUMMYFUNCTION("""COMPUTED_VALUE"""),0.0)</f>
        <v>0</v>
      </c>
      <c r="W526" s="99">
        <f>IFERROR(__xludf.DUMMYFUNCTION("""COMPUTED_VALUE"""),0.0)</f>
        <v>0</v>
      </c>
    </row>
    <row r="527">
      <c r="N527" s="98">
        <f>IFERROR(__xludf.DUMMYFUNCTION("""COMPUTED_VALUE"""),44077.0)</f>
        <v>44077</v>
      </c>
      <c r="O527" s="96" t="str">
        <f>IFERROR(__xludf.DUMMYFUNCTION("""COMPUTED_VALUE"""),"SECURITY")</f>
        <v>SECURITY</v>
      </c>
      <c r="P527" s="96" t="str">
        <f>IFERROR(__xludf.DUMMYFUNCTION("""COMPUTED_VALUE"""),"SALARY ADVANCE")</f>
        <v>SALARY ADVANCE</v>
      </c>
      <c r="Q527" s="99">
        <f>IFERROR(__xludf.DUMMYFUNCTION("""COMPUTED_VALUE"""),5000.0)</f>
        <v>5000</v>
      </c>
      <c r="R527" s="96" t="str">
        <f>IFERROR(__xludf.DUMMYFUNCTION("""COMPUTED_VALUE"""),"General Expenses")</f>
        <v>General Expenses</v>
      </c>
      <c r="S527" s="99">
        <f>IFERROR(__xludf.DUMMYFUNCTION("""COMPUTED_VALUE"""),0.0)</f>
        <v>0</v>
      </c>
      <c r="T527" s="99">
        <f>IFERROR(__xludf.DUMMYFUNCTION("""COMPUTED_VALUE"""),5000.0)</f>
        <v>5000</v>
      </c>
      <c r="U527" s="99">
        <f>IFERROR(__xludf.DUMMYFUNCTION("""COMPUTED_VALUE"""),0.0)</f>
        <v>0</v>
      </c>
      <c r="V527" s="99">
        <f>IFERROR(__xludf.DUMMYFUNCTION("""COMPUTED_VALUE"""),0.0)</f>
        <v>0</v>
      </c>
      <c r="W527" s="99">
        <f>IFERROR(__xludf.DUMMYFUNCTION("""COMPUTED_VALUE"""),0.0)</f>
        <v>0</v>
      </c>
    </row>
    <row r="528">
      <c r="N528" s="98">
        <f>IFERROR(__xludf.DUMMYFUNCTION("""COMPUTED_VALUE"""),44077.0)</f>
        <v>44077</v>
      </c>
      <c r="O528" s="96" t="str">
        <f>IFERROR(__xludf.DUMMYFUNCTION("""COMPUTED_VALUE"""),"DIRECTOR")</f>
        <v>DIRECTOR</v>
      </c>
      <c r="P528" s="96" t="str">
        <f>IFERROR(__xludf.DUMMYFUNCTION("""COMPUTED_VALUE"""),"GARRI")</f>
        <v>GARRI</v>
      </c>
      <c r="Q528" s="99">
        <f>IFERROR(__xludf.DUMMYFUNCTION("""COMPUTED_VALUE"""),8500.0)</f>
        <v>8500</v>
      </c>
      <c r="R528" s="96" t="str">
        <f>IFERROR(__xludf.DUMMYFUNCTION("""COMPUTED_VALUE"""),"General Expenses")</f>
        <v>General Expenses</v>
      </c>
      <c r="S528" s="99">
        <f>IFERROR(__xludf.DUMMYFUNCTION("""COMPUTED_VALUE"""),0.0)</f>
        <v>0</v>
      </c>
      <c r="T528" s="99">
        <f>IFERROR(__xludf.DUMMYFUNCTION("""COMPUTED_VALUE"""),8500.0)</f>
        <v>8500</v>
      </c>
      <c r="U528" s="99">
        <f>IFERROR(__xludf.DUMMYFUNCTION("""COMPUTED_VALUE"""),0.0)</f>
        <v>0</v>
      </c>
      <c r="V528" s="99">
        <f>IFERROR(__xludf.DUMMYFUNCTION("""COMPUTED_VALUE"""),0.0)</f>
        <v>0</v>
      </c>
      <c r="W528" s="99">
        <f>IFERROR(__xludf.DUMMYFUNCTION("""COMPUTED_VALUE"""),0.0)</f>
        <v>0</v>
      </c>
    </row>
    <row r="529">
      <c r="N529" s="98">
        <f>IFERROR(__xludf.DUMMYFUNCTION("""COMPUTED_VALUE"""),44077.0)</f>
        <v>44077</v>
      </c>
      <c r="O529" s="96" t="str">
        <f>IFERROR(__xludf.DUMMYFUNCTION("""COMPUTED_VALUE"""),"LABOUR  BOY")</f>
        <v>LABOUR  BOY</v>
      </c>
      <c r="P529" s="96" t="str">
        <f>IFERROR(__xludf.DUMMYFUNCTION("""COMPUTED_VALUE"""),"WAGES ADVANCE")</f>
        <v>WAGES ADVANCE</v>
      </c>
      <c r="Q529" s="99">
        <f>IFERROR(__xludf.DUMMYFUNCTION("""COMPUTED_VALUE"""),2500.0)</f>
        <v>2500</v>
      </c>
      <c r="R529" s="96" t="str">
        <f>IFERROR(__xludf.DUMMYFUNCTION("""COMPUTED_VALUE"""),"General Expenses")</f>
        <v>General Expenses</v>
      </c>
      <c r="S529" s="99">
        <f>IFERROR(__xludf.DUMMYFUNCTION("""COMPUTED_VALUE"""),0.0)</f>
        <v>0</v>
      </c>
      <c r="T529" s="99">
        <f>IFERROR(__xludf.DUMMYFUNCTION("""COMPUTED_VALUE"""),2500.0)</f>
        <v>2500</v>
      </c>
      <c r="U529" s="99">
        <f>IFERROR(__xludf.DUMMYFUNCTION("""COMPUTED_VALUE"""),0.0)</f>
        <v>0</v>
      </c>
      <c r="V529" s="99">
        <f>IFERROR(__xludf.DUMMYFUNCTION("""COMPUTED_VALUE"""),0.0)</f>
        <v>0</v>
      </c>
      <c r="W529" s="99">
        <f>IFERROR(__xludf.DUMMYFUNCTION("""COMPUTED_VALUE"""),0.0)</f>
        <v>0</v>
      </c>
    </row>
    <row r="530">
      <c r="N530" s="98">
        <f>IFERROR(__xludf.DUMMYFUNCTION("""COMPUTED_VALUE"""),44077.0)</f>
        <v>44077</v>
      </c>
      <c r="O530" s="96" t="str">
        <f>IFERROR(__xludf.DUMMYFUNCTION("""COMPUTED_VALUE"""),"OBI-DRIVER")</f>
        <v>OBI-DRIVER</v>
      </c>
      <c r="P530" s="96" t="str">
        <f>IFERROR(__xludf.DUMMYFUNCTION("""COMPUTED_VALUE"""),"MOTOR REPAIRS")</f>
        <v>MOTOR REPAIRS</v>
      </c>
      <c r="Q530" s="99">
        <f>IFERROR(__xludf.DUMMYFUNCTION("""COMPUTED_VALUE"""),1000.0)</f>
        <v>1000</v>
      </c>
      <c r="R530" s="96" t="str">
        <f>IFERROR(__xludf.DUMMYFUNCTION("""COMPUTED_VALUE"""),"General Expenses")</f>
        <v>General Expenses</v>
      </c>
      <c r="S530" s="99">
        <f>IFERROR(__xludf.DUMMYFUNCTION("""COMPUTED_VALUE"""),0.0)</f>
        <v>0</v>
      </c>
      <c r="T530" s="99">
        <f>IFERROR(__xludf.DUMMYFUNCTION("""COMPUTED_VALUE"""),1000.0)</f>
        <v>1000</v>
      </c>
      <c r="U530" s="99">
        <f>IFERROR(__xludf.DUMMYFUNCTION("""COMPUTED_VALUE"""),0.0)</f>
        <v>0</v>
      </c>
      <c r="V530" s="99">
        <f>IFERROR(__xludf.DUMMYFUNCTION("""COMPUTED_VALUE"""),0.0)</f>
        <v>0</v>
      </c>
      <c r="W530" s="99">
        <f>IFERROR(__xludf.DUMMYFUNCTION("""COMPUTED_VALUE"""),0.0)</f>
        <v>0</v>
      </c>
    </row>
    <row r="531">
      <c r="N531" s="98">
        <f>IFERROR(__xludf.DUMMYFUNCTION("""COMPUTED_VALUE"""),44077.0)</f>
        <v>44077</v>
      </c>
      <c r="O531" s="96" t="str">
        <f>IFERROR(__xludf.DUMMYFUNCTION("""COMPUTED_VALUE"""),"OBI-DRIVER")</f>
        <v>OBI-DRIVER</v>
      </c>
      <c r="P531" s="96" t="str">
        <f>IFERROR(__xludf.DUMMYFUNCTION("""COMPUTED_VALUE"""),"FUEL")</f>
        <v>FUEL</v>
      </c>
      <c r="Q531" s="99">
        <f>IFERROR(__xludf.DUMMYFUNCTION("""COMPUTED_VALUE"""),4000.0)</f>
        <v>4000</v>
      </c>
      <c r="R531" s="96" t="str">
        <f>IFERROR(__xludf.DUMMYFUNCTION("""COMPUTED_VALUE"""),"General Expenses")</f>
        <v>General Expenses</v>
      </c>
      <c r="S531" s="99">
        <f>IFERROR(__xludf.DUMMYFUNCTION("""COMPUTED_VALUE"""),0.0)</f>
        <v>0</v>
      </c>
      <c r="T531" s="99">
        <f>IFERROR(__xludf.DUMMYFUNCTION("""COMPUTED_VALUE"""),4000.0)</f>
        <v>4000</v>
      </c>
      <c r="U531" s="99">
        <f>IFERROR(__xludf.DUMMYFUNCTION("""COMPUTED_VALUE"""),0.0)</f>
        <v>0</v>
      </c>
      <c r="V531" s="99">
        <f>IFERROR(__xludf.DUMMYFUNCTION("""COMPUTED_VALUE"""),0.0)</f>
        <v>0</v>
      </c>
      <c r="W531" s="99">
        <f>IFERROR(__xludf.DUMMYFUNCTION("""COMPUTED_VALUE"""),0.0)</f>
        <v>0</v>
      </c>
    </row>
    <row r="532">
      <c r="N532" s="98">
        <f>IFERROR(__xludf.DUMMYFUNCTION("""COMPUTED_VALUE"""),44077.0)</f>
        <v>44077</v>
      </c>
      <c r="O532" s="96" t="str">
        <f>IFERROR(__xludf.DUMMYFUNCTION("""COMPUTED_VALUE"""),"EGBA")</f>
        <v>EGBA</v>
      </c>
      <c r="P532" s="96" t="str">
        <f>IFERROR(__xludf.DUMMYFUNCTION("""COMPUTED_VALUE"""),"TRANSPORT")</f>
        <v>TRANSPORT</v>
      </c>
      <c r="Q532" s="99">
        <f>IFERROR(__xludf.DUMMYFUNCTION("""COMPUTED_VALUE"""),1000.0)</f>
        <v>1000</v>
      </c>
      <c r="R532" s="96" t="str">
        <f>IFERROR(__xludf.DUMMYFUNCTION("""COMPUTED_VALUE"""),"General Expenses")</f>
        <v>General Expenses</v>
      </c>
      <c r="S532" s="99">
        <f>IFERROR(__xludf.DUMMYFUNCTION("""COMPUTED_VALUE"""),0.0)</f>
        <v>0</v>
      </c>
      <c r="T532" s="99">
        <f>IFERROR(__xludf.DUMMYFUNCTION("""COMPUTED_VALUE"""),1000.0)</f>
        <v>1000</v>
      </c>
      <c r="U532" s="99">
        <f>IFERROR(__xludf.DUMMYFUNCTION("""COMPUTED_VALUE"""),0.0)</f>
        <v>0</v>
      </c>
      <c r="V532" s="99">
        <f>IFERROR(__xludf.DUMMYFUNCTION("""COMPUTED_VALUE"""),0.0)</f>
        <v>0</v>
      </c>
      <c r="W532" s="99">
        <f>IFERROR(__xludf.DUMMYFUNCTION("""COMPUTED_VALUE"""),0.0)</f>
        <v>0</v>
      </c>
    </row>
    <row r="533">
      <c r="N533" s="98">
        <f>IFERROR(__xludf.DUMMYFUNCTION("""COMPUTED_VALUE"""),44077.0)</f>
        <v>44077</v>
      </c>
      <c r="O533" s="96" t="str">
        <f>IFERROR(__xludf.DUMMYFUNCTION("""COMPUTED_VALUE"""),"BLESSING CHAPMAN")</f>
        <v>BLESSING CHAPMAN</v>
      </c>
      <c r="P533" s="96" t="str">
        <f>IFERROR(__xludf.DUMMYFUNCTION("""COMPUTED_VALUE"""),"CASH COLLECTED")</f>
        <v>CASH COLLECTED</v>
      </c>
      <c r="Q533" s="99">
        <f>IFERROR(__xludf.DUMMYFUNCTION("""COMPUTED_VALUE"""),53000.0)</f>
        <v>53000</v>
      </c>
      <c r="R533" s="96" t="str">
        <f>IFERROR(__xludf.DUMMYFUNCTION("""COMPUTED_VALUE"""),"Petty Cash")</f>
        <v>Petty Cash</v>
      </c>
      <c r="S533" s="99">
        <f>IFERROR(__xludf.DUMMYFUNCTION("""COMPUTED_VALUE"""),0.0)</f>
        <v>0</v>
      </c>
      <c r="T533" s="99">
        <f>IFERROR(__xludf.DUMMYFUNCTION("""COMPUTED_VALUE"""),0.0)</f>
        <v>0</v>
      </c>
      <c r="U533" s="99">
        <f>IFERROR(__xludf.DUMMYFUNCTION("""COMPUTED_VALUE"""),0.0)</f>
        <v>0</v>
      </c>
      <c r="V533" s="99">
        <f>IFERROR(__xludf.DUMMYFUNCTION("""COMPUTED_VALUE"""),53000.0)</f>
        <v>53000</v>
      </c>
      <c r="W533" s="99">
        <f>IFERROR(__xludf.DUMMYFUNCTION("""COMPUTED_VALUE"""),0.0)</f>
        <v>0</v>
      </c>
    </row>
    <row r="534">
      <c r="N534" s="98">
        <f>IFERROR(__xludf.DUMMYFUNCTION("""COMPUTED_VALUE"""),44077.0)</f>
        <v>44077</v>
      </c>
      <c r="O534" s="96" t="str">
        <f>IFERROR(__xludf.DUMMYFUNCTION("""COMPUTED_VALUE"""),"MANAGER")</f>
        <v>MANAGER</v>
      </c>
      <c r="P534" s="96" t="str">
        <f>IFERROR(__xludf.DUMMYFUNCTION("""COMPUTED_VALUE"""),"CASH-IN")</f>
        <v>CASH-IN</v>
      </c>
      <c r="Q534" s="99">
        <f>IFERROR(__xludf.DUMMYFUNCTION("""COMPUTED_VALUE"""),2300000.0)</f>
        <v>2300000</v>
      </c>
      <c r="R534" s="96" t="str">
        <f>IFERROR(__xludf.DUMMYFUNCTION("""COMPUTED_VALUE"""),"From Bank")</f>
        <v>From Bank</v>
      </c>
      <c r="S534" s="99">
        <f>IFERROR(__xludf.DUMMYFUNCTION("""COMPUTED_VALUE"""),0.0)</f>
        <v>0</v>
      </c>
      <c r="T534" s="99">
        <f>IFERROR(__xludf.DUMMYFUNCTION("""COMPUTED_VALUE"""),0.0)</f>
        <v>0</v>
      </c>
      <c r="U534" s="99">
        <f>IFERROR(__xludf.DUMMYFUNCTION("""COMPUTED_VALUE"""),2300000.0)</f>
        <v>2300000</v>
      </c>
      <c r="V534" s="99">
        <f>IFERROR(__xludf.DUMMYFUNCTION("""COMPUTED_VALUE"""),0.0)</f>
        <v>0</v>
      </c>
      <c r="W534" s="99">
        <f>IFERROR(__xludf.DUMMYFUNCTION("""COMPUTED_VALUE"""),0.0)</f>
        <v>0</v>
      </c>
    </row>
    <row r="535">
      <c r="N535" s="98">
        <f>IFERROR(__xludf.DUMMYFUNCTION("""COMPUTED_VALUE"""),44077.0)</f>
        <v>44077</v>
      </c>
      <c r="O535" s="96" t="str">
        <f>IFERROR(__xludf.DUMMYFUNCTION("""COMPUTED_VALUE"""),"NDOMA PETER")</f>
        <v>NDOMA PETER</v>
      </c>
      <c r="P535" s="96" t="str">
        <f>IFERROR(__xludf.DUMMYFUNCTION("""COMPUTED_VALUE"""),"ADVANCE")</f>
        <v>ADVANCE</v>
      </c>
      <c r="Q535" s="99">
        <f>IFERROR(__xludf.DUMMYFUNCTION("""COMPUTED_VALUE"""),635000.0)</f>
        <v>635000</v>
      </c>
      <c r="R535" s="96"/>
      <c r="S535" s="99">
        <f>IFERROR(__xludf.DUMMYFUNCTION("""COMPUTED_VALUE"""),0.0)</f>
        <v>0</v>
      </c>
      <c r="T535" s="99">
        <f>IFERROR(__xludf.DUMMYFUNCTION("""COMPUTED_VALUE"""),0.0)</f>
        <v>0</v>
      </c>
      <c r="U535" s="99">
        <f>IFERROR(__xludf.DUMMYFUNCTION("""COMPUTED_VALUE"""),0.0)</f>
        <v>0</v>
      </c>
      <c r="V535" s="99">
        <f>IFERROR(__xludf.DUMMYFUNCTION("""COMPUTED_VALUE"""),0.0)</f>
        <v>0</v>
      </c>
      <c r="W535" s="99">
        <f>IFERROR(__xludf.DUMMYFUNCTION("""COMPUTED_VALUE"""),0.0)</f>
        <v>0</v>
      </c>
    </row>
    <row r="536">
      <c r="N536" s="98">
        <f>IFERROR(__xludf.DUMMYFUNCTION("""COMPUTED_VALUE"""),44077.0)</f>
        <v>44077</v>
      </c>
      <c r="O536" s="96" t="str">
        <f>IFERROR(__xludf.DUMMYFUNCTION("""COMPUTED_VALUE"""),"NDOMA PETER")</f>
        <v>NDOMA PETER</v>
      </c>
      <c r="P536" s="96" t="str">
        <f>IFERROR(__xludf.DUMMYFUNCTION("""COMPUTED_VALUE"""),"ADVANCE")</f>
        <v>ADVANCE</v>
      </c>
      <c r="Q536" s="99">
        <f>IFERROR(__xludf.DUMMYFUNCTION("""COMPUTED_VALUE"""),635000.0)</f>
        <v>635000</v>
      </c>
      <c r="R536" s="96" t="str">
        <f>IFERROR(__xludf.DUMMYFUNCTION("""COMPUTED_VALUE"""),"Prefinance")</f>
        <v>Prefinance</v>
      </c>
      <c r="S536" s="99">
        <f>IFERROR(__xludf.DUMMYFUNCTION("""COMPUTED_VALUE"""),0.0)</f>
        <v>0</v>
      </c>
      <c r="T536" s="99">
        <f>IFERROR(__xludf.DUMMYFUNCTION("""COMPUTED_VALUE"""),0.0)</f>
        <v>0</v>
      </c>
      <c r="U536" s="99">
        <f>IFERROR(__xludf.DUMMYFUNCTION("""COMPUTED_VALUE"""),0.0)</f>
        <v>0</v>
      </c>
      <c r="V536" s="99">
        <f>IFERROR(__xludf.DUMMYFUNCTION("""COMPUTED_VALUE"""),0.0)</f>
        <v>0</v>
      </c>
      <c r="W536" s="99">
        <f>IFERROR(__xludf.DUMMYFUNCTION("""COMPUTED_VALUE"""),0.0)</f>
        <v>0</v>
      </c>
    </row>
    <row r="537">
      <c r="N537" s="98">
        <f>IFERROR(__xludf.DUMMYFUNCTION("""COMPUTED_VALUE"""),44078.0)</f>
        <v>44078</v>
      </c>
      <c r="O537" s="96" t="str">
        <f>IFERROR(__xludf.DUMMYFUNCTION("""COMPUTED_VALUE"""),"LIVINUS")</f>
        <v>LIVINUS</v>
      </c>
      <c r="P537" s="96" t="str">
        <f>IFERROR(__xludf.DUMMYFUNCTION("""COMPUTED_VALUE"""),"ADVANCE")</f>
        <v>ADVANCE</v>
      </c>
      <c r="Q537" s="99">
        <f>IFERROR(__xludf.DUMMYFUNCTION("""COMPUTED_VALUE"""),1000000.0)</f>
        <v>1000000</v>
      </c>
      <c r="R537" s="96" t="str">
        <f>IFERROR(__xludf.DUMMYFUNCTION("""COMPUTED_VALUE"""),"Prefinance")</f>
        <v>Prefinance</v>
      </c>
      <c r="S537" s="99">
        <f>IFERROR(__xludf.DUMMYFUNCTION("""COMPUTED_VALUE"""),0.0)</f>
        <v>0</v>
      </c>
      <c r="T537" s="99">
        <f>IFERROR(__xludf.DUMMYFUNCTION("""COMPUTED_VALUE"""),0.0)</f>
        <v>0</v>
      </c>
      <c r="U537" s="99">
        <f>IFERROR(__xludf.DUMMYFUNCTION("""COMPUTED_VALUE"""),0.0)</f>
        <v>0</v>
      </c>
      <c r="V537" s="99">
        <f>IFERROR(__xludf.DUMMYFUNCTION("""COMPUTED_VALUE"""),0.0)</f>
        <v>0</v>
      </c>
      <c r="W537" s="99">
        <f>IFERROR(__xludf.DUMMYFUNCTION("""COMPUTED_VALUE"""),0.0)</f>
        <v>0</v>
      </c>
    </row>
    <row r="538">
      <c r="N538" s="98">
        <f>IFERROR(__xludf.DUMMYFUNCTION("""COMPUTED_VALUE"""),44078.0)</f>
        <v>44078</v>
      </c>
      <c r="O538" s="96" t="str">
        <f>IFERROR(__xludf.DUMMYFUNCTION("""COMPUTED_VALUE"""),"EKOTEX")</f>
        <v>EKOTEX</v>
      </c>
      <c r="P538" s="96" t="str">
        <f>IFERROR(__xludf.DUMMYFUNCTION("""COMPUTED_VALUE"""),"HAULAGE")</f>
        <v>HAULAGE</v>
      </c>
      <c r="Q538" s="99">
        <f>IFERROR(__xludf.DUMMYFUNCTION("""COMPUTED_VALUE"""),11500.0)</f>
        <v>11500</v>
      </c>
      <c r="R538" s="96" t="str">
        <f>IFERROR(__xludf.DUMMYFUNCTION("""COMPUTED_VALUE"""),"General Expenses")</f>
        <v>General Expenses</v>
      </c>
      <c r="S538" s="99">
        <f>IFERROR(__xludf.DUMMYFUNCTION("""COMPUTED_VALUE"""),0.0)</f>
        <v>0</v>
      </c>
      <c r="T538" s="99">
        <f>IFERROR(__xludf.DUMMYFUNCTION("""COMPUTED_VALUE"""),11500.0)</f>
        <v>11500</v>
      </c>
      <c r="U538" s="99">
        <f>IFERROR(__xludf.DUMMYFUNCTION("""COMPUTED_VALUE"""),0.0)</f>
        <v>0</v>
      </c>
      <c r="V538" s="99">
        <f>IFERROR(__xludf.DUMMYFUNCTION("""COMPUTED_VALUE"""),0.0)</f>
        <v>0</v>
      </c>
      <c r="W538" s="99">
        <f>IFERROR(__xludf.DUMMYFUNCTION("""COMPUTED_VALUE"""),0.0)</f>
        <v>0</v>
      </c>
    </row>
    <row r="539">
      <c r="N539" s="98">
        <f>IFERROR(__xludf.DUMMYFUNCTION("""COMPUTED_VALUE"""),44078.0)</f>
        <v>44078</v>
      </c>
      <c r="O539" s="96" t="str">
        <f>IFERROR(__xludf.DUMMYFUNCTION("""COMPUTED_VALUE"""),"LABOUR  BOY")</f>
        <v>LABOUR  BOY</v>
      </c>
      <c r="P539" s="96" t="str">
        <f>IFERROR(__xludf.DUMMYFUNCTION("""COMPUTED_VALUE"""),"WAGES ADVANCE")</f>
        <v>WAGES ADVANCE</v>
      </c>
      <c r="Q539" s="99">
        <f>IFERROR(__xludf.DUMMYFUNCTION("""COMPUTED_VALUE"""),1500.0)</f>
        <v>1500</v>
      </c>
      <c r="R539" s="96" t="str">
        <f>IFERROR(__xludf.DUMMYFUNCTION("""COMPUTED_VALUE"""),"General Expenses")</f>
        <v>General Expenses</v>
      </c>
      <c r="S539" s="99">
        <f>IFERROR(__xludf.DUMMYFUNCTION("""COMPUTED_VALUE"""),0.0)</f>
        <v>0</v>
      </c>
      <c r="T539" s="99">
        <f>IFERROR(__xludf.DUMMYFUNCTION("""COMPUTED_VALUE"""),1500.0)</f>
        <v>1500</v>
      </c>
      <c r="U539" s="99">
        <f>IFERROR(__xludf.DUMMYFUNCTION("""COMPUTED_VALUE"""),0.0)</f>
        <v>0</v>
      </c>
      <c r="V539" s="99">
        <f>IFERROR(__xludf.DUMMYFUNCTION("""COMPUTED_VALUE"""),0.0)</f>
        <v>0</v>
      </c>
      <c r="W539" s="99">
        <f>IFERROR(__xludf.DUMMYFUNCTION("""COMPUTED_VALUE"""),0.0)</f>
        <v>0</v>
      </c>
    </row>
    <row r="540">
      <c r="N540" s="98">
        <f>IFERROR(__xludf.DUMMYFUNCTION("""COMPUTED_VALUE"""),44078.0)</f>
        <v>44078</v>
      </c>
      <c r="O540" s="96" t="str">
        <f>IFERROR(__xludf.DUMMYFUNCTION("""COMPUTED_VALUE"""),"BLESSING CHAPMAN")</f>
        <v>BLESSING CHAPMAN</v>
      </c>
      <c r="P540" s="96" t="str">
        <f>IFERROR(__xludf.DUMMYFUNCTION("""COMPUTED_VALUE"""),"CASH COLLECTED")</f>
        <v>CASH COLLECTED</v>
      </c>
      <c r="Q540" s="99">
        <f>IFERROR(__xludf.DUMMYFUNCTION("""COMPUTED_VALUE"""),13000.0)</f>
        <v>13000</v>
      </c>
      <c r="R540" s="96" t="str">
        <f>IFERROR(__xludf.DUMMYFUNCTION("""COMPUTED_VALUE"""),"Petty Cash")</f>
        <v>Petty Cash</v>
      </c>
      <c r="S540" s="99">
        <f>IFERROR(__xludf.DUMMYFUNCTION("""COMPUTED_VALUE"""),0.0)</f>
        <v>0</v>
      </c>
      <c r="T540" s="99">
        <f>IFERROR(__xludf.DUMMYFUNCTION("""COMPUTED_VALUE"""),0.0)</f>
        <v>0</v>
      </c>
      <c r="U540" s="99">
        <f>IFERROR(__xludf.DUMMYFUNCTION("""COMPUTED_VALUE"""),0.0)</f>
        <v>0</v>
      </c>
      <c r="V540" s="99">
        <f>IFERROR(__xludf.DUMMYFUNCTION("""COMPUTED_VALUE"""),13000.0)</f>
        <v>13000</v>
      </c>
      <c r="W540" s="99">
        <f>IFERROR(__xludf.DUMMYFUNCTION("""COMPUTED_VALUE"""),0.0)</f>
        <v>0</v>
      </c>
    </row>
    <row r="541">
      <c r="N541" s="98">
        <f>IFERROR(__xludf.DUMMYFUNCTION("""COMPUTED_VALUE"""),44078.0)</f>
        <v>44078</v>
      </c>
      <c r="O541" s="96" t="str">
        <f>IFERROR(__xludf.DUMMYFUNCTION("""COMPUTED_VALUE"""),"MANAGER")</f>
        <v>MANAGER</v>
      </c>
      <c r="P541" s="96" t="str">
        <f>IFERROR(__xludf.DUMMYFUNCTION("""COMPUTED_VALUE"""),"CASH-IN")</f>
        <v>CASH-IN</v>
      </c>
      <c r="Q541" s="99">
        <f>IFERROR(__xludf.DUMMYFUNCTION("""COMPUTED_VALUE"""),1000000.0)</f>
        <v>1000000</v>
      </c>
      <c r="R541" s="96" t="str">
        <f>IFERROR(__xludf.DUMMYFUNCTION("""COMPUTED_VALUE"""),"From Bank")</f>
        <v>From Bank</v>
      </c>
      <c r="S541" s="99">
        <f>IFERROR(__xludf.DUMMYFUNCTION("""COMPUTED_VALUE"""),0.0)</f>
        <v>0</v>
      </c>
      <c r="T541" s="99">
        <f>IFERROR(__xludf.DUMMYFUNCTION("""COMPUTED_VALUE"""),0.0)</f>
        <v>0</v>
      </c>
      <c r="U541" s="99">
        <f>IFERROR(__xludf.DUMMYFUNCTION("""COMPUTED_VALUE"""),1000000.0)</f>
        <v>1000000</v>
      </c>
      <c r="V541" s="99">
        <f>IFERROR(__xludf.DUMMYFUNCTION("""COMPUTED_VALUE"""),0.0)</f>
        <v>0</v>
      </c>
      <c r="W541" s="99">
        <f>IFERROR(__xludf.DUMMYFUNCTION("""COMPUTED_VALUE"""),0.0)</f>
        <v>0</v>
      </c>
    </row>
    <row r="542">
      <c r="N542" s="98">
        <f>IFERROR(__xludf.DUMMYFUNCTION("""COMPUTED_VALUE"""),44079.0)</f>
        <v>44079</v>
      </c>
      <c r="O542" s="96" t="str">
        <f>IFERROR(__xludf.DUMMYFUNCTION("""COMPUTED_VALUE"""),"LABOUR  BOY")</f>
        <v>LABOUR  BOY</v>
      </c>
      <c r="P542" s="96" t="str">
        <f>IFERROR(__xludf.DUMMYFUNCTION("""COMPUTED_VALUE"""),"WEEKLY WAGES")</f>
        <v>WEEKLY WAGES</v>
      </c>
      <c r="Q542" s="99">
        <f>IFERROR(__xludf.DUMMYFUNCTION("""COMPUTED_VALUE"""),21500.0)</f>
        <v>21500</v>
      </c>
      <c r="R542" s="96" t="str">
        <f>IFERROR(__xludf.DUMMYFUNCTION("""COMPUTED_VALUE"""),"General Expenses")</f>
        <v>General Expenses</v>
      </c>
      <c r="S542" s="99">
        <f>IFERROR(__xludf.DUMMYFUNCTION("""COMPUTED_VALUE"""),0.0)</f>
        <v>0</v>
      </c>
      <c r="T542" s="99">
        <f>IFERROR(__xludf.DUMMYFUNCTION("""COMPUTED_VALUE"""),21500.0)</f>
        <v>21500</v>
      </c>
      <c r="U542" s="99">
        <f>IFERROR(__xludf.DUMMYFUNCTION("""COMPUTED_VALUE"""),0.0)</f>
        <v>0</v>
      </c>
      <c r="V542" s="99">
        <f>IFERROR(__xludf.DUMMYFUNCTION("""COMPUTED_VALUE"""),0.0)</f>
        <v>0</v>
      </c>
      <c r="W542" s="99">
        <f>IFERROR(__xludf.DUMMYFUNCTION("""COMPUTED_VALUE"""),0.0)</f>
        <v>0</v>
      </c>
    </row>
    <row r="543">
      <c r="N543" s="98">
        <f>IFERROR(__xludf.DUMMYFUNCTION("""COMPUTED_VALUE"""),44079.0)</f>
        <v>44079</v>
      </c>
      <c r="O543" s="96" t="str">
        <f>IFERROR(__xludf.DUMMYFUNCTION("""COMPUTED_VALUE"""),"BLESSING CHAPMAN")</f>
        <v>BLESSING CHAPMAN</v>
      </c>
      <c r="P543" s="96" t="str">
        <f>IFERROR(__xludf.DUMMYFUNCTION("""COMPUTED_VALUE"""),"CASH COLLECTED")</f>
        <v>CASH COLLECTED</v>
      </c>
      <c r="Q543" s="99">
        <f>IFERROR(__xludf.DUMMYFUNCTION("""COMPUTED_VALUE"""),50000.0)</f>
        <v>50000</v>
      </c>
      <c r="R543" s="96" t="str">
        <f>IFERROR(__xludf.DUMMYFUNCTION("""COMPUTED_VALUE"""),"Petty Cash")</f>
        <v>Petty Cash</v>
      </c>
      <c r="S543" s="99">
        <f>IFERROR(__xludf.DUMMYFUNCTION("""COMPUTED_VALUE"""),0.0)</f>
        <v>0</v>
      </c>
      <c r="T543" s="99">
        <f>IFERROR(__xludf.DUMMYFUNCTION("""COMPUTED_VALUE"""),0.0)</f>
        <v>0</v>
      </c>
      <c r="U543" s="99">
        <f>IFERROR(__xludf.DUMMYFUNCTION("""COMPUTED_VALUE"""),0.0)</f>
        <v>0</v>
      </c>
      <c r="V543" s="99">
        <f>IFERROR(__xludf.DUMMYFUNCTION("""COMPUTED_VALUE"""),50000.0)</f>
        <v>50000</v>
      </c>
      <c r="W543" s="99">
        <f>IFERROR(__xludf.DUMMYFUNCTION("""COMPUTED_VALUE"""),0.0)</f>
        <v>0</v>
      </c>
    </row>
    <row r="544">
      <c r="N544" s="98">
        <f>IFERROR(__xludf.DUMMYFUNCTION("""COMPUTED_VALUE"""),44081.0)</f>
        <v>44081</v>
      </c>
      <c r="O544" s="96" t="str">
        <f>IFERROR(__xludf.DUMMYFUNCTION("""COMPUTED_VALUE"""),"BOSURU  BOSURU")</f>
        <v>BOSURU  BOSURU</v>
      </c>
      <c r="P544" s="96" t="str">
        <f>IFERROR(__xludf.DUMMYFUNCTION("""COMPUTED_VALUE"""),"ADVANCE")</f>
        <v>ADVANCE</v>
      </c>
      <c r="Q544" s="99">
        <f>IFERROR(__xludf.DUMMYFUNCTION("""COMPUTED_VALUE"""),20000.0)</f>
        <v>20000</v>
      </c>
      <c r="R544" s="96" t="str">
        <f>IFERROR(__xludf.DUMMYFUNCTION("""COMPUTED_VALUE"""),"Prefinance")</f>
        <v>Prefinance</v>
      </c>
      <c r="S544" s="99">
        <f>IFERROR(__xludf.DUMMYFUNCTION("""COMPUTED_VALUE"""),0.0)</f>
        <v>0</v>
      </c>
      <c r="T544" s="99">
        <f>IFERROR(__xludf.DUMMYFUNCTION("""COMPUTED_VALUE"""),0.0)</f>
        <v>0</v>
      </c>
      <c r="U544" s="99">
        <f>IFERROR(__xludf.DUMMYFUNCTION("""COMPUTED_VALUE"""),0.0)</f>
        <v>0</v>
      </c>
      <c r="V544" s="99">
        <f>IFERROR(__xludf.DUMMYFUNCTION("""COMPUTED_VALUE"""),0.0)</f>
        <v>0</v>
      </c>
      <c r="W544" s="99">
        <f>IFERROR(__xludf.DUMMYFUNCTION("""COMPUTED_VALUE"""),0.0)</f>
        <v>0</v>
      </c>
    </row>
    <row r="545">
      <c r="N545" s="98">
        <f>IFERROR(__xludf.DUMMYFUNCTION("""COMPUTED_VALUE"""),44081.0)</f>
        <v>44081</v>
      </c>
      <c r="O545" s="96" t="str">
        <f>IFERROR(__xludf.DUMMYFUNCTION("""COMPUTED_VALUE"""),"FRANCIS KEIBO")</f>
        <v>FRANCIS KEIBO</v>
      </c>
      <c r="P545" s="96" t="str">
        <f>IFERROR(__xludf.DUMMYFUNCTION("""COMPUTED_VALUE"""),"ADVANCE")</f>
        <v>ADVANCE</v>
      </c>
      <c r="Q545" s="99">
        <f>IFERROR(__xludf.DUMMYFUNCTION("""COMPUTED_VALUE"""),250000.0)</f>
        <v>250000</v>
      </c>
      <c r="R545" s="96" t="str">
        <f>IFERROR(__xludf.DUMMYFUNCTION("""COMPUTED_VALUE"""),"Prefinance")</f>
        <v>Prefinance</v>
      </c>
      <c r="S545" s="99">
        <f>IFERROR(__xludf.DUMMYFUNCTION("""COMPUTED_VALUE"""),0.0)</f>
        <v>0</v>
      </c>
      <c r="T545" s="99">
        <f>IFERROR(__xludf.DUMMYFUNCTION("""COMPUTED_VALUE"""),0.0)</f>
        <v>0</v>
      </c>
      <c r="U545" s="99">
        <f>IFERROR(__xludf.DUMMYFUNCTION("""COMPUTED_VALUE"""),0.0)</f>
        <v>0</v>
      </c>
      <c r="V545" s="99">
        <f>IFERROR(__xludf.DUMMYFUNCTION("""COMPUTED_VALUE"""),0.0)</f>
        <v>0</v>
      </c>
      <c r="W545" s="99">
        <f>IFERROR(__xludf.DUMMYFUNCTION("""COMPUTED_VALUE"""),0.0)</f>
        <v>0</v>
      </c>
    </row>
    <row r="546">
      <c r="N546" s="98">
        <f>IFERROR(__xludf.DUMMYFUNCTION("""COMPUTED_VALUE"""),44081.0)</f>
        <v>44081</v>
      </c>
      <c r="O546" s="96" t="str">
        <f>IFERROR(__xludf.DUMMYFUNCTION("""COMPUTED_VALUE"""),"AYUK BLESSING")</f>
        <v>AYUK BLESSING</v>
      </c>
      <c r="P546" s="96" t="str">
        <f>IFERROR(__xludf.DUMMYFUNCTION("""COMPUTED_VALUE"""),"SUBCRIPTION")</f>
        <v>SUBCRIPTION</v>
      </c>
      <c r="Q546" s="99">
        <f>IFERROR(__xludf.DUMMYFUNCTION("""COMPUTED_VALUE"""),1000.0)</f>
        <v>1000</v>
      </c>
      <c r="R546" s="96" t="str">
        <f>IFERROR(__xludf.DUMMYFUNCTION("""COMPUTED_VALUE"""),"General Expenses")</f>
        <v>General Expenses</v>
      </c>
      <c r="S546" s="99">
        <f>IFERROR(__xludf.DUMMYFUNCTION("""COMPUTED_VALUE"""),0.0)</f>
        <v>0</v>
      </c>
      <c r="T546" s="99">
        <f>IFERROR(__xludf.DUMMYFUNCTION("""COMPUTED_VALUE"""),1000.0)</f>
        <v>1000</v>
      </c>
      <c r="U546" s="99">
        <f>IFERROR(__xludf.DUMMYFUNCTION("""COMPUTED_VALUE"""),0.0)</f>
        <v>0</v>
      </c>
      <c r="V546" s="99">
        <f>IFERROR(__xludf.DUMMYFUNCTION("""COMPUTED_VALUE"""),0.0)</f>
        <v>0</v>
      </c>
      <c r="W546" s="99">
        <f>IFERROR(__xludf.DUMMYFUNCTION("""COMPUTED_VALUE"""),0.0)</f>
        <v>0</v>
      </c>
    </row>
    <row r="547">
      <c r="N547" s="98">
        <f>IFERROR(__xludf.DUMMYFUNCTION("""COMPUTED_VALUE"""),44081.0)</f>
        <v>44081</v>
      </c>
      <c r="O547" s="96" t="str">
        <f>IFERROR(__xludf.DUMMYFUNCTION("""COMPUTED_VALUE"""),"OBI-DRIVER")</f>
        <v>OBI-DRIVER</v>
      </c>
      <c r="P547" s="96" t="str">
        <f>IFERROR(__xludf.DUMMYFUNCTION("""COMPUTED_VALUE"""),"MOTOR PAD/FOOD")</f>
        <v>MOTOR PAD/FOOD</v>
      </c>
      <c r="Q547" s="99">
        <f>IFERROR(__xludf.DUMMYFUNCTION("""COMPUTED_VALUE"""),3000.0)</f>
        <v>3000</v>
      </c>
      <c r="R547" s="96" t="str">
        <f>IFERROR(__xludf.DUMMYFUNCTION("""COMPUTED_VALUE"""),"General Expenses")</f>
        <v>General Expenses</v>
      </c>
      <c r="S547" s="99">
        <f>IFERROR(__xludf.DUMMYFUNCTION("""COMPUTED_VALUE"""),0.0)</f>
        <v>0</v>
      </c>
      <c r="T547" s="99">
        <f>IFERROR(__xludf.DUMMYFUNCTION("""COMPUTED_VALUE"""),3000.0)</f>
        <v>3000</v>
      </c>
      <c r="U547" s="99">
        <f>IFERROR(__xludf.DUMMYFUNCTION("""COMPUTED_VALUE"""),0.0)</f>
        <v>0</v>
      </c>
      <c r="V547" s="99">
        <f>IFERROR(__xludf.DUMMYFUNCTION("""COMPUTED_VALUE"""),0.0)</f>
        <v>0</v>
      </c>
      <c r="W547" s="99">
        <f>IFERROR(__xludf.DUMMYFUNCTION("""COMPUTED_VALUE"""),0.0)</f>
        <v>0</v>
      </c>
    </row>
    <row r="548">
      <c r="N548" s="98">
        <f>IFERROR(__xludf.DUMMYFUNCTION("""COMPUTED_VALUE"""),44081.0)</f>
        <v>44081</v>
      </c>
      <c r="O548" s="96" t="str">
        <f>IFERROR(__xludf.DUMMYFUNCTION("""COMPUTED_VALUE"""),"DIRECTOR")</f>
        <v>DIRECTOR</v>
      </c>
      <c r="P548" s="96" t="str">
        <f>IFERROR(__xludf.DUMMYFUNCTION("""COMPUTED_VALUE"""),"EXPENSE")</f>
        <v>EXPENSE</v>
      </c>
      <c r="Q548" s="99">
        <f>IFERROR(__xludf.DUMMYFUNCTION("""COMPUTED_VALUE"""),900000.0)</f>
        <v>900000</v>
      </c>
      <c r="R548" s="96" t="str">
        <f>IFERROR(__xludf.DUMMYFUNCTION("""COMPUTED_VALUE"""),"General Expenses")</f>
        <v>General Expenses</v>
      </c>
      <c r="S548" s="99">
        <f>IFERROR(__xludf.DUMMYFUNCTION("""COMPUTED_VALUE"""),0.0)</f>
        <v>0</v>
      </c>
      <c r="T548" s="99">
        <f>IFERROR(__xludf.DUMMYFUNCTION("""COMPUTED_VALUE"""),900000.0)</f>
        <v>900000</v>
      </c>
      <c r="U548" s="99">
        <f>IFERROR(__xludf.DUMMYFUNCTION("""COMPUTED_VALUE"""),0.0)</f>
        <v>0</v>
      </c>
      <c r="V548" s="99">
        <f>IFERROR(__xludf.DUMMYFUNCTION("""COMPUTED_VALUE"""),0.0)</f>
        <v>0</v>
      </c>
      <c r="W548" s="99">
        <f>IFERROR(__xludf.DUMMYFUNCTION("""COMPUTED_VALUE"""),0.0)</f>
        <v>0</v>
      </c>
    </row>
    <row r="549">
      <c r="N549" s="98">
        <f>IFERROR(__xludf.DUMMYFUNCTION("""COMPUTED_VALUE"""),44081.0)</f>
        <v>44081</v>
      </c>
      <c r="O549" s="96" t="str">
        <f>IFERROR(__xludf.DUMMYFUNCTION("""COMPUTED_VALUE"""),"BLESSING CHAPMAN")</f>
        <v>BLESSING CHAPMAN</v>
      </c>
      <c r="P549" s="96" t="str">
        <f>IFERROR(__xludf.DUMMYFUNCTION("""COMPUTED_VALUE"""),"CASH COLLECTED")</f>
        <v>CASH COLLECTED</v>
      </c>
      <c r="Q549" s="99">
        <f>IFERROR(__xludf.DUMMYFUNCTION("""COMPUTED_VALUE"""),1203500.0)</f>
        <v>1203500</v>
      </c>
      <c r="R549" s="96" t="str">
        <f>IFERROR(__xludf.DUMMYFUNCTION("""COMPUTED_VALUE"""),"Petty Cash")</f>
        <v>Petty Cash</v>
      </c>
      <c r="S549" s="99">
        <f>IFERROR(__xludf.DUMMYFUNCTION("""COMPUTED_VALUE"""),0.0)</f>
        <v>0</v>
      </c>
      <c r="T549" s="99">
        <f>IFERROR(__xludf.DUMMYFUNCTION("""COMPUTED_VALUE"""),0.0)</f>
        <v>0</v>
      </c>
      <c r="U549" s="99">
        <f>IFERROR(__xludf.DUMMYFUNCTION("""COMPUTED_VALUE"""),0.0)</f>
        <v>0</v>
      </c>
      <c r="V549" s="99">
        <f>IFERROR(__xludf.DUMMYFUNCTION("""COMPUTED_VALUE"""),1203500.0)</f>
        <v>1203500</v>
      </c>
      <c r="W549" s="99">
        <f>IFERROR(__xludf.DUMMYFUNCTION("""COMPUTED_VALUE"""),0.0)</f>
        <v>0</v>
      </c>
    </row>
    <row r="550">
      <c r="N550" s="98">
        <f>IFERROR(__xludf.DUMMYFUNCTION("""COMPUTED_VALUE"""),44081.0)</f>
        <v>44081</v>
      </c>
      <c r="O550" s="96" t="str">
        <f>IFERROR(__xludf.DUMMYFUNCTION("""COMPUTED_VALUE"""),"MANAGER")</f>
        <v>MANAGER</v>
      </c>
      <c r="P550" s="96" t="str">
        <f>IFERROR(__xludf.DUMMYFUNCTION("""COMPUTED_VALUE"""),"CASH-IN")</f>
        <v>CASH-IN</v>
      </c>
      <c r="Q550" s="99">
        <f>IFERROR(__xludf.DUMMYFUNCTION("""COMPUTED_VALUE"""),500000.0)</f>
        <v>500000</v>
      </c>
      <c r="R550" s="96" t="str">
        <f>IFERROR(__xludf.DUMMYFUNCTION("""COMPUTED_VALUE"""),"From Bank")</f>
        <v>From Bank</v>
      </c>
      <c r="S550" s="99">
        <f>IFERROR(__xludf.DUMMYFUNCTION("""COMPUTED_VALUE"""),0.0)</f>
        <v>0</v>
      </c>
      <c r="T550" s="99">
        <f>IFERROR(__xludf.DUMMYFUNCTION("""COMPUTED_VALUE"""),0.0)</f>
        <v>0</v>
      </c>
      <c r="U550" s="99">
        <f>IFERROR(__xludf.DUMMYFUNCTION("""COMPUTED_VALUE"""),500000.0)</f>
        <v>500000</v>
      </c>
      <c r="V550" s="99">
        <f>IFERROR(__xludf.DUMMYFUNCTION("""COMPUTED_VALUE"""),0.0)</f>
        <v>0</v>
      </c>
      <c r="W550" s="99">
        <f>IFERROR(__xludf.DUMMYFUNCTION("""COMPUTED_VALUE"""),0.0)</f>
        <v>0</v>
      </c>
    </row>
    <row r="551">
      <c r="N551" s="98">
        <f>IFERROR(__xludf.DUMMYFUNCTION("""COMPUTED_VALUE"""),44082.0)</f>
        <v>44082</v>
      </c>
      <c r="O551" s="96" t="str">
        <f>IFERROR(__xludf.DUMMYFUNCTION("""COMPUTED_VALUE"""),"BOSURU  BOSURU")</f>
        <v>BOSURU  BOSURU</v>
      </c>
      <c r="P551" s="96" t="str">
        <f>IFERROR(__xludf.DUMMYFUNCTION("""COMPUTED_VALUE"""),"ADVANCE")</f>
        <v>ADVANCE</v>
      </c>
      <c r="Q551" s="99">
        <f>IFERROR(__xludf.DUMMYFUNCTION("""COMPUTED_VALUE"""),262000.0)</f>
        <v>262000</v>
      </c>
      <c r="R551" s="96" t="str">
        <f>IFERROR(__xludf.DUMMYFUNCTION("""COMPUTED_VALUE"""),"Prefinance")</f>
        <v>Prefinance</v>
      </c>
      <c r="S551" s="99">
        <f>IFERROR(__xludf.DUMMYFUNCTION("""COMPUTED_VALUE"""),0.0)</f>
        <v>0</v>
      </c>
      <c r="T551" s="99">
        <f>IFERROR(__xludf.DUMMYFUNCTION("""COMPUTED_VALUE"""),0.0)</f>
        <v>0</v>
      </c>
      <c r="U551" s="99">
        <f>IFERROR(__xludf.DUMMYFUNCTION("""COMPUTED_VALUE"""),0.0)</f>
        <v>0</v>
      </c>
      <c r="V551" s="99">
        <f>IFERROR(__xludf.DUMMYFUNCTION("""COMPUTED_VALUE"""),0.0)</f>
        <v>0</v>
      </c>
      <c r="W551" s="99">
        <f>IFERROR(__xludf.DUMMYFUNCTION("""COMPUTED_VALUE"""),0.0)</f>
        <v>0</v>
      </c>
    </row>
    <row r="552">
      <c r="N552" s="98">
        <f>IFERROR(__xludf.DUMMYFUNCTION("""COMPUTED_VALUE"""),44082.0)</f>
        <v>44082</v>
      </c>
      <c r="O552" s="96" t="str">
        <f>IFERROR(__xludf.DUMMYFUNCTION("""COMPUTED_VALUE"""),"MAXWELL AGRO PRIN")</f>
        <v>MAXWELL AGRO PRIN</v>
      </c>
      <c r="P552" s="96" t="str">
        <f>IFERROR(__xludf.DUMMYFUNCTION("""COMPUTED_VALUE"""),"ADVANCE")</f>
        <v>ADVANCE</v>
      </c>
      <c r="Q552" s="99">
        <f>IFERROR(__xludf.DUMMYFUNCTION("""COMPUTED_VALUE"""),50000.0)</f>
        <v>50000</v>
      </c>
      <c r="R552" s="96" t="str">
        <f>IFERROR(__xludf.DUMMYFUNCTION("""COMPUTED_VALUE"""),"Prefinance")</f>
        <v>Prefinance</v>
      </c>
      <c r="S552" s="99">
        <f>IFERROR(__xludf.DUMMYFUNCTION("""COMPUTED_VALUE"""),0.0)</f>
        <v>0</v>
      </c>
      <c r="T552" s="99">
        <f>IFERROR(__xludf.DUMMYFUNCTION("""COMPUTED_VALUE"""),0.0)</f>
        <v>0</v>
      </c>
      <c r="U552" s="99">
        <f>IFERROR(__xludf.DUMMYFUNCTION("""COMPUTED_VALUE"""),0.0)</f>
        <v>0</v>
      </c>
      <c r="V552" s="99">
        <f>IFERROR(__xludf.DUMMYFUNCTION("""COMPUTED_VALUE"""),0.0)</f>
        <v>0</v>
      </c>
      <c r="W552" s="99">
        <f>IFERROR(__xludf.DUMMYFUNCTION("""COMPUTED_VALUE"""),0.0)</f>
        <v>0</v>
      </c>
    </row>
    <row r="553">
      <c r="N553" s="98">
        <f>IFERROR(__xludf.DUMMYFUNCTION("""COMPUTED_VALUE"""),44082.0)</f>
        <v>44082</v>
      </c>
      <c r="O553" s="96" t="str">
        <f>IFERROR(__xludf.DUMMYFUNCTION("""COMPUTED_VALUE"""),"NDOMA NDOMA")</f>
        <v>NDOMA NDOMA</v>
      </c>
      <c r="P553" s="96" t="str">
        <f>IFERROR(__xludf.DUMMYFUNCTION("""COMPUTED_VALUE"""),"ADVANCE(UPKEEP)")</f>
        <v>ADVANCE(UPKEEP)</v>
      </c>
      <c r="Q553" s="99">
        <f>IFERROR(__xludf.DUMMYFUNCTION("""COMPUTED_VALUE"""),10000.0)</f>
        <v>10000</v>
      </c>
      <c r="R553" s="96" t="str">
        <f>IFERROR(__xludf.DUMMYFUNCTION("""COMPUTED_VALUE"""),"Prefinance")</f>
        <v>Prefinance</v>
      </c>
      <c r="S553" s="99">
        <f>IFERROR(__xludf.DUMMYFUNCTION("""COMPUTED_VALUE"""),0.0)</f>
        <v>0</v>
      </c>
      <c r="T553" s="99">
        <f>IFERROR(__xludf.DUMMYFUNCTION("""COMPUTED_VALUE"""),0.0)</f>
        <v>0</v>
      </c>
      <c r="U553" s="99">
        <f>IFERROR(__xludf.DUMMYFUNCTION("""COMPUTED_VALUE"""),0.0)</f>
        <v>0</v>
      </c>
      <c r="V553" s="99">
        <f>IFERROR(__xludf.DUMMYFUNCTION("""COMPUTED_VALUE"""),0.0)</f>
        <v>0</v>
      </c>
      <c r="W553" s="99">
        <f>IFERROR(__xludf.DUMMYFUNCTION("""COMPUTED_VALUE"""),0.0)</f>
        <v>0</v>
      </c>
    </row>
    <row r="554">
      <c r="N554" s="98">
        <f>IFERROR(__xludf.DUMMYFUNCTION("""COMPUTED_VALUE"""),44082.0)</f>
        <v>44082</v>
      </c>
      <c r="O554" s="96" t="str">
        <f>IFERROR(__xludf.DUMMYFUNCTION("""COMPUTED_VALUE"""),"ZULU ")</f>
        <v>ZULU </v>
      </c>
      <c r="P554" s="96" t="str">
        <f>IFERROR(__xludf.DUMMYFUNCTION("""COMPUTED_VALUE"""),"ADVANCE(ZULU)")</f>
        <v>ADVANCE(ZULU)</v>
      </c>
      <c r="Q554" s="99">
        <f>IFERROR(__xludf.DUMMYFUNCTION("""COMPUTED_VALUE"""),4000.0)</f>
        <v>4000</v>
      </c>
      <c r="R554" s="96" t="str">
        <f>IFERROR(__xludf.DUMMYFUNCTION("""COMPUTED_VALUE"""),"Prefinance")</f>
        <v>Prefinance</v>
      </c>
      <c r="S554" s="99">
        <f>IFERROR(__xludf.DUMMYFUNCTION("""COMPUTED_VALUE"""),0.0)</f>
        <v>0</v>
      </c>
      <c r="T554" s="99">
        <f>IFERROR(__xludf.DUMMYFUNCTION("""COMPUTED_VALUE"""),0.0)</f>
        <v>0</v>
      </c>
      <c r="U554" s="99">
        <f>IFERROR(__xludf.DUMMYFUNCTION("""COMPUTED_VALUE"""),0.0)</f>
        <v>0</v>
      </c>
      <c r="V554" s="99">
        <f>IFERROR(__xludf.DUMMYFUNCTION("""COMPUTED_VALUE"""),0.0)</f>
        <v>0</v>
      </c>
      <c r="W554" s="99">
        <f>IFERROR(__xludf.DUMMYFUNCTION("""COMPUTED_VALUE"""),0.0)</f>
        <v>0</v>
      </c>
    </row>
    <row r="555">
      <c r="N555" s="98">
        <f>IFERROR(__xludf.DUMMYFUNCTION("""COMPUTED_VALUE"""),44082.0)</f>
        <v>44082</v>
      </c>
      <c r="O555" s="96" t="str">
        <f>IFERROR(__xludf.DUMMYFUNCTION("""COMPUTED_VALUE"""),"TULIP DRIVERS")</f>
        <v>TULIP DRIVERS</v>
      </c>
      <c r="P555" s="96" t="str">
        <f>IFERROR(__xludf.DUMMYFUNCTION("""COMPUTED_VALUE"""),"COMMISION")</f>
        <v>COMMISION</v>
      </c>
      <c r="Q555" s="99">
        <f>IFERROR(__xludf.DUMMYFUNCTION("""COMPUTED_VALUE"""),1000.0)</f>
        <v>1000</v>
      </c>
      <c r="R555" s="96" t="str">
        <f>IFERROR(__xludf.DUMMYFUNCTION("""COMPUTED_VALUE"""),"General Expenses")</f>
        <v>General Expenses</v>
      </c>
      <c r="S555" s="99">
        <f>IFERROR(__xludf.DUMMYFUNCTION("""COMPUTED_VALUE"""),0.0)</f>
        <v>0</v>
      </c>
      <c r="T555" s="99">
        <f>IFERROR(__xludf.DUMMYFUNCTION("""COMPUTED_VALUE"""),1000.0)</f>
        <v>1000</v>
      </c>
      <c r="U555" s="99">
        <f>IFERROR(__xludf.DUMMYFUNCTION("""COMPUTED_VALUE"""),0.0)</f>
        <v>0</v>
      </c>
      <c r="V555" s="99">
        <f>IFERROR(__xludf.DUMMYFUNCTION("""COMPUTED_VALUE"""),0.0)</f>
        <v>0</v>
      </c>
      <c r="W555" s="99">
        <f>IFERROR(__xludf.DUMMYFUNCTION("""COMPUTED_VALUE"""),0.0)</f>
        <v>0</v>
      </c>
    </row>
    <row r="556">
      <c r="N556" s="98">
        <f>IFERROR(__xludf.DUMMYFUNCTION("""COMPUTED_VALUE"""),44082.0)</f>
        <v>44082</v>
      </c>
      <c r="O556" s="96" t="str">
        <f>IFERROR(__xludf.DUMMYFUNCTION("""COMPUTED_VALUE"""),"OBI-DRIVER")</f>
        <v>OBI-DRIVER</v>
      </c>
      <c r="P556" s="96" t="str">
        <f>IFERROR(__xludf.DUMMYFUNCTION("""COMPUTED_VALUE"""),"REPAIRS")</f>
        <v>REPAIRS</v>
      </c>
      <c r="Q556" s="99">
        <f>IFERROR(__xludf.DUMMYFUNCTION("""COMPUTED_VALUE"""),2000.0)</f>
        <v>2000</v>
      </c>
      <c r="R556" s="96" t="str">
        <f>IFERROR(__xludf.DUMMYFUNCTION("""COMPUTED_VALUE"""),"General Expenses")</f>
        <v>General Expenses</v>
      </c>
      <c r="S556" s="99">
        <f>IFERROR(__xludf.DUMMYFUNCTION("""COMPUTED_VALUE"""),0.0)</f>
        <v>0</v>
      </c>
      <c r="T556" s="99">
        <f>IFERROR(__xludf.DUMMYFUNCTION("""COMPUTED_VALUE"""),2000.0)</f>
        <v>2000</v>
      </c>
      <c r="U556" s="99">
        <f>IFERROR(__xludf.DUMMYFUNCTION("""COMPUTED_VALUE"""),0.0)</f>
        <v>0</v>
      </c>
      <c r="V556" s="99">
        <f>IFERROR(__xludf.DUMMYFUNCTION("""COMPUTED_VALUE"""),0.0)</f>
        <v>0</v>
      </c>
      <c r="W556" s="99">
        <f>IFERROR(__xludf.DUMMYFUNCTION("""COMPUTED_VALUE"""),0.0)</f>
        <v>0</v>
      </c>
    </row>
    <row r="557">
      <c r="N557" s="98">
        <f>IFERROR(__xludf.DUMMYFUNCTION("""COMPUTED_VALUE"""),44082.0)</f>
        <v>44082</v>
      </c>
      <c r="O557" s="96" t="str">
        <f>IFERROR(__xludf.DUMMYFUNCTION("""COMPUTED_VALUE"""),"LABOUR  BOY")</f>
        <v>LABOUR  BOY</v>
      </c>
      <c r="P557" s="96" t="str">
        <f>IFERROR(__xludf.DUMMYFUNCTION("""COMPUTED_VALUE"""),"WAGE ADVANCE")</f>
        <v>WAGE ADVANCE</v>
      </c>
      <c r="Q557" s="99">
        <f>IFERROR(__xludf.DUMMYFUNCTION("""COMPUTED_VALUE"""),500.0)</f>
        <v>500</v>
      </c>
      <c r="R557" s="96" t="str">
        <f>IFERROR(__xludf.DUMMYFUNCTION("""COMPUTED_VALUE"""),"General Expenses")</f>
        <v>General Expenses</v>
      </c>
      <c r="S557" s="99">
        <f>IFERROR(__xludf.DUMMYFUNCTION("""COMPUTED_VALUE"""),0.0)</f>
        <v>0</v>
      </c>
      <c r="T557" s="99">
        <f>IFERROR(__xludf.DUMMYFUNCTION("""COMPUTED_VALUE"""),500.0)</f>
        <v>500</v>
      </c>
      <c r="U557" s="99">
        <f>IFERROR(__xludf.DUMMYFUNCTION("""COMPUTED_VALUE"""),0.0)</f>
        <v>0</v>
      </c>
      <c r="V557" s="99">
        <f>IFERROR(__xludf.DUMMYFUNCTION("""COMPUTED_VALUE"""),0.0)</f>
        <v>0</v>
      </c>
      <c r="W557" s="99">
        <f>IFERROR(__xludf.DUMMYFUNCTION("""COMPUTED_VALUE"""),0.0)</f>
        <v>0</v>
      </c>
    </row>
    <row r="558">
      <c r="N558" s="98">
        <f>IFERROR(__xludf.DUMMYFUNCTION("""COMPUTED_VALUE"""),44082.0)</f>
        <v>44082</v>
      </c>
      <c r="O558" s="96" t="str">
        <f>IFERROR(__xludf.DUMMYFUNCTION("""COMPUTED_VALUE"""),"EZU MECHANIC")</f>
        <v>EZU MECHANIC</v>
      </c>
      <c r="P558" s="96" t="str">
        <f>IFERROR(__xludf.DUMMYFUNCTION("""COMPUTED_VALUE"""),"MOTOR PAD")</f>
        <v>MOTOR PAD</v>
      </c>
      <c r="Q558" s="99">
        <f>IFERROR(__xludf.DUMMYFUNCTION("""COMPUTED_VALUE"""),3000.0)</f>
        <v>3000</v>
      </c>
      <c r="R558" s="96" t="str">
        <f>IFERROR(__xludf.DUMMYFUNCTION("""COMPUTED_VALUE"""),"General Expenses")</f>
        <v>General Expenses</v>
      </c>
      <c r="S558" s="99">
        <f>IFERROR(__xludf.DUMMYFUNCTION("""COMPUTED_VALUE"""),0.0)</f>
        <v>0</v>
      </c>
      <c r="T558" s="99">
        <f>IFERROR(__xludf.DUMMYFUNCTION("""COMPUTED_VALUE"""),3000.0)</f>
        <v>3000</v>
      </c>
      <c r="U558" s="99">
        <f>IFERROR(__xludf.DUMMYFUNCTION("""COMPUTED_VALUE"""),0.0)</f>
        <v>0</v>
      </c>
      <c r="V558" s="99">
        <f>IFERROR(__xludf.DUMMYFUNCTION("""COMPUTED_VALUE"""),0.0)</f>
        <v>0</v>
      </c>
      <c r="W558" s="99">
        <f>IFERROR(__xludf.DUMMYFUNCTION("""COMPUTED_VALUE"""),0.0)</f>
        <v>0</v>
      </c>
    </row>
    <row r="559">
      <c r="N559" s="98">
        <f>IFERROR(__xludf.DUMMYFUNCTION("""COMPUTED_VALUE"""),44082.0)</f>
        <v>44082</v>
      </c>
      <c r="O559" s="96" t="str">
        <f>IFERROR(__xludf.DUMMYFUNCTION("""COMPUTED_VALUE"""),"BLESSING CHAPMAN")</f>
        <v>BLESSING CHAPMAN</v>
      </c>
      <c r="P559" s="96" t="str">
        <f>IFERROR(__xludf.DUMMYFUNCTION("""COMPUTED_VALUE"""),"CASH COLLECTED")</f>
        <v>CASH COLLECTED</v>
      </c>
      <c r="Q559" s="99">
        <f>IFERROR(__xludf.DUMMYFUNCTION("""COMPUTED_VALUE"""),6500.0)</f>
        <v>6500</v>
      </c>
      <c r="R559" s="96" t="str">
        <f>IFERROR(__xludf.DUMMYFUNCTION("""COMPUTED_VALUE"""),"Petty Cash")</f>
        <v>Petty Cash</v>
      </c>
      <c r="S559" s="99">
        <f>IFERROR(__xludf.DUMMYFUNCTION("""COMPUTED_VALUE"""),0.0)</f>
        <v>0</v>
      </c>
      <c r="T559" s="99">
        <f>IFERROR(__xludf.DUMMYFUNCTION("""COMPUTED_VALUE"""),0.0)</f>
        <v>0</v>
      </c>
      <c r="U559" s="99">
        <f>IFERROR(__xludf.DUMMYFUNCTION("""COMPUTED_VALUE"""),0.0)</f>
        <v>0</v>
      </c>
      <c r="V559" s="99">
        <f>IFERROR(__xludf.DUMMYFUNCTION("""COMPUTED_VALUE"""),6500.0)</f>
        <v>6500</v>
      </c>
      <c r="W559" s="99">
        <f>IFERROR(__xludf.DUMMYFUNCTION("""COMPUTED_VALUE"""),0.0)</f>
        <v>0</v>
      </c>
    </row>
    <row r="560">
      <c r="N560" s="98">
        <f>IFERROR(__xludf.DUMMYFUNCTION("""COMPUTED_VALUE"""),44082.0)</f>
        <v>44082</v>
      </c>
      <c r="O560" s="96" t="str">
        <f>IFERROR(__xludf.DUMMYFUNCTION("""COMPUTED_VALUE"""),"DIRECTOR")</f>
        <v>DIRECTOR</v>
      </c>
      <c r="P560" s="96" t="str">
        <f>IFERROR(__xludf.DUMMYFUNCTION("""COMPUTED_VALUE"""),"CASH-IN")</f>
        <v>CASH-IN</v>
      </c>
      <c r="Q560" s="99">
        <f>IFERROR(__xludf.DUMMYFUNCTION("""COMPUTED_VALUE"""),600000.0)</f>
        <v>600000</v>
      </c>
      <c r="R560" s="96" t="str">
        <f>IFERROR(__xludf.DUMMYFUNCTION("""COMPUTED_VALUE"""),"From Bank")</f>
        <v>From Bank</v>
      </c>
      <c r="S560" s="99">
        <f>IFERROR(__xludf.DUMMYFUNCTION("""COMPUTED_VALUE"""),0.0)</f>
        <v>0</v>
      </c>
      <c r="T560" s="99">
        <f>IFERROR(__xludf.DUMMYFUNCTION("""COMPUTED_VALUE"""),0.0)</f>
        <v>0</v>
      </c>
      <c r="U560" s="99">
        <f>IFERROR(__xludf.DUMMYFUNCTION("""COMPUTED_VALUE"""),600000.0)</f>
        <v>600000</v>
      </c>
      <c r="V560" s="99">
        <f>IFERROR(__xludf.DUMMYFUNCTION("""COMPUTED_VALUE"""),0.0)</f>
        <v>0</v>
      </c>
      <c r="W560" s="99">
        <f>IFERROR(__xludf.DUMMYFUNCTION("""COMPUTED_VALUE"""),0.0)</f>
        <v>0</v>
      </c>
    </row>
    <row r="561">
      <c r="N561" s="98">
        <f>IFERROR(__xludf.DUMMYFUNCTION("""COMPUTED_VALUE"""),44082.0)</f>
        <v>44082</v>
      </c>
      <c r="O561" s="96" t="str">
        <f>IFERROR(__xludf.DUMMYFUNCTION("""COMPUTED_VALUE"""),"AYUK BLESSING")</f>
        <v>AYUK BLESSING</v>
      </c>
      <c r="P561" s="96" t="str">
        <f>IFERROR(__xludf.DUMMYFUNCTION("""COMPUTED_VALUE"""),"SALARY")</f>
        <v>SALARY</v>
      </c>
      <c r="Q561" s="99">
        <f>IFERROR(__xludf.DUMMYFUNCTION("""COMPUTED_VALUE"""),30000.0)</f>
        <v>30000</v>
      </c>
      <c r="R561" s="96" t="str">
        <f>IFERROR(__xludf.DUMMYFUNCTION("""COMPUTED_VALUE"""),"General Expenses")</f>
        <v>General Expenses</v>
      </c>
      <c r="S561" s="99">
        <f>IFERROR(__xludf.DUMMYFUNCTION("""COMPUTED_VALUE"""),0.0)</f>
        <v>0</v>
      </c>
      <c r="T561" s="99">
        <f>IFERROR(__xludf.DUMMYFUNCTION("""COMPUTED_VALUE"""),30000.0)</f>
        <v>30000</v>
      </c>
      <c r="U561" s="99">
        <f>IFERROR(__xludf.DUMMYFUNCTION("""COMPUTED_VALUE"""),0.0)</f>
        <v>0</v>
      </c>
      <c r="V561" s="99">
        <f>IFERROR(__xludf.DUMMYFUNCTION("""COMPUTED_VALUE"""),0.0)</f>
        <v>0</v>
      </c>
      <c r="W561" s="99">
        <f>IFERROR(__xludf.DUMMYFUNCTION("""COMPUTED_VALUE"""),0.0)</f>
        <v>0</v>
      </c>
    </row>
    <row r="562">
      <c r="N562" s="98">
        <f>IFERROR(__xludf.DUMMYFUNCTION("""COMPUTED_VALUE"""),44082.0)</f>
        <v>44082</v>
      </c>
      <c r="O562" s="96" t="str">
        <f>IFERROR(__xludf.DUMMYFUNCTION("""COMPUTED_VALUE"""),"DIRECTOR")</f>
        <v>DIRECTOR</v>
      </c>
      <c r="P562" s="96" t="str">
        <f>IFERROR(__xludf.DUMMYFUNCTION("""COMPUTED_VALUE"""),"SALARY TRANSFERED")</f>
        <v>SALARY TRANSFERED</v>
      </c>
      <c r="Q562" s="99">
        <f>IFERROR(__xludf.DUMMYFUNCTION("""COMPUTED_VALUE"""),30000.0)</f>
        <v>30000</v>
      </c>
      <c r="R562" s="96" t="str">
        <f>IFERROR(__xludf.DUMMYFUNCTION("""COMPUTED_VALUE"""),"From Bank")</f>
        <v>From Bank</v>
      </c>
      <c r="S562" s="99">
        <f>IFERROR(__xludf.DUMMYFUNCTION("""COMPUTED_VALUE"""),0.0)</f>
        <v>0</v>
      </c>
      <c r="T562" s="99">
        <f>IFERROR(__xludf.DUMMYFUNCTION("""COMPUTED_VALUE"""),0.0)</f>
        <v>0</v>
      </c>
      <c r="U562" s="99">
        <f>IFERROR(__xludf.DUMMYFUNCTION("""COMPUTED_VALUE"""),30000.0)</f>
        <v>30000</v>
      </c>
      <c r="V562" s="99">
        <f>IFERROR(__xludf.DUMMYFUNCTION("""COMPUTED_VALUE"""),0.0)</f>
        <v>0</v>
      </c>
      <c r="W562" s="99">
        <f>IFERROR(__xludf.DUMMYFUNCTION("""COMPUTED_VALUE"""),0.0)</f>
        <v>0</v>
      </c>
    </row>
    <row r="563">
      <c r="N563" s="98">
        <f>IFERROR(__xludf.DUMMYFUNCTION("""COMPUTED_VALUE"""),44082.0)</f>
        <v>44082</v>
      </c>
      <c r="O563" s="96" t="str">
        <f>IFERROR(__xludf.DUMMYFUNCTION("""COMPUTED_VALUE"""),"DIRECTOR")</f>
        <v>DIRECTOR</v>
      </c>
      <c r="P563" s="96" t="str">
        <f>IFERROR(__xludf.DUMMYFUNCTION("""COMPUTED_VALUE"""),"CASH TRANSFERED")</f>
        <v>CASH TRANSFERED</v>
      </c>
      <c r="Q563" s="99">
        <f>IFERROR(__xludf.DUMMYFUNCTION("""COMPUTED_VALUE"""),30000.0)</f>
        <v>30000</v>
      </c>
      <c r="R563" s="96" t="str">
        <f>IFERROR(__xludf.DUMMYFUNCTION("""COMPUTED_VALUE"""),"Petty Cash")</f>
        <v>Petty Cash</v>
      </c>
      <c r="S563" s="99">
        <f>IFERROR(__xludf.DUMMYFUNCTION("""COMPUTED_VALUE"""),0.0)</f>
        <v>0</v>
      </c>
      <c r="T563" s="99">
        <f>IFERROR(__xludf.DUMMYFUNCTION("""COMPUTED_VALUE"""),0.0)</f>
        <v>0</v>
      </c>
      <c r="U563" s="99">
        <f>IFERROR(__xludf.DUMMYFUNCTION("""COMPUTED_VALUE"""),0.0)</f>
        <v>0</v>
      </c>
      <c r="V563" s="99">
        <f>IFERROR(__xludf.DUMMYFUNCTION("""COMPUTED_VALUE"""),30000.0)</f>
        <v>30000</v>
      </c>
      <c r="W563" s="99">
        <f>IFERROR(__xludf.DUMMYFUNCTION("""COMPUTED_VALUE"""),0.0)</f>
        <v>0</v>
      </c>
    </row>
    <row r="564">
      <c r="N564" s="98">
        <f>IFERROR(__xludf.DUMMYFUNCTION("""COMPUTED_VALUE"""),44055.0)</f>
        <v>44055</v>
      </c>
      <c r="O564" s="96" t="str">
        <f>IFERROR(__xludf.DUMMYFUNCTION("""COMPUTED_VALUE"""),"ZULU &amp; NDOMA")</f>
        <v>ZULU &amp; NDOMA</v>
      </c>
      <c r="P564" s="96" t="str">
        <f>IFERROR(__xludf.DUMMYFUNCTION("""COMPUTED_VALUE"""),"CORRECTION")</f>
        <v>CORRECTION</v>
      </c>
      <c r="Q564" s="99">
        <f>IFERROR(__xludf.DUMMYFUNCTION("""COMPUTED_VALUE"""),-100000.0)</f>
        <v>-100000</v>
      </c>
      <c r="R564" s="96" t="str">
        <f>IFERROR(__xludf.DUMMYFUNCTION("""COMPUTED_VALUE"""),"Prefinance")</f>
        <v>Prefinance</v>
      </c>
      <c r="S564" s="99">
        <f>IFERROR(__xludf.DUMMYFUNCTION("""COMPUTED_VALUE"""),0.0)</f>
        <v>0</v>
      </c>
      <c r="T564" s="99">
        <f>IFERROR(__xludf.DUMMYFUNCTION("""COMPUTED_VALUE"""),0.0)</f>
        <v>0</v>
      </c>
      <c r="U564" s="99">
        <f>IFERROR(__xludf.DUMMYFUNCTION("""COMPUTED_VALUE"""),0.0)</f>
        <v>0</v>
      </c>
      <c r="V564" s="99">
        <f>IFERROR(__xludf.DUMMYFUNCTION("""COMPUTED_VALUE"""),0.0)</f>
        <v>0</v>
      </c>
      <c r="W564" s="99">
        <f>IFERROR(__xludf.DUMMYFUNCTION("""COMPUTED_VALUE"""),0.0)</f>
        <v>0</v>
      </c>
    </row>
    <row r="565">
      <c r="N565" s="98">
        <f>IFERROR(__xludf.DUMMYFUNCTION("""COMPUTED_VALUE"""),44055.0)</f>
        <v>44055</v>
      </c>
      <c r="O565" s="96" t="str">
        <f>IFERROR(__xludf.DUMMYFUNCTION("""COMPUTED_VALUE"""),"NDOMA PRIN")</f>
        <v>NDOMA PRIN</v>
      </c>
      <c r="P565" s="96" t="str">
        <f>IFERROR(__xludf.DUMMYFUNCTION("""COMPUTED_VALUE"""),"ADVANCE")</f>
        <v>ADVANCE</v>
      </c>
      <c r="Q565" s="99">
        <f>IFERROR(__xludf.DUMMYFUNCTION("""COMPUTED_VALUE"""),100000.0)</f>
        <v>100000</v>
      </c>
      <c r="R565" s="96" t="str">
        <f>IFERROR(__xludf.DUMMYFUNCTION("""COMPUTED_VALUE"""),"Prefinance")</f>
        <v>Prefinance</v>
      </c>
      <c r="S565" s="99">
        <f>IFERROR(__xludf.DUMMYFUNCTION("""COMPUTED_VALUE"""),0.0)</f>
        <v>0</v>
      </c>
      <c r="T565" s="99">
        <f>IFERROR(__xludf.DUMMYFUNCTION("""COMPUTED_VALUE"""),0.0)</f>
        <v>0</v>
      </c>
      <c r="U565" s="99">
        <f>IFERROR(__xludf.DUMMYFUNCTION("""COMPUTED_VALUE"""),0.0)</f>
        <v>0</v>
      </c>
      <c r="V565" s="99">
        <f>IFERROR(__xludf.DUMMYFUNCTION("""COMPUTED_VALUE"""),0.0)</f>
        <v>0</v>
      </c>
      <c r="W565" s="99">
        <f>IFERROR(__xludf.DUMMYFUNCTION("""COMPUTED_VALUE"""),0.0)</f>
        <v>0</v>
      </c>
    </row>
    <row r="566">
      <c r="N566" s="98">
        <f>IFERROR(__xludf.DUMMYFUNCTION("""COMPUTED_VALUE"""),44058.0)</f>
        <v>44058</v>
      </c>
      <c r="O566" s="96" t="str">
        <f>IFERROR(__xludf.DUMMYFUNCTION("""COMPUTED_VALUE"""),"ZULU &amp; NDOMA")</f>
        <v>ZULU &amp; NDOMA</v>
      </c>
      <c r="P566" s="96" t="str">
        <f>IFERROR(__xludf.DUMMYFUNCTION("""COMPUTED_VALUE"""),"CORRECTION")</f>
        <v>CORRECTION</v>
      </c>
      <c r="Q566" s="99">
        <f>IFERROR(__xludf.DUMMYFUNCTION("""COMPUTED_VALUE"""),-200000.0)</f>
        <v>-200000</v>
      </c>
      <c r="R566" s="96" t="str">
        <f>IFERROR(__xludf.DUMMYFUNCTION("""COMPUTED_VALUE"""),"Prefinance")</f>
        <v>Prefinance</v>
      </c>
      <c r="S566" s="99">
        <f>IFERROR(__xludf.DUMMYFUNCTION("""COMPUTED_VALUE"""),0.0)</f>
        <v>0</v>
      </c>
      <c r="T566" s="99">
        <f>IFERROR(__xludf.DUMMYFUNCTION("""COMPUTED_VALUE"""),0.0)</f>
        <v>0</v>
      </c>
      <c r="U566" s="99">
        <f>IFERROR(__xludf.DUMMYFUNCTION("""COMPUTED_VALUE"""),0.0)</f>
        <v>0</v>
      </c>
      <c r="V566" s="99">
        <f>IFERROR(__xludf.DUMMYFUNCTION("""COMPUTED_VALUE"""),0.0)</f>
        <v>0</v>
      </c>
      <c r="W566" s="99">
        <f>IFERROR(__xludf.DUMMYFUNCTION("""COMPUTED_VALUE"""),0.0)</f>
        <v>0</v>
      </c>
    </row>
    <row r="567">
      <c r="N567" s="98">
        <f>IFERROR(__xludf.DUMMYFUNCTION("""COMPUTED_VALUE"""),44058.0)</f>
        <v>44058</v>
      </c>
      <c r="O567" s="96" t="str">
        <f>IFERROR(__xludf.DUMMYFUNCTION("""COMPUTED_VALUE"""),"ZULU ")</f>
        <v>ZULU </v>
      </c>
      <c r="P567" s="96" t="str">
        <f>IFERROR(__xludf.DUMMYFUNCTION("""COMPUTED_VALUE"""),"ADVANCE")</f>
        <v>ADVANCE</v>
      </c>
      <c r="Q567" s="99">
        <f>IFERROR(__xludf.DUMMYFUNCTION("""COMPUTED_VALUE"""),200000.0)</f>
        <v>200000</v>
      </c>
      <c r="R567" s="96" t="str">
        <f>IFERROR(__xludf.DUMMYFUNCTION("""COMPUTED_VALUE"""),"Prefinance")</f>
        <v>Prefinance</v>
      </c>
      <c r="S567" s="99">
        <f>IFERROR(__xludf.DUMMYFUNCTION("""COMPUTED_VALUE"""),0.0)</f>
        <v>0</v>
      </c>
      <c r="T567" s="99">
        <f>IFERROR(__xludf.DUMMYFUNCTION("""COMPUTED_VALUE"""),0.0)</f>
        <v>0</v>
      </c>
      <c r="U567" s="99">
        <f>IFERROR(__xludf.DUMMYFUNCTION("""COMPUTED_VALUE"""),0.0)</f>
        <v>0</v>
      </c>
      <c r="V567" s="99">
        <f>IFERROR(__xludf.DUMMYFUNCTION("""COMPUTED_VALUE"""),0.0)</f>
        <v>0</v>
      </c>
      <c r="W567" s="99">
        <f>IFERROR(__xludf.DUMMYFUNCTION("""COMPUTED_VALUE"""),0.0)</f>
        <v>0</v>
      </c>
    </row>
    <row r="568">
      <c r="N568" s="98">
        <f>IFERROR(__xludf.DUMMYFUNCTION("""COMPUTED_VALUE"""),44083.0)</f>
        <v>44083</v>
      </c>
      <c r="O568" s="96" t="str">
        <f>IFERROR(__xludf.DUMMYFUNCTION("""COMPUTED_VALUE"""),"ANDRDEW GREAT")</f>
        <v>ANDRDEW GREAT</v>
      </c>
      <c r="P568" s="96" t="str">
        <f>IFERROR(__xludf.DUMMYFUNCTION("""COMPUTED_VALUE"""),"ADVANCE")</f>
        <v>ADVANCE</v>
      </c>
      <c r="Q568" s="99">
        <f>IFERROR(__xludf.DUMMYFUNCTION("""COMPUTED_VALUE"""),700000.0)</f>
        <v>700000</v>
      </c>
      <c r="R568" s="96" t="str">
        <f>IFERROR(__xludf.DUMMYFUNCTION("""COMPUTED_VALUE"""),"Prefinance")</f>
        <v>Prefinance</v>
      </c>
      <c r="S568" s="99">
        <f>IFERROR(__xludf.DUMMYFUNCTION("""COMPUTED_VALUE"""),0.0)</f>
        <v>0</v>
      </c>
      <c r="T568" s="99">
        <f>IFERROR(__xludf.DUMMYFUNCTION("""COMPUTED_VALUE"""),0.0)</f>
        <v>0</v>
      </c>
      <c r="U568" s="99">
        <f>IFERROR(__xludf.DUMMYFUNCTION("""COMPUTED_VALUE"""),0.0)</f>
        <v>0</v>
      </c>
      <c r="V568" s="99">
        <f>IFERROR(__xludf.DUMMYFUNCTION("""COMPUTED_VALUE"""),0.0)</f>
        <v>0</v>
      </c>
      <c r="W568" s="99">
        <f>IFERROR(__xludf.DUMMYFUNCTION("""COMPUTED_VALUE"""),0.0)</f>
        <v>0</v>
      </c>
    </row>
    <row r="569">
      <c r="N569" s="98">
        <f>IFERROR(__xludf.DUMMYFUNCTION("""COMPUTED_VALUE"""),44083.0)</f>
        <v>44083</v>
      </c>
      <c r="O569" s="96" t="str">
        <f>IFERROR(__xludf.DUMMYFUNCTION("""COMPUTED_VALUE"""),"REIMON ALABA")</f>
        <v>REIMON ALABA</v>
      </c>
      <c r="P569" s="96" t="str">
        <f>IFERROR(__xludf.DUMMYFUNCTION("""COMPUTED_VALUE"""),"ADVANCE")</f>
        <v>ADVANCE</v>
      </c>
      <c r="Q569" s="99">
        <f>IFERROR(__xludf.DUMMYFUNCTION("""COMPUTED_VALUE"""),20000.0)</f>
        <v>20000</v>
      </c>
      <c r="R569" s="96" t="str">
        <f>IFERROR(__xludf.DUMMYFUNCTION("""COMPUTED_VALUE"""),"Prefinance")</f>
        <v>Prefinance</v>
      </c>
      <c r="S569" s="99">
        <f>IFERROR(__xludf.DUMMYFUNCTION("""COMPUTED_VALUE"""),0.0)</f>
        <v>0</v>
      </c>
      <c r="T569" s="99">
        <f>IFERROR(__xludf.DUMMYFUNCTION("""COMPUTED_VALUE"""),0.0)</f>
        <v>0</v>
      </c>
      <c r="U569" s="99">
        <f>IFERROR(__xludf.DUMMYFUNCTION("""COMPUTED_VALUE"""),0.0)</f>
        <v>0</v>
      </c>
      <c r="V569" s="99">
        <f>IFERROR(__xludf.DUMMYFUNCTION("""COMPUTED_VALUE"""),0.0)</f>
        <v>0</v>
      </c>
      <c r="W569" s="99">
        <f>IFERROR(__xludf.DUMMYFUNCTION("""COMPUTED_VALUE"""),0.0)</f>
        <v>0</v>
      </c>
    </row>
    <row r="570">
      <c r="N570" s="98">
        <f>IFERROR(__xludf.DUMMYFUNCTION("""COMPUTED_VALUE"""),44083.0)</f>
        <v>44083</v>
      </c>
      <c r="O570" s="96" t="str">
        <f>IFERROR(__xludf.DUMMYFUNCTION("""COMPUTED_VALUE"""),"NDOMA NDOMA")</f>
        <v>NDOMA NDOMA</v>
      </c>
      <c r="P570" s="96" t="str">
        <f>IFERROR(__xludf.DUMMYFUNCTION("""COMPUTED_VALUE"""),"ADVANCE ")</f>
        <v>ADVANCE </v>
      </c>
      <c r="Q570" s="99">
        <f>IFERROR(__xludf.DUMMYFUNCTION("""COMPUTED_VALUE"""),1140000.0)</f>
        <v>1140000</v>
      </c>
      <c r="R570" s="96" t="str">
        <f>IFERROR(__xludf.DUMMYFUNCTION("""COMPUTED_VALUE"""),"Prefinance")</f>
        <v>Prefinance</v>
      </c>
      <c r="S570" s="99">
        <f>IFERROR(__xludf.DUMMYFUNCTION("""COMPUTED_VALUE"""),0.0)</f>
        <v>0</v>
      </c>
      <c r="T570" s="99">
        <f>IFERROR(__xludf.DUMMYFUNCTION("""COMPUTED_VALUE"""),0.0)</f>
        <v>0</v>
      </c>
      <c r="U570" s="99">
        <f>IFERROR(__xludf.DUMMYFUNCTION("""COMPUTED_VALUE"""),0.0)</f>
        <v>0</v>
      </c>
      <c r="V570" s="99">
        <f>IFERROR(__xludf.DUMMYFUNCTION("""COMPUTED_VALUE"""),0.0)</f>
        <v>0</v>
      </c>
      <c r="W570" s="99">
        <f>IFERROR(__xludf.DUMMYFUNCTION("""COMPUTED_VALUE"""),0.0)</f>
        <v>0</v>
      </c>
    </row>
    <row r="571">
      <c r="N571" s="98">
        <f>IFERROR(__xludf.DUMMYFUNCTION("""COMPUTED_VALUE"""),44083.0)</f>
        <v>44083</v>
      </c>
      <c r="O571" s="96" t="str">
        <f>IFERROR(__xludf.DUMMYFUNCTION("""COMPUTED_VALUE"""),"CONFIDENCE")</f>
        <v>CONFIDENCE</v>
      </c>
      <c r="P571" s="96" t="str">
        <f>IFERROR(__xludf.DUMMYFUNCTION("""COMPUTED_VALUE"""),"ADVANCE (TP)")</f>
        <v>ADVANCE (TP)</v>
      </c>
      <c r="Q571" s="99">
        <f>IFERROR(__xludf.DUMMYFUNCTION("""COMPUTED_VALUE"""),500.0)</f>
        <v>500</v>
      </c>
      <c r="R571" s="96" t="str">
        <f>IFERROR(__xludf.DUMMYFUNCTION("""COMPUTED_VALUE"""),"Prefinance")</f>
        <v>Prefinance</v>
      </c>
      <c r="S571" s="99">
        <f>IFERROR(__xludf.DUMMYFUNCTION("""COMPUTED_VALUE"""),0.0)</f>
        <v>0</v>
      </c>
      <c r="T571" s="99">
        <f>IFERROR(__xludf.DUMMYFUNCTION("""COMPUTED_VALUE"""),0.0)</f>
        <v>0</v>
      </c>
      <c r="U571" s="99">
        <f>IFERROR(__xludf.DUMMYFUNCTION("""COMPUTED_VALUE"""),0.0)</f>
        <v>0</v>
      </c>
      <c r="V571" s="99">
        <f>IFERROR(__xludf.DUMMYFUNCTION("""COMPUTED_VALUE"""),0.0)</f>
        <v>0</v>
      </c>
      <c r="W571" s="99">
        <f>IFERROR(__xludf.DUMMYFUNCTION("""COMPUTED_VALUE"""),0.0)</f>
        <v>0</v>
      </c>
    </row>
    <row r="572">
      <c r="N572" s="98">
        <f>IFERROR(__xludf.DUMMYFUNCTION("""COMPUTED_VALUE"""),44083.0)</f>
        <v>44083</v>
      </c>
      <c r="O572" s="96" t="str">
        <f>IFERROR(__xludf.DUMMYFUNCTION("""COMPUTED_VALUE"""),"LABOUR  BOY")</f>
        <v>LABOUR  BOY</v>
      </c>
      <c r="P572" s="96" t="str">
        <f>IFERROR(__xludf.DUMMYFUNCTION("""COMPUTED_VALUE"""),"WAGES ADVANCE")</f>
        <v>WAGES ADVANCE</v>
      </c>
      <c r="Q572" s="99">
        <f>IFERROR(__xludf.DUMMYFUNCTION("""COMPUTED_VALUE"""),3000.0)</f>
        <v>3000</v>
      </c>
      <c r="R572" s="96" t="str">
        <f>IFERROR(__xludf.DUMMYFUNCTION("""COMPUTED_VALUE"""),"General Expenses")</f>
        <v>General Expenses</v>
      </c>
      <c r="S572" s="99">
        <f>IFERROR(__xludf.DUMMYFUNCTION("""COMPUTED_VALUE"""),0.0)</f>
        <v>0</v>
      </c>
      <c r="T572" s="99">
        <f>IFERROR(__xludf.DUMMYFUNCTION("""COMPUTED_VALUE"""),3000.0)</f>
        <v>3000</v>
      </c>
      <c r="U572" s="99">
        <f>IFERROR(__xludf.DUMMYFUNCTION("""COMPUTED_VALUE"""),0.0)</f>
        <v>0</v>
      </c>
      <c r="V572" s="99">
        <f>IFERROR(__xludf.DUMMYFUNCTION("""COMPUTED_VALUE"""),0.0)</f>
        <v>0</v>
      </c>
      <c r="W572" s="99">
        <f>IFERROR(__xludf.DUMMYFUNCTION("""COMPUTED_VALUE"""),0.0)</f>
        <v>0</v>
      </c>
    </row>
    <row r="573">
      <c r="N573" s="98">
        <f>IFERROR(__xludf.DUMMYFUNCTION("""COMPUTED_VALUE"""),44083.0)</f>
        <v>44083</v>
      </c>
      <c r="O573" s="96" t="str">
        <f>IFERROR(__xludf.DUMMYFUNCTION("""COMPUTED_VALUE"""),"DIRECTOR")</f>
        <v>DIRECTOR</v>
      </c>
      <c r="P573" s="96" t="str">
        <f>IFERROR(__xludf.DUMMYFUNCTION("""COMPUTED_VALUE"""),"PERSONAL USE")</f>
        <v>PERSONAL USE</v>
      </c>
      <c r="Q573" s="99">
        <f>IFERROR(__xludf.DUMMYFUNCTION("""COMPUTED_VALUE"""),100000.0)</f>
        <v>100000</v>
      </c>
      <c r="R573" s="96" t="str">
        <f>IFERROR(__xludf.DUMMYFUNCTION("""COMPUTED_VALUE"""),"General Expenses")</f>
        <v>General Expenses</v>
      </c>
      <c r="S573" s="99">
        <f>IFERROR(__xludf.DUMMYFUNCTION("""COMPUTED_VALUE"""),0.0)</f>
        <v>0</v>
      </c>
      <c r="T573" s="99">
        <f>IFERROR(__xludf.DUMMYFUNCTION("""COMPUTED_VALUE"""),100000.0)</f>
        <v>100000</v>
      </c>
      <c r="U573" s="99">
        <f>IFERROR(__xludf.DUMMYFUNCTION("""COMPUTED_VALUE"""),0.0)</f>
        <v>0</v>
      </c>
      <c r="V573" s="99">
        <f>IFERROR(__xludf.DUMMYFUNCTION("""COMPUTED_VALUE"""),0.0)</f>
        <v>0</v>
      </c>
      <c r="W573" s="99">
        <f>IFERROR(__xludf.DUMMYFUNCTION("""COMPUTED_VALUE"""),0.0)</f>
        <v>0</v>
      </c>
    </row>
    <row r="574">
      <c r="N574" s="98">
        <f>IFERROR(__xludf.DUMMYFUNCTION("""COMPUTED_VALUE"""),44083.0)</f>
        <v>44083</v>
      </c>
      <c r="O574" s="96" t="str">
        <f>IFERROR(__xludf.DUMMYFUNCTION("""COMPUTED_VALUE"""),"MANAGER")</f>
        <v>MANAGER</v>
      </c>
      <c r="P574" s="96" t="str">
        <f>IFERROR(__xludf.DUMMYFUNCTION("""COMPUTED_VALUE"""),"SALARY ADVANCE")</f>
        <v>SALARY ADVANCE</v>
      </c>
      <c r="Q574" s="99">
        <f>IFERROR(__xludf.DUMMYFUNCTION("""COMPUTED_VALUE"""),500.0)</f>
        <v>500</v>
      </c>
      <c r="R574" s="96" t="str">
        <f>IFERROR(__xludf.DUMMYFUNCTION("""COMPUTED_VALUE"""),"General Expenses")</f>
        <v>General Expenses</v>
      </c>
      <c r="S574" s="99">
        <f>IFERROR(__xludf.DUMMYFUNCTION("""COMPUTED_VALUE"""),0.0)</f>
        <v>0</v>
      </c>
      <c r="T574" s="99">
        <f>IFERROR(__xludf.DUMMYFUNCTION("""COMPUTED_VALUE"""),500.0)</f>
        <v>500</v>
      </c>
      <c r="U574" s="99">
        <f>IFERROR(__xludf.DUMMYFUNCTION("""COMPUTED_VALUE"""),0.0)</f>
        <v>0</v>
      </c>
      <c r="V574" s="99">
        <f>IFERROR(__xludf.DUMMYFUNCTION("""COMPUTED_VALUE"""),0.0)</f>
        <v>0</v>
      </c>
      <c r="W574" s="99">
        <f>IFERROR(__xludf.DUMMYFUNCTION("""COMPUTED_VALUE"""),0.0)</f>
        <v>0</v>
      </c>
    </row>
    <row r="575">
      <c r="N575" s="98">
        <f>IFERROR(__xludf.DUMMYFUNCTION("""COMPUTED_VALUE"""),44083.0)</f>
        <v>44083</v>
      </c>
      <c r="O575" s="96" t="str">
        <f>IFERROR(__xludf.DUMMYFUNCTION("""COMPUTED_VALUE"""),"BLESSING CHAPMAN")</f>
        <v>BLESSING CHAPMAN</v>
      </c>
      <c r="P575" s="96" t="str">
        <f>IFERROR(__xludf.DUMMYFUNCTION("""COMPUTED_VALUE"""),"CASH COLLECTED")</f>
        <v>CASH COLLECTED</v>
      </c>
      <c r="Q575" s="99">
        <f>IFERROR(__xludf.DUMMYFUNCTION("""COMPUTED_VALUE"""),106500.0)</f>
        <v>106500</v>
      </c>
      <c r="R575" s="96" t="str">
        <f>IFERROR(__xludf.DUMMYFUNCTION("""COMPUTED_VALUE"""),"Petty Cash")</f>
        <v>Petty Cash</v>
      </c>
      <c r="S575" s="99">
        <f>IFERROR(__xludf.DUMMYFUNCTION("""COMPUTED_VALUE"""),0.0)</f>
        <v>0</v>
      </c>
      <c r="T575" s="99">
        <f>IFERROR(__xludf.DUMMYFUNCTION("""COMPUTED_VALUE"""),0.0)</f>
        <v>0</v>
      </c>
      <c r="U575" s="99">
        <f>IFERROR(__xludf.DUMMYFUNCTION("""COMPUTED_VALUE"""),0.0)</f>
        <v>0</v>
      </c>
      <c r="V575" s="99">
        <f>IFERROR(__xludf.DUMMYFUNCTION("""COMPUTED_VALUE"""),106500.0)</f>
        <v>106500</v>
      </c>
      <c r="W575" s="99">
        <f>IFERROR(__xludf.DUMMYFUNCTION("""COMPUTED_VALUE"""),0.0)</f>
        <v>0</v>
      </c>
    </row>
    <row r="576">
      <c r="N576" s="98">
        <f>IFERROR(__xludf.DUMMYFUNCTION("""COMPUTED_VALUE"""),44083.0)</f>
        <v>44083</v>
      </c>
      <c r="O576" s="96" t="str">
        <f>IFERROR(__xludf.DUMMYFUNCTION("""COMPUTED_VALUE"""),"NELSON &amp; PALUS")</f>
        <v>NELSON &amp; PALUS</v>
      </c>
      <c r="P576" s="96" t="str">
        <f>IFERROR(__xludf.DUMMYFUNCTION("""COMPUTED_VALUE"""),"PAYMENT BAL.")</f>
        <v>PAYMENT BAL.</v>
      </c>
      <c r="Q576" s="99">
        <f>IFERROR(__xludf.DUMMYFUNCTION("""COMPUTED_VALUE"""),3000.0)</f>
        <v>3000</v>
      </c>
      <c r="R576" s="96" t="str">
        <f>IFERROR(__xludf.DUMMYFUNCTION("""COMPUTED_VALUE"""),"General Expenses")</f>
        <v>General Expenses</v>
      </c>
      <c r="S576" s="99">
        <f>IFERROR(__xludf.DUMMYFUNCTION("""COMPUTED_VALUE"""),0.0)</f>
        <v>0</v>
      </c>
      <c r="T576" s="99">
        <f>IFERROR(__xludf.DUMMYFUNCTION("""COMPUTED_VALUE"""),3000.0)</f>
        <v>3000</v>
      </c>
      <c r="U576" s="99">
        <f>IFERROR(__xludf.DUMMYFUNCTION("""COMPUTED_VALUE"""),0.0)</f>
        <v>0</v>
      </c>
      <c r="V576" s="99">
        <f>IFERROR(__xludf.DUMMYFUNCTION("""COMPUTED_VALUE"""),0.0)</f>
        <v>0</v>
      </c>
      <c r="W576" s="99">
        <f>IFERROR(__xludf.DUMMYFUNCTION("""COMPUTED_VALUE"""),0.0)</f>
        <v>0</v>
      </c>
    </row>
    <row r="577">
      <c r="N577" s="98">
        <f>IFERROR(__xludf.DUMMYFUNCTION("""COMPUTED_VALUE"""),44083.0)</f>
        <v>44083</v>
      </c>
      <c r="O577" s="96" t="str">
        <f>IFERROR(__xludf.DUMMYFUNCTION("""COMPUTED_VALUE"""),"MANAGER")</f>
        <v>MANAGER</v>
      </c>
      <c r="P577" s="96" t="str">
        <f>IFERROR(__xludf.DUMMYFUNCTION("""COMPUTED_VALUE"""),"CASH-IN")</f>
        <v>CASH-IN</v>
      </c>
      <c r="Q577" s="99">
        <f>IFERROR(__xludf.DUMMYFUNCTION("""COMPUTED_VALUE"""),1400000.0)</f>
        <v>1400000</v>
      </c>
      <c r="R577" s="96" t="str">
        <f>IFERROR(__xludf.DUMMYFUNCTION("""COMPUTED_VALUE"""),"From Bank")</f>
        <v>From Bank</v>
      </c>
      <c r="S577" s="99">
        <f>IFERROR(__xludf.DUMMYFUNCTION("""COMPUTED_VALUE"""),0.0)</f>
        <v>0</v>
      </c>
      <c r="T577" s="99">
        <f>IFERROR(__xludf.DUMMYFUNCTION("""COMPUTED_VALUE"""),0.0)</f>
        <v>0</v>
      </c>
      <c r="U577" s="99">
        <f>IFERROR(__xludf.DUMMYFUNCTION("""COMPUTED_VALUE"""),1400000.0)</f>
        <v>1400000</v>
      </c>
      <c r="V577" s="99">
        <f>IFERROR(__xludf.DUMMYFUNCTION("""COMPUTED_VALUE"""),0.0)</f>
        <v>0</v>
      </c>
      <c r="W577" s="99">
        <f>IFERROR(__xludf.DUMMYFUNCTION("""COMPUTED_VALUE"""),0.0)</f>
        <v>0</v>
      </c>
    </row>
    <row r="578">
      <c r="N578" s="98">
        <f>IFERROR(__xludf.DUMMYFUNCTION("""COMPUTED_VALUE"""),44083.0)</f>
        <v>44083</v>
      </c>
      <c r="O578" s="96" t="str">
        <f>IFERROR(__xludf.DUMMYFUNCTION("""COMPUTED_VALUE"""),"DIRECTOR")</f>
        <v>DIRECTOR</v>
      </c>
      <c r="P578" s="96" t="str">
        <f>IFERROR(__xludf.DUMMYFUNCTION("""COMPUTED_VALUE"""),"ADVANCE TRANSFERED")</f>
        <v>ADVANCE TRANSFERED</v>
      </c>
      <c r="Q578" s="99">
        <f>IFERROR(__xludf.DUMMYFUNCTION("""COMPUTED_VALUE"""),700000.0)</f>
        <v>700000</v>
      </c>
      <c r="R578" s="96" t="str">
        <f>IFERROR(__xludf.DUMMYFUNCTION("""COMPUTED_VALUE"""),"From Bank")</f>
        <v>From Bank</v>
      </c>
      <c r="S578" s="99">
        <f>IFERROR(__xludf.DUMMYFUNCTION("""COMPUTED_VALUE"""),0.0)</f>
        <v>0</v>
      </c>
      <c r="T578" s="99">
        <f>IFERROR(__xludf.DUMMYFUNCTION("""COMPUTED_VALUE"""),0.0)</f>
        <v>0</v>
      </c>
      <c r="U578" s="99">
        <f>IFERROR(__xludf.DUMMYFUNCTION("""COMPUTED_VALUE"""),700000.0)</f>
        <v>700000</v>
      </c>
      <c r="V578" s="99">
        <f>IFERROR(__xludf.DUMMYFUNCTION("""COMPUTED_VALUE"""),0.0)</f>
        <v>0</v>
      </c>
      <c r="W578" s="99">
        <f>IFERROR(__xludf.DUMMYFUNCTION("""COMPUTED_VALUE"""),0.0)</f>
        <v>0</v>
      </c>
    </row>
    <row r="579">
      <c r="N579" s="98">
        <f>IFERROR(__xludf.DUMMYFUNCTION("""COMPUTED_VALUE"""),44084.0)</f>
        <v>44084</v>
      </c>
      <c r="O579" s="96" t="str">
        <f>IFERROR(__xludf.DUMMYFUNCTION("""COMPUTED_VALUE"""),"NDOMA PETER")</f>
        <v>NDOMA PETER</v>
      </c>
      <c r="P579" s="96" t="str">
        <f>IFERROR(__xludf.DUMMYFUNCTION("""COMPUTED_VALUE"""),"ADVANCE")</f>
        <v>ADVANCE</v>
      </c>
      <c r="Q579" s="99">
        <f>IFERROR(__xludf.DUMMYFUNCTION("""COMPUTED_VALUE"""),200000.0)</f>
        <v>200000</v>
      </c>
      <c r="R579" s="96" t="str">
        <f>IFERROR(__xludf.DUMMYFUNCTION("""COMPUTED_VALUE"""),"Prefinance")</f>
        <v>Prefinance</v>
      </c>
      <c r="S579" s="99">
        <f>IFERROR(__xludf.DUMMYFUNCTION("""COMPUTED_VALUE"""),0.0)</f>
        <v>0</v>
      </c>
      <c r="T579" s="99">
        <f>IFERROR(__xludf.DUMMYFUNCTION("""COMPUTED_VALUE"""),0.0)</f>
        <v>0</v>
      </c>
      <c r="U579" s="99">
        <f>IFERROR(__xludf.DUMMYFUNCTION("""COMPUTED_VALUE"""),0.0)</f>
        <v>0</v>
      </c>
      <c r="V579" s="99">
        <f>IFERROR(__xludf.DUMMYFUNCTION("""COMPUTED_VALUE"""),0.0)</f>
        <v>0</v>
      </c>
      <c r="W579" s="99">
        <f>IFERROR(__xludf.DUMMYFUNCTION("""COMPUTED_VALUE"""),0.0)</f>
        <v>0</v>
      </c>
    </row>
    <row r="580">
      <c r="N580" s="98">
        <f>IFERROR(__xludf.DUMMYFUNCTION("""COMPUTED_VALUE"""),44084.0)</f>
        <v>44084</v>
      </c>
      <c r="O580" s="96" t="str">
        <f>IFERROR(__xludf.DUMMYFUNCTION("""COMPUTED_VALUE"""),"CONFIDENCE")</f>
        <v>CONFIDENCE</v>
      </c>
      <c r="P580" s="96" t="str">
        <f>IFERROR(__xludf.DUMMYFUNCTION("""COMPUTED_VALUE"""),"ADVANCE")</f>
        <v>ADVANCE</v>
      </c>
      <c r="Q580" s="99">
        <f>IFERROR(__xludf.DUMMYFUNCTION("""COMPUTED_VALUE"""),49500.0)</f>
        <v>49500</v>
      </c>
      <c r="R580" s="96" t="str">
        <f>IFERROR(__xludf.DUMMYFUNCTION("""COMPUTED_VALUE"""),"Prefinance")</f>
        <v>Prefinance</v>
      </c>
      <c r="S580" s="99">
        <f>IFERROR(__xludf.DUMMYFUNCTION("""COMPUTED_VALUE"""),0.0)</f>
        <v>0</v>
      </c>
      <c r="T580" s="99">
        <f>IFERROR(__xludf.DUMMYFUNCTION("""COMPUTED_VALUE"""),0.0)</f>
        <v>0</v>
      </c>
      <c r="U580" s="99">
        <f>IFERROR(__xludf.DUMMYFUNCTION("""COMPUTED_VALUE"""),0.0)</f>
        <v>0</v>
      </c>
      <c r="V580" s="99">
        <f>IFERROR(__xludf.DUMMYFUNCTION("""COMPUTED_VALUE"""),0.0)</f>
        <v>0</v>
      </c>
      <c r="W580" s="99">
        <f>IFERROR(__xludf.DUMMYFUNCTION("""COMPUTED_VALUE"""),0.0)</f>
        <v>0</v>
      </c>
    </row>
    <row r="581">
      <c r="N581" s="98">
        <f>IFERROR(__xludf.DUMMYFUNCTION("""COMPUTED_VALUE"""),44084.0)</f>
        <v>44084</v>
      </c>
      <c r="O581" s="96" t="str">
        <f>IFERROR(__xludf.DUMMYFUNCTION("""COMPUTED_VALUE"""),"LABOUR  BOY")</f>
        <v>LABOUR  BOY</v>
      </c>
      <c r="P581" s="96" t="str">
        <f>IFERROR(__xludf.DUMMYFUNCTION("""COMPUTED_VALUE"""),"WAGES ADVANCE")</f>
        <v>WAGES ADVANCE</v>
      </c>
      <c r="Q581" s="99">
        <f>IFERROR(__xludf.DUMMYFUNCTION("""COMPUTED_VALUE"""),500.0)</f>
        <v>500</v>
      </c>
      <c r="R581" s="96" t="str">
        <f>IFERROR(__xludf.DUMMYFUNCTION("""COMPUTED_VALUE"""),"General Expenses")</f>
        <v>General Expenses</v>
      </c>
      <c r="S581" s="99">
        <f>IFERROR(__xludf.DUMMYFUNCTION("""COMPUTED_VALUE"""),0.0)</f>
        <v>0</v>
      </c>
      <c r="T581" s="99">
        <f>IFERROR(__xludf.DUMMYFUNCTION("""COMPUTED_VALUE"""),500.0)</f>
        <v>500</v>
      </c>
      <c r="U581" s="99">
        <f>IFERROR(__xludf.DUMMYFUNCTION("""COMPUTED_VALUE"""),0.0)</f>
        <v>0</v>
      </c>
      <c r="V581" s="99">
        <f>IFERROR(__xludf.DUMMYFUNCTION("""COMPUTED_VALUE"""),0.0)</f>
        <v>0</v>
      </c>
      <c r="W581" s="99">
        <f>IFERROR(__xludf.DUMMYFUNCTION("""COMPUTED_VALUE"""),0.0)</f>
        <v>0</v>
      </c>
    </row>
    <row r="582">
      <c r="N582" s="98">
        <f>IFERROR(__xludf.DUMMYFUNCTION("""COMPUTED_VALUE"""),44084.0)</f>
        <v>44084</v>
      </c>
      <c r="O582" s="96" t="str">
        <f>IFERROR(__xludf.DUMMYFUNCTION("""COMPUTED_VALUE"""),"ABANGS. HNSON")</f>
        <v>ABANGS. HNSON</v>
      </c>
      <c r="P582" s="96" t="str">
        <f>IFERROR(__xludf.DUMMYFUNCTION("""COMPUTED_VALUE"""),"CHEMICAL")</f>
        <v>CHEMICAL</v>
      </c>
      <c r="Q582" s="99">
        <f>IFERROR(__xludf.DUMMYFUNCTION("""COMPUTED_VALUE"""),74000.0)</f>
        <v>74000</v>
      </c>
      <c r="R582" s="96" t="str">
        <f>IFERROR(__xludf.DUMMYFUNCTION("""COMPUTED_VALUE"""),"Prefinance")</f>
        <v>Prefinance</v>
      </c>
      <c r="S582" s="99">
        <f>IFERROR(__xludf.DUMMYFUNCTION("""COMPUTED_VALUE"""),0.0)</f>
        <v>0</v>
      </c>
      <c r="T582" s="99">
        <f>IFERROR(__xludf.DUMMYFUNCTION("""COMPUTED_VALUE"""),0.0)</f>
        <v>0</v>
      </c>
      <c r="U582" s="99">
        <f>IFERROR(__xludf.DUMMYFUNCTION("""COMPUTED_VALUE"""),0.0)</f>
        <v>0</v>
      </c>
      <c r="V582" s="99">
        <f>IFERROR(__xludf.DUMMYFUNCTION("""COMPUTED_VALUE"""),0.0)</f>
        <v>0</v>
      </c>
      <c r="W582" s="99">
        <f>IFERROR(__xludf.DUMMYFUNCTION("""COMPUTED_VALUE"""),0.0)</f>
        <v>0</v>
      </c>
    </row>
    <row r="583">
      <c r="N583" s="98">
        <f>IFERROR(__xludf.DUMMYFUNCTION("""COMPUTED_VALUE"""),44084.0)</f>
        <v>44084</v>
      </c>
      <c r="O583" s="96" t="str">
        <f>IFERROR(__xludf.DUMMYFUNCTION("""COMPUTED_VALUE"""),"BLESSING CHAPMAN")</f>
        <v>BLESSING CHAPMAN</v>
      </c>
      <c r="P583" s="96" t="str">
        <f>IFERROR(__xludf.DUMMYFUNCTION("""COMPUTED_VALUE"""),"CASH COLLECTED")</f>
        <v>CASH COLLECTED</v>
      </c>
      <c r="Q583" s="99">
        <f>IFERROR(__xludf.DUMMYFUNCTION("""COMPUTED_VALUE"""),500.0)</f>
        <v>500</v>
      </c>
      <c r="R583" s="96" t="str">
        <f>IFERROR(__xludf.DUMMYFUNCTION("""COMPUTED_VALUE"""),"Petty Cash")</f>
        <v>Petty Cash</v>
      </c>
      <c r="S583" s="99">
        <f>IFERROR(__xludf.DUMMYFUNCTION("""COMPUTED_VALUE"""),0.0)</f>
        <v>0</v>
      </c>
      <c r="T583" s="99">
        <f>IFERROR(__xludf.DUMMYFUNCTION("""COMPUTED_VALUE"""),0.0)</f>
        <v>0</v>
      </c>
      <c r="U583" s="99">
        <f>IFERROR(__xludf.DUMMYFUNCTION("""COMPUTED_VALUE"""),0.0)</f>
        <v>0</v>
      </c>
      <c r="V583" s="99">
        <f>IFERROR(__xludf.DUMMYFUNCTION("""COMPUTED_VALUE"""),500.0)</f>
        <v>500</v>
      </c>
      <c r="W583" s="99">
        <f>IFERROR(__xludf.DUMMYFUNCTION("""COMPUTED_VALUE"""),0.0)</f>
        <v>0</v>
      </c>
    </row>
    <row r="584">
      <c r="N584" s="98">
        <f>IFERROR(__xludf.DUMMYFUNCTION("""COMPUTED_VALUE"""),44085.0)</f>
        <v>44085</v>
      </c>
      <c r="O584" s="96" t="str">
        <f>IFERROR(__xludf.DUMMYFUNCTION("""COMPUTED_VALUE"""),"BOSURU  BOSURU")</f>
        <v>BOSURU  BOSURU</v>
      </c>
      <c r="P584" s="96" t="str">
        <f>IFERROR(__xludf.DUMMYFUNCTION("""COMPUTED_VALUE"""),"SUPPORT")</f>
        <v>SUPPORT</v>
      </c>
      <c r="Q584" s="99">
        <f>IFERROR(__xludf.DUMMYFUNCTION("""COMPUTED_VALUE"""),500000.0)</f>
        <v>500000</v>
      </c>
      <c r="R584" s="96" t="str">
        <f>IFERROR(__xludf.DUMMYFUNCTION("""COMPUTED_VALUE"""),"Prefinance")</f>
        <v>Prefinance</v>
      </c>
      <c r="S584" s="99">
        <f>IFERROR(__xludf.DUMMYFUNCTION("""COMPUTED_VALUE"""),0.0)</f>
        <v>0</v>
      </c>
      <c r="T584" s="99">
        <f>IFERROR(__xludf.DUMMYFUNCTION("""COMPUTED_VALUE"""),0.0)</f>
        <v>0</v>
      </c>
      <c r="U584" s="99">
        <f>IFERROR(__xludf.DUMMYFUNCTION("""COMPUTED_VALUE"""),0.0)</f>
        <v>0</v>
      </c>
      <c r="V584" s="99">
        <f>IFERROR(__xludf.DUMMYFUNCTION("""COMPUTED_VALUE"""),0.0)</f>
        <v>0</v>
      </c>
      <c r="W584" s="99">
        <f>IFERROR(__xludf.DUMMYFUNCTION("""COMPUTED_VALUE"""),0.0)</f>
        <v>0</v>
      </c>
    </row>
    <row r="585">
      <c r="N585" s="98">
        <f>IFERROR(__xludf.DUMMYFUNCTION("""COMPUTED_VALUE"""),44085.0)</f>
        <v>44085</v>
      </c>
      <c r="O585" s="96" t="str">
        <f>IFERROR(__xludf.DUMMYFUNCTION("""COMPUTED_VALUE""")," MAXWELL AGRO")</f>
        <v> MAXWELL AGRO</v>
      </c>
      <c r="P585" s="96" t="str">
        <f>IFERROR(__xludf.DUMMYFUNCTION("""COMPUTED_VALUE"""),"ADVANCE ")</f>
        <v>ADVANCE </v>
      </c>
      <c r="Q585" s="99">
        <f>IFERROR(__xludf.DUMMYFUNCTION("""COMPUTED_VALUE"""),192580.0)</f>
        <v>192580</v>
      </c>
      <c r="R585" s="96" t="str">
        <f>IFERROR(__xludf.DUMMYFUNCTION("""COMPUTED_VALUE"""),"Prefinance")</f>
        <v>Prefinance</v>
      </c>
      <c r="S585" s="99">
        <f>IFERROR(__xludf.DUMMYFUNCTION("""COMPUTED_VALUE"""),0.0)</f>
        <v>0</v>
      </c>
      <c r="T585" s="99">
        <f>IFERROR(__xludf.DUMMYFUNCTION("""COMPUTED_VALUE"""),0.0)</f>
        <v>0</v>
      </c>
      <c r="U585" s="99">
        <f>IFERROR(__xludf.DUMMYFUNCTION("""COMPUTED_VALUE"""),0.0)</f>
        <v>0</v>
      </c>
      <c r="V585" s="99">
        <f>IFERROR(__xludf.DUMMYFUNCTION("""COMPUTED_VALUE"""),0.0)</f>
        <v>0</v>
      </c>
      <c r="W585" s="99">
        <f>IFERROR(__xludf.DUMMYFUNCTION("""COMPUTED_VALUE"""),0.0)</f>
        <v>0</v>
      </c>
    </row>
    <row r="586">
      <c r="N586" s="98">
        <f>IFERROR(__xludf.DUMMYFUNCTION("""COMPUTED_VALUE"""),44085.0)</f>
        <v>44085</v>
      </c>
      <c r="O586" s="96" t="str">
        <f>IFERROR(__xludf.DUMMYFUNCTION("""COMPUTED_VALUE"""),"NDOMA NDOMA")</f>
        <v>NDOMA NDOMA</v>
      </c>
      <c r="P586" s="96" t="str">
        <f>IFERROR(__xludf.DUMMYFUNCTION("""COMPUTED_VALUE"""),"ADVANCE ")</f>
        <v>ADVANCE </v>
      </c>
      <c r="Q586" s="99">
        <f>IFERROR(__xludf.DUMMYFUNCTION("""COMPUTED_VALUE"""),790000.0)</f>
        <v>790000</v>
      </c>
      <c r="R586" s="96" t="str">
        <f>IFERROR(__xludf.DUMMYFUNCTION("""COMPUTED_VALUE"""),"Prefinance")</f>
        <v>Prefinance</v>
      </c>
      <c r="S586" s="99">
        <f>IFERROR(__xludf.DUMMYFUNCTION("""COMPUTED_VALUE"""),0.0)</f>
        <v>0</v>
      </c>
      <c r="T586" s="99">
        <f>IFERROR(__xludf.DUMMYFUNCTION("""COMPUTED_VALUE"""),0.0)</f>
        <v>0</v>
      </c>
      <c r="U586" s="99">
        <f>IFERROR(__xludf.DUMMYFUNCTION("""COMPUTED_VALUE"""),0.0)</f>
        <v>0</v>
      </c>
      <c r="V586" s="99">
        <f>IFERROR(__xludf.DUMMYFUNCTION("""COMPUTED_VALUE"""),0.0)</f>
        <v>0</v>
      </c>
      <c r="W586" s="99">
        <f>IFERROR(__xludf.DUMMYFUNCTION("""COMPUTED_VALUE"""),0.0)</f>
        <v>0</v>
      </c>
    </row>
    <row r="587">
      <c r="N587" s="98">
        <f>IFERROR(__xludf.DUMMYFUNCTION("""COMPUTED_VALUE"""),44085.0)</f>
        <v>44085</v>
      </c>
      <c r="O587" s="96" t="str">
        <f>IFERROR(__xludf.DUMMYFUNCTION("""COMPUTED_VALUE"""),"AUGUSTINE IGBA")</f>
        <v>AUGUSTINE IGBA</v>
      </c>
      <c r="P587" s="96" t="str">
        <f>IFERROR(__xludf.DUMMYFUNCTION("""COMPUTED_VALUE"""),"ADVANCE ")</f>
        <v>ADVANCE </v>
      </c>
      <c r="Q587" s="99">
        <f>IFERROR(__xludf.DUMMYFUNCTION("""COMPUTED_VALUE"""),3000000.0)</f>
        <v>3000000</v>
      </c>
      <c r="R587" s="96" t="str">
        <f>IFERROR(__xludf.DUMMYFUNCTION("""COMPUTED_VALUE"""),"Prefinance")</f>
        <v>Prefinance</v>
      </c>
      <c r="S587" s="99">
        <f>IFERROR(__xludf.DUMMYFUNCTION("""COMPUTED_VALUE"""),0.0)</f>
        <v>0</v>
      </c>
      <c r="T587" s="99">
        <f>IFERROR(__xludf.DUMMYFUNCTION("""COMPUTED_VALUE"""),0.0)</f>
        <v>0</v>
      </c>
      <c r="U587" s="99">
        <f>IFERROR(__xludf.DUMMYFUNCTION("""COMPUTED_VALUE"""),0.0)</f>
        <v>0</v>
      </c>
      <c r="V587" s="99">
        <f>IFERROR(__xludf.DUMMYFUNCTION("""COMPUTED_VALUE"""),0.0)</f>
        <v>0</v>
      </c>
      <c r="W587" s="99">
        <f>IFERROR(__xludf.DUMMYFUNCTION("""COMPUTED_VALUE"""),0.0)</f>
        <v>0</v>
      </c>
    </row>
    <row r="588">
      <c r="N588" s="98">
        <f>IFERROR(__xludf.DUMMYFUNCTION("""COMPUTED_VALUE"""),44085.0)</f>
        <v>44085</v>
      </c>
      <c r="O588" s="96" t="str">
        <f>IFERROR(__xludf.DUMMYFUNCTION("""COMPUTED_VALUE"""),"PAPA AJASCO BETTE")</f>
        <v>PAPA AJASCO BETTE</v>
      </c>
      <c r="P588" s="96" t="str">
        <f>IFERROR(__xludf.DUMMYFUNCTION("""COMPUTED_VALUE"""),"CHEMICAL")</f>
        <v>CHEMICAL</v>
      </c>
      <c r="Q588" s="99">
        <f>IFERROR(__xludf.DUMMYFUNCTION("""COMPUTED_VALUE"""),160000.0)</f>
        <v>160000</v>
      </c>
      <c r="R588" s="96" t="str">
        <f>IFERROR(__xludf.DUMMYFUNCTION("""COMPUTED_VALUE"""),"Prefinance")</f>
        <v>Prefinance</v>
      </c>
      <c r="S588" s="99">
        <f>IFERROR(__xludf.DUMMYFUNCTION("""COMPUTED_VALUE"""),0.0)</f>
        <v>0</v>
      </c>
      <c r="T588" s="99">
        <f>IFERROR(__xludf.DUMMYFUNCTION("""COMPUTED_VALUE"""),0.0)</f>
        <v>0</v>
      </c>
      <c r="U588" s="99">
        <f>IFERROR(__xludf.DUMMYFUNCTION("""COMPUTED_VALUE"""),0.0)</f>
        <v>0</v>
      </c>
      <c r="V588" s="99">
        <f>IFERROR(__xludf.DUMMYFUNCTION("""COMPUTED_VALUE"""),0.0)</f>
        <v>0</v>
      </c>
      <c r="W588" s="99">
        <f>IFERROR(__xludf.DUMMYFUNCTION("""COMPUTED_VALUE"""),0.0)</f>
        <v>0</v>
      </c>
    </row>
    <row r="589">
      <c r="N589" s="98">
        <f>IFERROR(__xludf.DUMMYFUNCTION("""COMPUTED_VALUE"""),44085.0)</f>
        <v>44085</v>
      </c>
      <c r="O589" s="96" t="str">
        <f>IFERROR(__xludf.DUMMYFUNCTION("""COMPUTED_VALUE"""),"CONFIDENCE")</f>
        <v>CONFIDENCE</v>
      </c>
      <c r="P589" s="96" t="str">
        <f>IFERROR(__xludf.DUMMYFUNCTION("""COMPUTED_VALUE"""),"CAR ADVANCE")</f>
        <v>CAR ADVANCE</v>
      </c>
      <c r="Q589" s="99">
        <f>IFERROR(__xludf.DUMMYFUNCTION("""COMPUTED_VALUE"""),1930000.0)</f>
        <v>1930000</v>
      </c>
      <c r="R589" s="96" t="str">
        <f>IFERROR(__xludf.DUMMYFUNCTION("""COMPUTED_VALUE"""),"Prefinance")</f>
        <v>Prefinance</v>
      </c>
      <c r="S589" s="99">
        <f>IFERROR(__xludf.DUMMYFUNCTION("""COMPUTED_VALUE"""),0.0)</f>
        <v>0</v>
      </c>
      <c r="T589" s="99">
        <f>IFERROR(__xludf.DUMMYFUNCTION("""COMPUTED_VALUE"""),0.0)</f>
        <v>0</v>
      </c>
      <c r="U589" s="99">
        <f>IFERROR(__xludf.DUMMYFUNCTION("""COMPUTED_VALUE"""),0.0)</f>
        <v>0</v>
      </c>
      <c r="V589" s="99">
        <f>IFERROR(__xludf.DUMMYFUNCTION("""COMPUTED_VALUE"""),0.0)</f>
        <v>0</v>
      </c>
      <c r="W589" s="99">
        <f>IFERROR(__xludf.DUMMYFUNCTION("""COMPUTED_VALUE"""),0.0)</f>
        <v>0</v>
      </c>
    </row>
    <row r="590">
      <c r="N590" s="98">
        <f>IFERROR(__xludf.DUMMYFUNCTION("""COMPUTED_VALUE"""),44085.0)</f>
        <v>44085</v>
      </c>
      <c r="O590" s="96" t="str">
        <f>IFERROR(__xludf.DUMMYFUNCTION("""COMPUTED_VALUE"""),"EDWARD OKO")</f>
        <v>EDWARD OKO</v>
      </c>
      <c r="P590" s="96" t="str">
        <f>IFERROR(__xludf.DUMMYFUNCTION("""COMPUTED_VALUE"""),"ADVANCE")</f>
        <v>ADVANCE</v>
      </c>
      <c r="Q590" s="99">
        <f>IFERROR(__xludf.DUMMYFUNCTION("""COMPUTED_VALUE"""),9500000.0)</f>
        <v>9500000</v>
      </c>
      <c r="R590" s="96" t="str">
        <f>IFERROR(__xludf.DUMMYFUNCTION("""COMPUTED_VALUE"""),"Prefinance")</f>
        <v>Prefinance</v>
      </c>
      <c r="S590" s="99">
        <f>IFERROR(__xludf.DUMMYFUNCTION("""COMPUTED_VALUE"""),0.0)</f>
        <v>0</v>
      </c>
      <c r="T590" s="99">
        <f>IFERROR(__xludf.DUMMYFUNCTION("""COMPUTED_VALUE"""),0.0)</f>
        <v>0</v>
      </c>
      <c r="U590" s="99">
        <f>IFERROR(__xludf.DUMMYFUNCTION("""COMPUTED_VALUE"""),0.0)</f>
        <v>0</v>
      </c>
      <c r="V590" s="99">
        <f>IFERROR(__xludf.DUMMYFUNCTION("""COMPUTED_VALUE"""),0.0)</f>
        <v>0</v>
      </c>
      <c r="W590" s="99">
        <f>IFERROR(__xludf.DUMMYFUNCTION("""COMPUTED_VALUE"""),0.0)</f>
        <v>0</v>
      </c>
    </row>
    <row r="591">
      <c r="N591" s="98">
        <f>IFERROR(__xludf.DUMMYFUNCTION("""COMPUTED_VALUE"""),44085.0)</f>
        <v>44085</v>
      </c>
      <c r="O591" s="96" t="str">
        <f>IFERROR(__xludf.DUMMYFUNCTION("""COMPUTED_VALUE"""),"FRANCIS KEIBO")</f>
        <v>FRANCIS KEIBO</v>
      </c>
      <c r="P591" s="96" t="str">
        <f>IFERROR(__xludf.DUMMYFUNCTION("""COMPUTED_VALUE"""),"ADVANCE")</f>
        <v>ADVANCE</v>
      </c>
      <c r="Q591" s="99">
        <f>IFERROR(__xludf.DUMMYFUNCTION("""COMPUTED_VALUE"""),100000.0)</f>
        <v>100000</v>
      </c>
      <c r="R591" s="96" t="str">
        <f>IFERROR(__xludf.DUMMYFUNCTION("""COMPUTED_VALUE"""),"Prefinance")</f>
        <v>Prefinance</v>
      </c>
      <c r="S591" s="99">
        <f>IFERROR(__xludf.DUMMYFUNCTION("""COMPUTED_VALUE"""),0.0)</f>
        <v>0</v>
      </c>
      <c r="T591" s="99">
        <f>IFERROR(__xludf.DUMMYFUNCTION("""COMPUTED_VALUE"""),0.0)</f>
        <v>0</v>
      </c>
      <c r="U591" s="99">
        <f>IFERROR(__xludf.DUMMYFUNCTION("""COMPUTED_VALUE"""),0.0)</f>
        <v>0</v>
      </c>
      <c r="V591" s="99">
        <f>IFERROR(__xludf.DUMMYFUNCTION("""COMPUTED_VALUE"""),0.0)</f>
        <v>0</v>
      </c>
      <c r="W591" s="99">
        <f>IFERROR(__xludf.DUMMYFUNCTION("""COMPUTED_VALUE"""),0.0)</f>
        <v>0</v>
      </c>
    </row>
    <row r="592">
      <c r="N592" s="98">
        <f>IFERROR(__xludf.DUMMYFUNCTION("""COMPUTED_VALUE"""),44085.0)</f>
        <v>44085</v>
      </c>
      <c r="O592" s="96" t="str">
        <f>IFERROR(__xludf.DUMMYFUNCTION("""COMPUTED_VALUE"""),"AGEGE BOY")</f>
        <v>AGEGE BOY</v>
      </c>
      <c r="P592" s="96" t="str">
        <f>IFERROR(__xludf.DUMMYFUNCTION("""COMPUTED_VALUE"""),"ADVANCE")</f>
        <v>ADVANCE</v>
      </c>
      <c r="Q592" s="99">
        <f>IFERROR(__xludf.DUMMYFUNCTION("""COMPUTED_VALUE"""),311280.0)</f>
        <v>311280</v>
      </c>
      <c r="R592" s="96" t="str">
        <f>IFERROR(__xludf.DUMMYFUNCTION("""COMPUTED_VALUE"""),"Prefinance")</f>
        <v>Prefinance</v>
      </c>
      <c r="S592" s="99">
        <f>IFERROR(__xludf.DUMMYFUNCTION("""COMPUTED_VALUE"""),0.0)</f>
        <v>0</v>
      </c>
      <c r="T592" s="99">
        <f>IFERROR(__xludf.DUMMYFUNCTION("""COMPUTED_VALUE"""),0.0)</f>
        <v>0</v>
      </c>
      <c r="U592" s="99">
        <f>IFERROR(__xludf.DUMMYFUNCTION("""COMPUTED_VALUE"""),0.0)</f>
        <v>0</v>
      </c>
      <c r="V592" s="99">
        <f>IFERROR(__xludf.DUMMYFUNCTION("""COMPUTED_VALUE"""),0.0)</f>
        <v>0</v>
      </c>
      <c r="W592" s="99">
        <f>IFERROR(__xludf.DUMMYFUNCTION("""COMPUTED_VALUE"""),0.0)</f>
        <v>0</v>
      </c>
    </row>
    <row r="593">
      <c r="N593" s="98">
        <f>IFERROR(__xludf.DUMMYFUNCTION("""COMPUTED_VALUE"""),44085.0)</f>
        <v>44085</v>
      </c>
      <c r="O593" s="96" t="str">
        <f>IFERROR(__xludf.DUMMYFUNCTION("""COMPUTED_VALUE"""),"MATIAT REINA")</f>
        <v>MATIAT REINA</v>
      </c>
      <c r="P593" s="96" t="str">
        <f>IFERROR(__xludf.DUMMYFUNCTION("""COMPUTED_VALUE"""),"ADVANCE")</f>
        <v>ADVANCE</v>
      </c>
      <c r="Q593" s="99">
        <f>IFERROR(__xludf.DUMMYFUNCTION("""COMPUTED_VALUE"""),50000.0)</f>
        <v>50000</v>
      </c>
      <c r="R593" s="96" t="str">
        <f>IFERROR(__xludf.DUMMYFUNCTION("""COMPUTED_VALUE"""),"Prefinance")</f>
        <v>Prefinance</v>
      </c>
      <c r="S593" s="99">
        <f>IFERROR(__xludf.DUMMYFUNCTION("""COMPUTED_VALUE"""),0.0)</f>
        <v>0</v>
      </c>
      <c r="T593" s="99">
        <f>IFERROR(__xludf.DUMMYFUNCTION("""COMPUTED_VALUE"""),0.0)</f>
        <v>0</v>
      </c>
      <c r="U593" s="99">
        <f>IFERROR(__xludf.DUMMYFUNCTION("""COMPUTED_VALUE"""),0.0)</f>
        <v>0</v>
      </c>
      <c r="V593" s="99">
        <f>IFERROR(__xludf.DUMMYFUNCTION("""COMPUTED_VALUE"""),0.0)</f>
        <v>0</v>
      </c>
      <c r="W593" s="99">
        <f>IFERROR(__xludf.DUMMYFUNCTION("""COMPUTED_VALUE"""),0.0)</f>
        <v>0</v>
      </c>
    </row>
    <row r="594">
      <c r="N594" s="98">
        <f>IFERROR(__xludf.DUMMYFUNCTION("""COMPUTED_VALUE"""),44085.0)</f>
        <v>44085</v>
      </c>
      <c r="O594" s="96" t="str">
        <f>IFERROR(__xludf.DUMMYFUNCTION("""COMPUTED_VALUE"""),"OSIM MARIAM")</f>
        <v>OSIM MARIAM</v>
      </c>
      <c r="P594" s="96" t="str">
        <f>IFERROR(__xludf.DUMMYFUNCTION("""COMPUTED_VALUE"""),"ADVANCE")</f>
        <v>ADVANCE</v>
      </c>
      <c r="Q594" s="99">
        <f>IFERROR(__xludf.DUMMYFUNCTION("""COMPUTED_VALUE"""),250000.0)</f>
        <v>250000</v>
      </c>
      <c r="R594" s="96" t="str">
        <f>IFERROR(__xludf.DUMMYFUNCTION("""COMPUTED_VALUE"""),"Prefinance")</f>
        <v>Prefinance</v>
      </c>
      <c r="S594" s="99">
        <f>IFERROR(__xludf.DUMMYFUNCTION("""COMPUTED_VALUE"""),0.0)</f>
        <v>0</v>
      </c>
      <c r="T594" s="99">
        <f>IFERROR(__xludf.DUMMYFUNCTION("""COMPUTED_VALUE"""),0.0)</f>
        <v>0</v>
      </c>
      <c r="U594" s="99">
        <f>IFERROR(__xludf.DUMMYFUNCTION("""COMPUTED_VALUE"""),0.0)</f>
        <v>0</v>
      </c>
      <c r="V594" s="99">
        <f>IFERROR(__xludf.DUMMYFUNCTION("""COMPUTED_VALUE"""),0.0)</f>
        <v>0</v>
      </c>
      <c r="W594" s="99">
        <f>IFERROR(__xludf.DUMMYFUNCTION("""COMPUTED_VALUE"""),0.0)</f>
        <v>0</v>
      </c>
    </row>
    <row r="595">
      <c r="N595" s="98">
        <f>IFERROR(__xludf.DUMMYFUNCTION("""COMPUTED_VALUE"""),44085.0)</f>
        <v>44085</v>
      </c>
      <c r="O595" s="96" t="str">
        <f>IFERROR(__xludf.DUMMYFUNCTION("""COMPUTED_VALUE"""),"PRINNESS")</f>
        <v>PRINNESS</v>
      </c>
      <c r="P595" s="96" t="str">
        <f>IFERROR(__xludf.DUMMYFUNCTION("""COMPUTED_VALUE"""),"ADVANCE")</f>
        <v>ADVANCE</v>
      </c>
      <c r="Q595" s="99">
        <f>IFERROR(__xludf.DUMMYFUNCTION("""COMPUTED_VALUE"""),400000.0)</f>
        <v>400000</v>
      </c>
      <c r="R595" s="96" t="str">
        <f>IFERROR(__xludf.DUMMYFUNCTION("""COMPUTED_VALUE"""),"Prefinance")</f>
        <v>Prefinance</v>
      </c>
      <c r="S595" s="99">
        <f>IFERROR(__xludf.DUMMYFUNCTION("""COMPUTED_VALUE"""),0.0)</f>
        <v>0</v>
      </c>
      <c r="T595" s="99">
        <f>IFERROR(__xludf.DUMMYFUNCTION("""COMPUTED_VALUE"""),0.0)</f>
        <v>0</v>
      </c>
      <c r="U595" s="99">
        <f>IFERROR(__xludf.DUMMYFUNCTION("""COMPUTED_VALUE"""),0.0)</f>
        <v>0</v>
      </c>
      <c r="V595" s="99">
        <f>IFERROR(__xludf.DUMMYFUNCTION("""COMPUTED_VALUE"""),0.0)</f>
        <v>0</v>
      </c>
      <c r="W595" s="99">
        <f>IFERROR(__xludf.DUMMYFUNCTION("""COMPUTED_VALUE"""),0.0)</f>
        <v>0</v>
      </c>
    </row>
    <row r="596">
      <c r="N596" s="98">
        <f>IFERROR(__xludf.DUMMYFUNCTION("""COMPUTED_VALUE"""),44085.0)</f>
        <v>44085</v>
      </c>
      <c r="O596" s="96" t="str">
        <f>IFERROR(__xludf.DUMMYFUNCTION("""COMPUTED_VALUE"""),"DIRECTOR")</f>
        <v>DIRECTOR</v>
      </c>
      <c r="P596" s="96" t="str">
        <f>IFERROR(__xludf.DUMMYFUNCTION("""COMPUTED_VALUE"""),"CORRECTION")</f>
        <v>CORRECTION</v>
      </c>
      <c r="Q596" s="99">
        <f>IFERROR(__xludf.DUMMYFUNCTION("""COMPUTED_VALUE"""),1.718386E7)</f>
        <v>17183860</v>
      </c>
      <c r="R596" s="96" t="str">
        <f>IFERROR(__xludf.DUMMYFUNCTION("""COMPUTED_VALUE"""),"From Bank")</f>
        <v>From Bank</v>
      </c>
      <c r="S596" s="99">
        <f>IFERROR(__xludf.DUMMYFUNCTION("""COMPUTED_VALUE"""),0.0)</f>
        <v>0</v>
      </c>
      <c r="T596" s="99">
        <f>IFERROR(__xludf.DUMMYFUNCTION("""COMPUTED_VALUE"""),0.0)</f>
        <v>0</v>
      </c>
      <c r="U596" s="99">
        <f>IFERROR(__xludf.DUMMYFUNCTION("""COMPUTED_VALUE"""),1.718386E7)</f>
        <v>17183860</v>
      </c>
      <c r="V596" s="99">
        <f>IFERROR(__xludf.DUMMYFUNCTION("""COMPUTED_VALUE"""),0.0)</f>
        <v>0</v>
      </c>
      <c r="W596" s="99">
        <f>IFERROR(__xludf.DUMMYFUNCTION("""COMPUTED_VALUE"""),0.0)</f>
        <v>0</v>
      </c>
    </row>
    <row r="597">
      <c r="N597" s="98">
        <f>IFERROR(__xludf.DUMMYFUNCTION("""COMPUTED_VALUE"""),44085.0)</f>
        <v>44085</v>
      </c>
      <c r="O597" s="96" t="str">
        <f>IFERROR(__xludf.DUMMYFUNCTION("""COMPUTED_VALUE"""),"MALACHY")</f>
        <v>MALACHY</v>
      </c>
      <c r="P597" s="96" t="str">
        <f>IFERROR(__xludf.DUMMYFUNCTION("""COMPUTED_VALUE"""),"ADVANCE")</f>
        <v>ADVANCE</v>
      </c>
      <c r="Q597" s="99">
        <f>IFERROR(__xludf.DUMMYFUNCTION("""COMPUTED_VALUE"""),100000.0)</f>
        <v>100000</v>
      </c>
      <c r="R597" s="96" t="str">
        <f>IFERROR(__xludf.DUMMYFUNCTION("""COMPUTED_VALUE"""),"Prefinance")</f>
        <v>Prefinance</v>
      </c>
      <c r="S597" s="99">
        <f>IFERROR(__xludf.DUMMYFUNCTION("""COMPUTED_VALUE"""),0.0)</f>
        <v>0</v>
      </c>
      <c r="T597" s="99">
        <f>IFERROR(__xludf.DUMMYFUNCTION("""COMPUTED_VALUE"""),0.0)</f>
        <v>0</v>
      </c>
      <c r="U597" s="99">
        <f>IFERROR(__xludf.DUMMYFUNCTION("""COMPUTED_VALUE"""),0.0)</f>
        <v>0</v>
      </c>
      <c r="V597" s="99">
        <f>IFERROR(__xludf.DUMMYFUNCTION("""COMPUTED_VALUE"""),0.0)</f>
        <v>0</v>
      </c>
      <c r="W597" s="99">
        <f>IFERROR(__xludf.DUMMYFUNCTION("""COMPUTED_VALUE"""),0.0)</f>
        <v>0</v>
      </c>
    </row>
    <row r="598">
      <c r="N598" s="98">
        <f>IFERROR(__xludf.DUMMYFUNCTION("""COMPUTED_VALUE"""),44085.0)</f>
        <v>44085</v>
      </c>
      <c r="O598" s="96" t="str">
        <f>IFERROR(__xludf.DUMMYFUNCTION("""COMPUTED_VALUE"""),"ETUK EFFI")</f>
        <v>ETUK EFFI</v>
      </c>
      <c r="P598" s="96" t="str">
        <f>IFERROR(__xludf.DUMMYFUNCTION("""COMPUTED_VALUE"""),"ADVANCE")</f>
        <v>ADVANCE</v>
      </c>
      <c r="Q598" s="99">
        <f>IFERROR(__xludf.DUMMYFUNCTION("""COMPUTED_VALUE"""),1281400.0)</f>
        <v>1281400</v>
      </c>
      <c r="R598" s="96" t="str">
        <f>IFERROR(__xludf.DUMMYFUNCTION("""COMPUTED_VALUE"""),"Prefinance")</f>
        <v>Prefinance</v>
      </c>
      <c r="S598" s="99">
        <f>IFERROR(__xludf.DUMMYFUNCTION("""COMPUTED_VALUE"""),0.0)</f>
        <v>0</v>
      </c>
      <c r="T598" s="99">
        <f>IFERROR(__xludf.DUMMYFUNCTION("""COMPUTED_VALUE"""),0.0)</f>
        <v>0</v>
      </c>
      <c r="U598" s="99">
        <f>IFERROR(__xludf.DUMMYFUNCTION("""COMPUTED_VALUE"""),0.0)</f>
        <v>0</v>
      </c>
      <c r="V598" s="99">
        <f>IFERROR(__xludf.DUMMYFUNCTION("""COMPUTED_VALUE"""),0.0)</f>
        <v>0</v>
      </c>
      <c r="W598" s="99">
        <f>IFERROR(__xludf.DUMMYFUNCTION("""COMPUTED_VALUE"""),0.0)</f>
        <v>0</v>
      </c>
    </row>
    <row r="599">
      <c r="N599" s="98">
        <f>IFERROR(__xludf.DUMMYFUNCTION("""COMPUTED_VALUE"""),44085.0)</f>
        <v>44085</v>
      </c>
      <c r="O599" s="96" t="str">
        <f>IFERROR(__xludf.DUMMYFUNCTION("""COMPUTED_VALUE"""),"CHINWE CHIDI")</f>
        <v>CHINWE CHIDI</v>
      </c>
      <c r="P599" s="96" t="str">
        <f>IFERROR(__xludf.DUMMYFUNCTION("""COMPUTED_VALUE"""),"ADVANCE (TP)")</f>
        <v>ADVANCE (TP)</v>
      </c>
      <c r="Q599" s="99">
        <f>IFERROR(__xludf.DUMMYFUNCTION("""COMPUTED_VALUE"""),6000.0)</f>
        <v>6000</v>
      </c>
      <c r="R599" s="96" t="str">
        <f>IFERROR(__xludf.DUMMYFUNCTION("""COMPUTED_VALUE"""),"Prefinance")</f>
        <v>Prefinance</v>
      </c>
      <c r="S599" s="99">
        <f>IFERROR(__xludf.DUMMYFUNCTION("""COMPUTED_VALUE"""),0.0)</f>
        <v>0</v>
      </c>
      <c r="T599" s="99">
        <f>IFERROR(__xludf.DUMMYFUNCTION("""COMPUTED_VALUE"""),0.0)</f>
        <v>0</v>
      </c>
      <c r="U599" s="99">
        <f>IFERROR(__xludf.DUMMYFUNCTION("""COMPUTED_VALUE"""),0.0)</f>
        <v>0</v>
      </c>
      <c r="V599" s="99">
        <f>IFERROR(__xludf.DUMMYFUNCTION("""COMPUTED_VALUE"""),0.0)</f>
        <v>0</v>
      </c>
      <c r="W599" s="99">
        <f>IFERROR(__xludf.DUMMYFUNCTION("""COMPUTED_VALUE"""),0.0)</f>
        <v>0</v>
      </c>
    </row>
    <row r="600">
      <c r="N600" s="98">
        <f>IFERROR(__xludf.DUMMYFUNCTION("""COMPUTED_VALUE"""),44085.0)</f>
        <v>44085</v>
      </c>
      <c r="O600" s="96" t="str">
        <f>IFERROR(__xludf.DUMMYFUNCTION("""COMPUTED_VALUE"""),"DIRECTOR")</f>
        <v>DIRECTOR</v>
      </c>
      <c r="P600" s="96" t="str">
        <f>IFERROR(__xludf.DUMMYFUNCTION("""COMPUTED_VALUE"""),"PERSONAL USE")</f>
        <v>PERSONAL USE</v>
      </c>
      <c r="Q600" s="99">
        <f>IFERROR(__xludf.DUMMYFUNCTION("""COMPUTED_VALUE"""),100000.0)</f>
        <v>100000</v>
      </c>
      <c r="R600" s="96" t="str">
        <f>IFERROR(__xludf.DUMMYFUNCTION("""COMPUTED_VALUE"""),"General Expenses")</f>
        <v>General Expenses</v>
      </c>
      <c r="S600" s="99">
        <f>IFERROR(__xludf.DUMMYFUNCTION("""COMPUTED_VALUE"""),0.0)</f>
        <v>0</v>
      </c>
      <c r="T600" s="99">
        <f>IFERROR(__xludf.DUMMYFUNCTION("""COMPUTED_VALUE"""),100000.0)</f>
        <v>100000</v>
      </c>
      <c r="U600" s="99">
        <f>IFERROR(__xludf.DUMMYFUNCTION("""COMPUTED_VALUE"""),0.0)</f>
        <v>0</v>
      </c>
      <c r="V600" s="99">
        <f>IFERROR(__xludf.DUMMYFUNCTION("""COMPUTED_VALUE"""),0.0)</f>
        <v>0</v>
      </c>
      <c r="W600" s="99">
        <f>IFERROR(__xludf.DUMMYFUNCTION("""COMPUTED_VALUE"""),0.0)</f>
        <v>0</v>
      </c>
    </row>
    <row r="601">
      <c r="N601" s="98">
        <f>IFERROR(__xludf.DUMMYFUNCTION("""COMPUTED_VALUE"""),44085.0)</f>
        <v>44085</v>
      </c>
      <c r="O601" s="96" t="str">
        <f>IFERROR(__xludf.DUMMYFUNCTION("""COMPUTED_VALUE"""),"MANAGER")</f>
        <v>MANAGER</v>
      </c>
      <c r="P601" s="96" t="str">
        <f>IFERROR(__xludf.DUMMYFUNCTION("""COMPUTED_VALUE"""),"PAPER")</f>
        <v>PAPER</v>
      </c>
      <c r="Q601" s="99">
        <f>IFERROR(__xludf.DUMMYFUNCTION("""COMPUTED_VALUE"""),200000.0)</f>
        <v>200000</v>
      </c>
      <c r="R601" s="96" t="str">
        <f>IFERROR(__xludf.DUMMYFUNCTION("""COMPUTED_VALUE"""),"General Expenses")</f>
        <v>General Expenses</v>
      </c>
      <c r="S601" s="99">
        <f>IFERROR(__xludf.DUMMYFUNCTION("""COMPUTED_VALUE"""),0.0)</f>
        <v>0</v>
      </c>
      <c r="T601" s="99">
        <f>IFERROR(__xludf.DUMMYFUNCTION("""COMPUTED_VALUE"""),200000.0)</f>
        <v>200000</v>
      </c>
      <c r="U601" s="99">
        <f>IFERROR(__xludf.DUMMYFUNCTION("""COMPUTED_VALUE"""),0.0)</f>
        <v>0</v>
      </c>
      <c r="V601" s="99">
        <f>IFERROR(__xludf.DUMMYFUNCTION("""COMPUTED_VALUE"""),0.0)</f>
        <v>0</v>
      </c>
      <c r="W601" s="99">
        <f>IFERROR(__xludf.DUMMYFUNCTION("""COMPUTED_VALUE"""),0.0)</f>
        <v>0</v>
      </c>
    </row>
    <row r="602">
      <c r="N602" s="98">
        <f>IFERROR(__xludf.DUMMYFUNCTION("""COMPUTED_VALUE"""),44085.0)</f>
        <v>44085</v>
      </c>
      <c r="O602" s="96" t="str">
        <f>IFERROR(__xludf.DUMMYFUNCTION("""COMPUTED_VALUE"""),"MANAGER")</f>
        <v>MANAGER</v>
      </c>
      <c r="P602" s="96" t="str">
        <f>IFERROR(__xludf.DUMMYFUNCTION("""COMPUTED_VALUE"""),"TRANSPORT")</f>
        <v>TRANSPORT</v>
      </c>
      <c r="Q602" s="99">
        <f>IFERROR(__xludf.DUMMYFUNCTION("""COMPUTED_VALUE"""),500.0)</f>
        <v>500</v>
      </c>
      <c r="R602" s="96" t="str">
        <f>IFERROR(__xludf.DUMMYFUNCTION("""COMPUTED_VALUE"""),"General Expenses")</f>
        <v>General Expenses</v>
      </c>
      <c r="S602" s="99">
        <f>IFERROR(__xludf.DUMMYFUNCTION("""COMPUTED_VALUE"""),0.0)</f>
        <v>0</v>
      </c>
      <c r="T602" s="99">
        <f>IFERROR(__xludf.DUMMYFUNCTION("""COMPUTED_VALUE"""),500.0)</f>
        <v>500</v>
      </c>
      <c r="U602" s="99">
        <f>IFERROR(__xludf.DUMMYFUNCTION("""COMPUTED_VALUE"""),0.0)</f>
        <v>0</v>
      </c>
      <c r="V602" s="99">
        <f>IFERROR(__xludf.DUMMYFUNCTION("""COMPUTED_VALUE"""),0.0)</f>
        <v>0</v>
      </c>
      <c r="W602" s="99">
        <f>IFERROR(__xludf.DUMMYFUNCTION("""COMPUTED_VALUE"""),0.0)</f>
        <v>0</v>
      </c>
    </row>
    <row r="603">
      <c r="N603" s="98">
        <f>IFERROR(__xludf.DUMMYFUNCTION("""COMPUTED_VALUE"""),44085.0)</f>
        <v>44085</v>
      </c>
      <c r="O603" s="96" t="str">
        <f>IFERROR(__xludf.DUMMYFUNCTION("""COMPUTED_VALUE"""),"OBI-DRIVER")</f>
        <v>OBI-DRIVER</v>
      </c>
      <c r="P603" s="96" t="str">
        <f>IFERROR(__xludf.DUMMYFUNCTION("""COMPUTED_VALUE"""),"FUEL")</f>
        <v>FUEL</v>
      </c>
      <c r="Q603" s="99">
        <f>IFERROR(__xludf.DUMMYFUNCTION("""COMPUTED_VALUE"""),4000.0)</f>
        <v>4000</v>
      </c>
      <c r="R603" s="96" t="str">
        <f>IFERROR(__xludf.DUMMYFUNCTION("""COMPUTED_VALUE"""),"General Expenses")</f>
        <v>General Expenses</v>
      </c>
      <c r="S603" s="99">
        <f>IFERROR(__xludf.DUMMYFUNCTION("""COMPUTED_VALUE"""),0.0)</f>
        <v>0</v>
      </c>
      <c r="T603" s="99">
        <f>IFERROR(__xludf.DUMMYFUNCTION("""COMPUTED_VALUE"""),4000.0)</f>
        <v>4000</v>
      </c>
      <c r="U603" s="99">
        <f>IFERROR(__xludf.DUMMYFUNCTION("""COMPUTED_VALUE"""),0.0)</f>
        <v>0</v>
      </c>
      <c r="V603" s="99">
        <f>IFERROR(__xludf.DUMMYFUNCTION("""COMPUTED_VALUE"""),0.0)</f>
        <v>0</v>
      </c>
      <c r="W603" s="99">
        <f>IFERROR(__xludf.DUMMYFUNCTION("""COMPUTED_VALUE"""),0.0)</f>
        <v>0</v>
      </c>
    </row>
    <row r="604">
      <c r="N604" s="98">
        <f>IFERROR(__xludf.DUMMYFUNCTION("""COMPUTED_VALUE"""),44085.0)</f>
        <v>44085</v>
      </c>
      <c r="O604" s="96" t="str">
        <f>IFERROR(__xludf.DUMMYFUNCTION("""COMPUTED_VALUE"""),"DIRECTOR")</f>
        <v>DIRECTOR</v>
      </c>
      <c r="P604" s="96" t="str">
        <f>IFERROR(__xludf.DUMMYFUNCTION("""COMPUTED_VALUE"""),"PERSONAL USE")</f>
        <v>PERSONAL USE</v>
      </c>
      <c r="Q604" s="99">
        <f>IFERROR(__xludf.DUMMYFUNCTION("""COMPUTED_VALUE"""),50000.0)</f>
        <v>50000</v>
      </c>
      <c r="R604" s="96" t="str">
        <f>IFERROR(__xludf.DUMMYFUNCTION("""COMPUTED_VALUE"""),"General Expenses")</f>
        <v>General Expenses</v>
      </c>
      <c r="S604" s="99">
        <f>IFERROR(__xludf.DUMMYFUNCTION("""COMPUTED_VALUE"""),0.0)</f>
        <v>0</v>
      </c>
      <c r="T604" s="99">
        <f>IFERROR(__xludf.DUMMYFUNCTION("""COMPUTED_VALUE"""),50000.0)</f>
        <v>50000</v>
      </c>
      <c r="U604" s="99">
        <f>IFERROR(__xludf.DUMMYFUNCTION("""COMPUTED_VALUE"""),0.0)</f>
        <v>0</v>
      </c>
      <c r="V604" s="99">
        <f>IFERROR(__xludf.DUMMYFUNCTION("""COMPUTED_VALUE"""),0.0)</f>
        <v>0</v>
      </c>
      <c r="W604" s="99">
        <f>IFERROR(__xludf.DUMMYFUNCTION("""COMPUTED_VALUE"""),0.0)</f>
        <v>0</v>
      </c>
    </row>
    <row r="605">
      <c r="N605" s="98">
        <f>IFERROR(__xludf.DUMMYFUNCTION("""COMPUTED_VALUE"""),44085.0)</f>
        <v>44085</v>
      </c>
      <c r="O605" s="96" t="str">
        <f>IFERROR(__xludf.DUMMYFUNCTION("""COMPUTED_VALUE"""),"ONG")</f>
        <v>ONG</v>
      </c>
      <c r="P605" s="96" t="str">
        <f>IFERROR(__xludf.DUMMYFUNCTION("""COMPUTED_VALUE"""),"TRANSPORT")</f>
        <v>TRANSPORT</v>
      </c>
      <c r="Q605" s="99">
        <f>IFERROR(__xludf.DUMMYFUNCTION("""COMPUTED_VALUE"""),89000.0)</f>
        <v>89000</v>
      </c>
      <c r="R605" s="96" t="str">
        <f>IFERROR(__xludf.DUMMYFUNCTION("""COMPUTED_VALUE"""),"General Expenses")</f>
        <v>General Expenses</v>
      </c>
      <c r="S605" s="99">
        <f>IFERROR(__xludf.DUMMYFUNCTION("""COMPUTED_VALUE"""),0.0)</f>
        <v>0</v>
      </c>
      <c r="T605" s="99">
        <f>IFERROR(__xludf.DUMMYFUNCTION("""COMPUTED_VALUE"""),89000.0)</f>
        <v>89000</v>
      </c>
      <c r="U605" s="99">
        <f>IFERROR(__xludf.DUMMYFUNCTION("""COMPUTED_VALUE"""),0.0)</f>
        <v>0</v>
      </c>
      <c r="V605" s="99">
        <f>IFERROR(__xludf.DUMMYFUNCTION("""COMPUTED_VALUE"""),0.0)</f>
        <v>0</v>
      </c>
      <c r="W605" s="99">
        <f>IFERROR(__xludf.DUMMYFUNCTION("""COMPUTED_VALUE"""),0.0)</f>
        <v>0</v>
      </c>
    </row>
    <row r="606">
      <c r="N606" s="98">
        <f>IFERROR(__xludf.DUMMYFUNCTION("""COMPUTED_VALUE"""),44085.0)</f>
        <v>44085</v>
      </c>
      <c r="O606" s="96" t="str">
        <f>IFERROR(__xludf.DUMMYFUNCTION("""COMPUTED_VALUE"""),"LABOUR  BOY")</f>
        <v>LABOUR  BOY</v>
      </c>
      <c r="P606" s="96" t="str">
        <f>IFERROR(__xludf.DUMMYFUNCTION("""COMPUTED_VALUE"""),"WAGES ADVANCE")</f>
        <v>WAGES ADVANCE</v>
      </c>
      <c r="Q606" s="99">
        <f>IFERROR(__xludf.DUMMYFUNCTION("""COMPUTED_VALUE"""),1500.0)</f>
        <v>1500</v>
      </c>
      <c r="R606" s="96" t="str">
        <f>IFERROR(__xludf.DUMMYFUNCTION("""COMPUTED_VALUE"""),"General Expenses")</f>
        <v>General Expenses</v>
      </c>
      <c r="S606" s="99">
        <f>IFERROR(__xludf.DUMMYFUNCTION("""COMPUTED_VALUE"""),0.0)</f>
        <v>0</v>
      </c>
      <c r="T606" s="99">
        <f>IFERROR(__xludf.DUMMYFUNCTION("""COMPUTED_VALUE"""),1500.0)</f>
        <v>1500</v>
      </c>
      <c r="U606" s="99">
        <f>IFERROR(__xludf.DUMMYFUNCTION("""COMPUTED_VALUE"""),0.0)</f>
        <v>0</v>
      </c>
      <c r="V606" s="99">
        <f>IFERROR(__xludf.DUMMYFUNCTION("""COMPUTED_VALUE"""),0.0)</f>
        <v>0</v>
      </c>
      <c r="W606" s="99">
        <f>IFERROR(__xludf.DUMMYFUNCTION("""COMPUTED_VALUE"""),0.0)</f>
        <v>0</v>
      </c>
    </row>
    <row r="607">
      <c r="N607" s="98">
        <f>IFERROR(__xludf.DUMMYFUNCTION("""COMPUTED_VALUE"""),44085.0)</f>
        <v>44085</v>
      </c>
      <c r="O607" s="96" t="str">
        <f>IFERROR(__xludf.DUMMYFUNCTION("""COMPUTED_VALUE"""),"LIVINUS")</f>
        <v>LIVINUS</v>
      </c>
      <c r="P607" s="96" t="str">
        <f>IFERROR(__xludf.DUMMYFUNCTION("""COMPUTED_VALUE"""),"PAYMENT BALANCE")</f>
        <v>PAYMENT BALANCE</v>
      </c>
      <c r="Q607" s="99">
        <f>IFERROR(__xludf.DUMMYFUNCTION("""COMPUTED_VALUE"""),121300.0)</f>
        <v>121300</v>
      </c>
      <c r="R607" s="96" t="str">
        <f>IFERROR(__xludf.DUMMYFUNCTION("""COMPUTED_VALUE"""),"General Expenses")</f>
        <v>General Expenses</v>
      </c>
      <c r="S607" s="99">
        <f>IFERROR(__xludf.DUMMYFUNCTION("""COMPUTED_VALUE"""),0.0)</f>
        <v>0</v>
      </c>
      <c r="T607" s="99">
        <f>IFERROR(__xludf.DUMMYFUNCTION("""COMPUTED_VALUE"""),121300.0)</f>
        <v>121300</v>
      </c>
      <c r="U607" s="99">
        <f>IFERROR(__xludf.DUMMYFUNCTION("""COMPUTED_VALUE"""),0.0)</f>
        <v>0</v>
      </c>
      <c r="V607" s="99">
        <f>IFERROR(__xludf.DUMMYFUNCTION("""COMPUTED_VALUE"""),0.0)</f>
        <v>0</v>
      </c>
      <c r="W607" s="99">
        <f>IFERROR(__xludf.DUMMYFUNCTION("""COMPUTED_VALUE"""),0.0)</f>
        <v>0</v>
      </c>
    </row>
    <row r="608">
      <c r="N608" s="98">
        <f>IFERROR(__xludf.DUMMYFUNCTION("""COMPUTED_VALUE"""),44085.0)</f>
        <v>44085</v>
      </c>
      <c r="O608" s="96" t="str">
        <f>IFERROR(__xludf.DUMMYFUNCTION("""COMPUTED_VALUE"""),"BLESSING CHAPMAN")</f>
        <v>BLESSING CHAPMAN</v>
      </c>
      <c r="P608" s="96" t="str">
        <f>IFERROR(__xludf.DUMMYFUNCTION("""COMPUTED_VALUE"""),"CASH COLLECTED")</f>
        <v>CASH COLLECTED</v>
      </c>
      <c r="Q608" s="99">
        <f>IFERROR(__xludf.DUMMYFUNCTION("""COMPUTED_VALUE"""),566300.0)</f>
        <v>566300</v>
      </c>
      <c r="R608" s="96" t="str">
        <f>IFERROR(__xludf.DUMMYFUNCTION("""COMPUTED_VALUE"""),"Petty Cash")</f>
        <v>Petty Cash</v>
      </c>
      <c r="S608" s="99">
        <f>IFERROR(__xludf.DUMMYFUNCTION("""COMPUTED_VALUE"""),0.0)</f>
        <v>0</v>
      </c>
      <c r="T608" s="99">
        <f>IFERROR(__xludf.DUMMYFUNCTION("""COMPUTED_VALUE"""),0.0)</f>
        <v>0</v>
      </c>
      <c r="U608" s="99">
        <f>IFERROR(__xludf.DUMMYFUNCTION("""COMPUTED_VALUE"""),0.0)</f>
        <v>0</v>
      </c>
      <c r="V608" s="99">
        <f>IFERROR(__xludf.DUMMYFUNCTION("""COMPUTED_VALUE"""),566300.0)</f>
        <v>566300</v>
      </c>
      <c r="W608" s="99">
        <f>IFERROR(__xludf.DUMMYFUNCTION("""COMPUTED_VALUE"""),0.0)</f>
        <v>0</v>
      </c>
    </row>
    <row r="609">
      <c r="N609" s="98">
        <f>IFERROR(__xludf.DUMMYFUNCTION("""COMPUTED_VALUE"""),44085.0)</f>
        <v>44085</v>
      </c>
      <c r="O609" s="96" t="str">
        <f>IFERROR(__xludf.DUMMYFUNCTION("""COMPUTED_VALUE"""),"MANAGER")</f>
        <v>MANAGER</v>
      </c>
      <c r="P609" s="96" t="str">
        <f>IFERROR(__xludf.DUMMYFUNCTION("""COMPUTED_VALUE"""),"CASH-IN")</f>
        <v>CASH-IN</v>
      </c>
      <c r="Q609" s="99">
        <f>IFERROR(__xludf.DUMMYFUNCTION("""COMPUTED_VALUE"""),2500000.0)</f>
        <v>2500000</v>
      </c>
      <c r="R609" s="96" t="str">
        <f>IFERROR(__xludf.DUMMYFUNCTION("""COMPUTED_VALUE"""),"From Bank")</f>
        <v>From Bank</v>
      </c>
      <c r="S609" s="99">
        <f>IFERROR(__xludf.DUMMYFUNCTION("""COMPUTED_VALUE"""),0.0)</f>
        <v>0</v>
      </c>
      <c r="T609" s="99">
        <f>IFERROR(__xludf.DUMMYFUNCTION("""COMPUTED_VALUE"""),0.0)</f>
        <v>0</v>
      </c>
      <c r="U609" s="99">
        <f>IFERROR(__xludf.DUMMYFUNCTION("""COMPUTED_VALUE"""),2500000.0)</f>
        <v>2500000</v>
      </c>
      <c r="V609" s="99">
        <f>IFERROR(__xludf.DUMMYFUNCTION("""COMPUTED_VALUE"""),0.0)</f>
        <v>0</v>
      </c>
      <c r="W609" s="99">
        <f>IFERROR(__xludf.DUMMYFUNCTION("""COMPUTED_VALUE"""),0.0)</f>
        <v>0</v>
      </c>
    </row>
    <row r="610">
      <c r="N610" s="98">
        <f>IFERROR(__xludf.DUMMYFUNCTION("""COMPUTED_VALUE"""),44086.0)</f>
        <v>44086</v>
      </c>
      <c r="O610" s="96" t="str">
        <f>IFERROR(__xludf.DUMMYFUNCTION("""COMPUTED_VALUE""")," MAXWELL AGRO")</f>
        <v> MAXWELL AGRO</v>
      </c>
      <c r="P610" s="96" t="str">
        <f>IFERROR(__xludf.DUMMYFUNCTION("""COMPUTED_VALUE"""),"advance")</f>
        <v>advance</v>
      </c>
      <c r="Q610" s="99">
        <f>IFERROR(__xludf.DUMMYFUNCTION("""COMPUTED_VALUE"""),100000.0)</f>
        <v>100000</v>
      </c>
      <c r="R610" s="96" t="str">
        <f>IFERROR(__xludf.DUMMYFUNCTION("""COMPUTED_VALUE"""),"Prefinance")</f>
        <v>Prefinance</v>
      </c>
      <c r="S610" s="99">
        <f>IFERROR(__xludf.DUMMYFUNCTION("""COMPUTED_VALUE"""),0.0)</f>
        <v>0</v>
      </c>
      <c r="T610" s="99">
        <f>IFERROR(__xludf.DUMMYFUNCTION("""COMPUTED_VALUE"""),0.0)</f>
        <v>0</v>
      </c>
      <c r="U610" s="99">
        <f>IFERROR(__xludf.DUMMYFUNCTION("""COMPUTED_VALUE"""),0.0)</f>
        <v>0</v>
      </c>
      <c r="V610" s="99">
        <f>IFERROR(__xludf.DUMMYFUNCTION("""COMPUTED_VALUE"""),0.0)</f>
        <v>0</v>
      </c>
      <c r="W610" s="99">
        <f>IFERROR(__xludf.DUMMYFUNCTION("""COMPUTED_VALUE"""),0.0)</f>
        <v>0</v>
      </c>
    </row>
    <row r="611">
      <c r="N611" s="98">
        <f>IFERROR(__xludf.DUMMYFUNCTION("""COMPUTED_VALUE"""),44086.0)</f>
        <v>44086</v>
      </c>
      <c r="O611" s="96" t="str">
        <f>IFERROR(__xludf.DUMMYFUNCTION("""COMPUTED_VALUE"""),"AYUK BLESSING")</f>
        <v>AYUK BLESSING</v>
      </c>
      <c r="P611" s="96" t="str">
        <f>IFERROR(__xludf.DUMMYFUNCTION("""COMPUTED_VALUE"""),"sub/tally sheet")</f>
        <v>sub/tally sheet</v>
      </c>
      <c r="Q611" s="99">
        <f>IFERROR(__xludf.DUMMYFUNCTION("""COMPUTED_VALUE"""),2000.0)</f>
        <v>2000</v>
      </c>
      <c r="R611" s="96" t="str">
        <f>IFERROR(__xludf.DUMMYFUNCTION("""COMPUTED_VALUE"""),"General Expenses")</f>
        <v>General Expenses</v>
      </c>
      <c r="S611" s="99">
        <f>IFERROR(__xludf.DUMMYFUNCTION("""COMPUTED_VALUE"""),0.0)</f>
        <v>0</v>
      </c>
      <c r="T611" s="99">
        <f>IFERROR(__xludf.DUMMYFUNCTION("""COMPUTED_VALUE"""),2000.0)</f>
        <v>2000</v>
      </c>
      <c r="U611" s="99">
        <f>IFERROR(__xludf.DUMMYFUNCTION("""COMPUTED_VALUE"""),0.0)</f>
        <v>0</v>
      </c>
      <c r="V611" s="99">
        <f>IFERROR(__xludf.DUMMYFUNCTION("""COMPUTED_VALUE"""),0.0)</f>
        <v>0</v>
      </c>
      <c r="W611" s="99">
        <f>IFERROR(__xludf.DUMMYFUNCTION("""COMPUTED_VALUE"""),0.0)</f>
        <v>0</v>
      </c>
    </row>
    <row r="612">
      <c r="N612" s="98">
        <f>IFERROR(__xludf.DUMMYFUNCTION("""COMPUTED_VALUE"""),44086.0)</f>
        <v>44086</v>
      </c>
      <c r="O612" s="96" t="str">
        <f>IFERROR(__xludf.DUMMYFUNCTION("""COMPUTED_VALUE"""),"OBI-DRIVER")</f>
        <v>OBI-DRIVER</v>
      </c>
      <c r="P612" s="96" t="str">
        <f>IFERROR(__xludf.DUMMYFUNCTION("""COMPUTED_VALUE"""),"fuel")</f>
        <v>fuel</v>
      </c>
      <c r="Q612" s="99">
        <f>IFERROR(__xludf.DUMMYFUNCTION("""COMPUTED_VALUE"""),4000.0)</f>
        <v>4000</v>
      </c>
      <c r="R612" s="96" t="str">
        <f>IFERROR(__xludf.DUMMYFUNCTION("""COMPUTED_VALUE"""),"General Expenses")</f>
        <v>General Expenses</v>
      </c>
      <c r="S612" s="99">
        <f>IFERROR(__xludf.DUMMYFUNCTION("""COMPUTED_VALUE"""),0.0)</f>
        <v>0</v>
      </c>
      <c r="T612" s="99">
        <f>IFERROR(__xludf.DUMMYFUNCTION("""COMPUTED_VALUE"""),4000.0)</f>
        <v>4000</v>
      </c>
      <c r="U612" s="99">
        <f>IFERROR(__xludf.DUMMYFUNCTION("""COMPUTED_VALUE"""),0.0)</f>
        <v>0</v>
      </c>
      <c r="V612" s="99">
        <f>IFERROR(__xludf.DUMMYFUNCTION("""COMPUTED_VALUE"""),0.0)</f>
        <v>0</v>
      </c>
      <c r="W612" s="99">
        <f>IFERROR(__xludf.DUMMYFUNCTION("""COMPUTED_VALUE"""),0.0)</f>
        <v>0</v>
      </c>
    </row>
    <row r="613">
      <c r="N613" s="98">
        <f>IFERROR(__xludf.DUMMYFUNCTION("""COMPUTED_VALUE"""),44086.0)</f>
        <v>44086</v>
      </c>
      <c r="O613" s="96" t="str">
        <f>IFERROR(__xludf.DUMMYFUNCTION("""COMPUTED_VALUE"""),"LABOUR  BOY")</f>
        <v>LABOUR  BOY</v>
      </c>
      <c r="P613" s="96" t="str">
        <f>IFERROR(__xludf.DUMMYFUNCTION("""COMPUTED_VALUE"""),"wages")</f>
        <v>wages</v>
      </c>
      <c r="Q613" s="99">
        <f>IFERROR(__xludf.DUMMYFUNCTION("""COMPUTED_VALUE"""),15400.0)</f>
        <v>15400</v>
      </c>
      <c r="R613" s="96" t="str">
        <f>IFERROR(__xludf.DUMMYFUNCTION("""COMPUTED_VALUE"""),"General Expenses")</f>
        <v>General Expenses</v>
      </c>
      <c r="S613" s="99">
        <f>IFERROR(__xludf.DUMMYFUNCTION("""COMPUTED_VALUE"""),0.0)</f>
        <v>0</v>
      </c>
      <c r="T613" s="99">
        <f>IFERROR(__xludf.DUMMYFUNCTION("""COMPUTED_VALUE"""),15400.0)</f>
        <v>15400</v>
      </c>
      <c r="U613" s="99">
        <f>IFERROR(__xludf.DUMMYFUNCTION("""COMPUTED_VALUE"""),0.0)</f>
        <v>0</v>
      </c>
      <c r="V613" s="99">
        <f>IFERROR(__xludf.DUMMYFUNCTION("""COMPUTED_VALUE"""),0.0)</f>
        <v>0</v>
      </c>
      <c r="W613" s="99">
        <f>IFERROR(__xludf.DUMMYFUNCTION("""COMPUTED_VALUE"""),0.0)</f>
        <v>0</v>
      </c>
    </row>
    <row r="614">
      <c r="N614" s="98">
        <f>IFERROR(__xludf.DUMMYFUNCTION("""COMPUTED_VALUE"""),44086.0)</f>
        <v>44086</v>
      </c>
      <c r="O614" s="96" t="str">
        <f>IFERROR(__xludf.DUMMYFUNCTION("""COMPUTED_VALUE"""),"ANDY")</f>
        <v>ANDY</v>
      </c>
      <c r="P614" s="96" t="str">
        <f>IFERROR(__xludf.DUMMYFUNCTION("""COMPUTED_VALUE"""),"transport")</f>
        <v>transport</v>
      </c>
      <c r="Q614" s="99">
        <f>IFERROR(__xludf.DUMMYFUNCTION("""COMPUTED_VALUE"""),200.0)</f>
        <v>200</v>
      </c>
      <c r="R614" s="96" t="str">
        <f>IFERROR(__xludf.DUMMYFUNCTION("""COMPUTED_VALUE"""),"General Expenses")</f>
        <v>General Expenses</v>
      </c>
      <c r="S614" s="99">
        <f>IFERROR(__xludf.DUMMYFUNCTION("""COMPUTED_VALUE"""),0.0)</f>
        <v>0</v>
      </c>
      <c r="T614" s="99">
        <f>IFERROR(__xludf.DUMMYFUNCTION("""COMPUTED_VALUE"""),200.0)</f>
        <v>200</v>
      </c>
      <c r="U614" s="99">
        <f>IFERROR(__xludf.DUMMYFUNCTION("""COMPUTED_VALUE"""),0.0)</f>
        <v>0</v>
      </c>
      <c r="V614" s="99">
        <f>IFERROR(__xludf.DUMMYFUNCTION("""COMPUTED_VALUE"""),0.0)</f>
        <v>0</v>
      </c>
      <c r="W614" s="99">
        <f>IFERROR(__xludf.DUMMYFUNCTION("""COMPUTED_VALUE"""),0.0)</f>
        <v>0</v>
      </c>
    </row>
    <row r="615">
      <c r="N615" s="98">
        <f>IFERROR(__xludf.DUMMYFUNCTION("""COMPUTED_VALUE"""),44086.0)</f>
        <v>44086</v>
      </c>
      <c r="O615" s="96" t="str">
        <f>IFERROR(__xludf.DUMMYFUNCTION("""COMPUTED_VALUE"""),"CLIMENT")</f>
        <v>CLIMENT</v>
      </c>
      <c r="P615" s="96" t="str">
        <f>IFERROR(__xludf.DUMMYFUNCTION("""COMPUTED_VALUE"""),"OFFLOADING")</f>
        <v>OFFLOADING</v>
      </c>
      <c r="Q615" s="99">
        <f>IFERROR(__xludf.DUMMYFUNCTION("""COMPUTED_VALUE"""),900.0)</f>
        <v>900</v>
      </c>
      <c r="R615" s="96" t="str">
        <f>IFERROR(__xludf.DUMMYFUNCTION("""COMPUTED_VALUE"""),"General Expenses")</f>
        <v>General Expenses</v>
      </c>
      <c r="S615" s="99">
        <f>IFERROR(__xludf.DUMMYFUNCTION("""COMPUTED_VALUE"""),0.0)</f>
        <v>0</v>
      </c>
      <c r="T615" s="99">
        <f>IFERROR(__xludf.DUMMYFUNCTION("""COMPUTED_VALUE"""),900.0)</f>
        <v>900</v>
      </c>
      <c r="U615" s="99">
        <f>IFERROR(__xludf.DUMMYFUNCTION("""COMPUTED_VALUE"""),0.0)</f>
        <v>0</v>
      </c>
      <c r="V615" s="99">
        <f>IFERROR(__xludf.DUMMYFUNCTION("""COMPUTED_VALUE"""),0.0)</f>
        <v>0</v>
      </c>
      <c r="W615" s="99">
        <f>IFERROR(__xludf.DUMMYFUNCTION("""COMPUTED_VALUE"""),0.0)</f>
        <v>0</v>
      </c>
    </row>
    <row r="616">
      <c r="N616" s="98">
        <f>IFERROR(__xludf.DUMMYFUNCTION("""COMPUTED_VALUE"""),44086.0)</f>
        <v>44086</v>
      </c>
      <c r="O616" s="96" t="str">
        <f>IFERROR(__xludf.DUMMYFUNCTION("""COMPUTED_VALUE"""),"BLESSING CHAPMAN")</f>
        <v>BLESSING CHAPMAN</v>
      </c>
      <c r="P616" s="96" t="str">
        <f>IFERROR(__xludf.DUMMYFUNCTION("""COMPUTED_VALUE"""),"CASH COLLECTED")</f>
        <v>CASH COLLECTED</v>
      </c>
      <c r="Q616" s="99">
        <f>IFERROR(__xludf.DUMMYFUNCTION("""COMPUTED_VALUE"""),172100.0)</f>
        <v>172100</v>
      </c>
      <c r="R616" s="96" t="str">
        <f>IFERROR(__xludf.DUMMYFUNCTION("""COMPUTED_VALUE"""),"Petty Cash")</f>
        <v>Petty Cash</v>
      </c>
      <c r="S616" s="99">
        <f>IFERROR(__xludf.DUMMYFUNCTION("""COMPUTED_VALUE"""),0.0)</f>
        <v>0</v>
      </c>
      <c r="T616" s="99">
        <f>IFERROR(__xludf.DUMMYFUNCTION("""COMPUTED_VALUE"""),0.0)</f>
        <v>0</v>
      </c>
      <c r="U616" s="99">
        <f>IFERROR(__xludf.DUMMYFUNCTION("""COMPUTED_VALUE"""),0.0)</f>
        <v>0</v>
      </c>
      <c r="V616" s="99">
        <f>IFERROR(__xludf.DUMMYFUNCTION("""COMPUTED_VALUE"""),172100.0)</f>
        <v>172100</v>
      </c>
      <c r="W616" s="99">
        <f>IFERROR(__xludf.DUMMYFUNCTION("""COMPUTED_VALUE"""),0.0)</f>
        <v>0</v>
      </c>
    </row>
    <row r="617">
      <c r="N617" s="98">
        <f>IFERROR(__xludf.DUMMYFUNCTION("""COMPUTED_VALUE"""),44086.0)</f>
        <v>44086</v>
      </c>
      <c r="O617" s="96" t="str">
        <f>IFERROR(__xludf.DUMMYFUNCTION("""COMPUTED_VALUE"""),"ABANG FREDINARD")</f>
        <v>ABANG FREDINARD</v>
      </c>
      <c r="P617" s="96" t="str">
        <f>IFERROR(__xludf.DUMMYFUNCTION("""COMPUTED_VALUE"""),"DIRECTOR")</f>
        <v>DIRECTOR</v>
      </c>
      <c r="Q617" s="99">
        <f>IFERROR(__xludf.DUMMYFUNCTION("""COMPUTED_VALUE"""),80000.0)</f>
        <v>80000</v>
      </c>
      <c r="R617" s="96" t="str">
        <f>IFERROR(__xludf.DUMMYFUNCTION("""COMPUTED_VALUE"""),"Prefinance")</f>
        <v>Prefinance</v>
      </c>
      <c r="S617" s="99">
        <f>IFERROR(__xludf.DUMMYFUNCTION("""COMPUTED_VALUE"""),0.0)</f>
        <v>0</v>
      </c>
      <c r="T617" s="99">
        <f>IFERROR(__xludf.DUMMYFUNCTION("""COMPUTED_VALUE"""),0.0)</f>
        <v>0</v>
      </c>
      <c r="U617" s="99">
        <f>IFERROR(__xludf.DUMMYFUNCTION("""COMPUTED_VALUE"""),0.0)</f>
        <v>0</v>
      </c>
      <c r="V617" s="99">
        <f>IFERROR(__xludf.DUMMYFUNCTION("""COMPUTED_VALUE"""),0.0)</f>
        <v>0</v>
      </c>
      <c r="W617" s="99">
        <f>IFERROR(__xludf.DUMMYFUNCTION("""COMPUTED_VALUE"""),0.0)</f>
        <v>0</v>
      </c>
    </row>
    <row r="618">
      <c r="N618" s="98">
        <f>IFERROR(__xludf.DUMMYFUNCTION("""COMPUTED_VALUE"""),44088.0)</f>
        <v>44088</v>
      </c>
      <c r="O618" s="96" t="str">
        <f>IFERROR(__xludf.DUMMYFUNCTION("""COMPUTED_VALUE"""),"ABANG. AM")</f>
        <v>ABANG. AM</v>
      </c>
      <c r="P618" s="96" t="str">
        <f>IFERROR(__xludf.DUMMYFUNCTION("""COMPUTED_VALUE"""),"ADVANCE")</f>
        <v>ADVANCE</v>
      </c>
      <c r="Q618" s="99">
        <f>IFERROR(__xludf.DUMMYFUNCTION("""COMPUTED_VALUE"""),100000.0)</f>
        <v>100000</v>
      </c>
      <c r="R618" s="96" t="str">
        <f>IFERROR(__xludf.DUMMYFUNCTION("""COMPUTED_VALUE"""),"Prefinance")</f>
        <v>Prefinance</v>
      </c>
      <c r="S618" s="99">
        <f>IFERROR(__xludf.DUMMYFUNCTION("""COMPUTED_VALUE"""),0.0)</f>
        <v>0</v>
      </c>
      <c r="T618" s="99">
        <f>IFERROR(__xludf.DUMMYFUNCTION("""COMPUTED_VALUE"""),0.0)</f>
        <v>0</v>
      </c>
      <c r="U618" s="99">
        <f>IFERROR(__xludf.DUMMYFUNCTION("""COMPUTED_VALUE"""),0.0)</f>
        <v>0</v>
      </c>
      <c r="V618" s="99">
        <f>IFERROR(__xludf.DUMMYFUNCTION("""COMPUTED_VALUE"""),0.0)</f>
        <v>0</v>
      </c>
      <c r="W618" s="99">
        <f>IFERROR(__xludf.DUMMYFUNCTION("""COMPUTED_VALUE"""),0.0)</f>
        <v>0</v>
      </c>
    </row>
    <row r="619">
      <c r="N619" s="98">
        <f>IFERROR(__xludf.DUMMYFUNCTION("""COMPUTED_VALUE"""),44088.0)</f>
        <v>44088</v>
      </c>
      <c r="O619" s="96" t="str">
        <f>IFERROR(__xludf.DUMMYFUNCTION("""COMPUTED_VALUE"""),"A. D. FREDERICK")</f>
        <v>A. D. FREDERICK</v>
      </c>
      <c r="P619" s="96" t="str">
        <f>IFERROR(__xludf.DUMMYFUNCTION("""COMPUTED_VALUE"""),"ADVANCE")</f>
        <v>ADVANCE</v>
      </c>
      <c r="Q619" s="99">
        <f>IFERROR(__xludf.DUMMYFUNCTION("""COMPUTED_VALUE"""),200000.0)</f>
        <v>200000</v>
      </c>
      <c r="R619" s="96" t="str">
        <f>IFERROR(__xludf.DUMMYFUNCTION("""COMPUTED_VALUE"""),"Prefinance")</f>
        <v>Prefinance</v>
      </c>
      <c r="S619" s="99">
        <f>IFERROR(__xludf.DUMMYFUNCTION("""COMPUTED_VALUE"""),0.0)</f>
        <v>0</v>
      </c>
      <c r="T619" s="99">
        <f>IFERROR(__xludf.DUMMYFUNCTION("""COMPUTED_VALUE"""),0.0)</f>
        <v>0</v>
      </c>
      <c r="U619" s="99">
        <f>IFERROR(__xludf.DUMMYFUNCTION("""COMPUTED_VALUE"""),0.0)</f>
        <v>0</v>
      </c>
      <c r="V619" s="99">
        <f>IFERROR(__xludf.DUMMYFUNCTION("""COMPUTED_VALUE"""),0.0)</f>
        <v>0</v>
      </c>
      <c r="W619" s="99">
        <f>IFERROR(__xludf.DUMMYFUNCTION("""COMPUTED_VALUE"""),0.0)</f>
        <v>0</v>
      </c>
    </row>
    <row r="620">
      <c r="N620" s="98">
        <f>IFERROR(__xludf.DUMMYFUNCTION("""COMPUTED_VALUE"""),44088.0)</f>
        <v>44088</v>
      </c>
      <c r="O620" s="96" t="str">
        <f>IFERROR(__xludf.DUMMYFUNCTION("""COMPUTED_VALUE"""),"FREDERICK")</f>
        <v>FREDERICK</v>
      </c>
      <c r="P620" s="96" t="str">
        <f>IFERROR(__xludf.DUMMYFUNCTION("""COMPUTED_VALUE"""),"ADVANCE")</f>
        <v>ADVANCE</v>
      </c>
      <c r="Q620" s="99">
        <f>IFERROR(__xludf.DUMMYFUNCTION("""COMPUTED_VALUE"""),50000.0)</f>
        <v>50000</v>
      </c>
      <c r="R620" s="96" t="str">
        <f>IFERROR(__xludf.DUMMYFUNCTION("""COMPUTED_VALUE"""),"Prefinance")</f>
        <v>Prefinance</v>
      </c>
      <c r="S620" s="99">
        <f>IFERROR(__xludf.DUMMYFUNCTION("""COMPUTED_VALUE"""),0.0)</f>
        <v>0</v>
      </c>
      <c r="T620" s="99">
        <f>IFERROR(__xludf.DUMMYFUNCTION("""COMPUTED_VALUE"""),0.0)</f>
        <v>0</v>
      </c>
      <c r="U620" s="99">
        <f>IFERROR(__xludf.DUMMYFUNCTION("""COMPUTED_VALUE"""),0.0)</f>
        <v>0</v>
      </c>
      <c r="V620" s="99">
        <f>IFERROR(__xludf.DUMMYFUNCTION("""COMPUTED_VALUE"""),0.0)</f>
        <v>0</v>
      </c>
      <c r="W620" s="99">
        <f>IFERROR(__xludf.DUMMYFUNCTION("""COMPUTED_VALUE"""),0.0)</f>
        <v>0</v>
      </c>
    </row>
    <row r="621">
      <c r="N621" s="98">
        <f>IFERROR(__xludf.DUMMYFUNCTION("""COMPUTED_VALUE"""),44088.0)</f>
        <v>44088</v>
      </c>
      <c r="O621" s="96" t="str">
        <f>IFERROR(__xludf.DUMMYFUNCTION("""COMPUTED_VALUE"""),"AGEGE BOY")</f>
        <v>AGEGE BOY</v>
      </c>
      <c r="P621" s="96" t="str">
        <f>IFERROR(__xludf.DUMMYFUNCTION("""COMPUTED_VALUE"""),"TRANSPORT")</f>
        <v>TRANSPORT</v>
      </c>
      <c r="Q621" s="99">
        <f>IFERROR(__xludf.DUMMYFUNCTION("""COMPUTED_VALUE"""),3000.0)</f>
        <v>3000</v>
      </c>
      <c r="R621" s="96" t="str">
        <f>IFERROR(__xludf.DUMMYFUNCTION("""COMPUTED_VALUE"""),"Prefinance")</f>
        <v>Prefinance</v>
      </c>
      <c r="S621" s="99">
        <f>IFERROR(__xludf.DUMMYFUNCTION("""COMPUTED_VALUE"""),0.0)</f>
        <v>0</v>
      </c>
      <c r="T621" s="99">
        <f>IFERROR(__xludf.DUMMYFUNCTION("""COMPUTED_VALUE"""),0.0)</f>
        <v>0</v>
      </c>
      <c r="U621" s="99">
        <f>IFERROR(__xludf.DUMMYFUNCTION("""COMPUTED_VALUE"""),0.0)</f>
        <v>0</v>
      </c>
      <c r="V621" s="99">
        <f>IFERROR(__xludf.DUMMYFUNCTION("""COMPUTED_VALUE"""),0.0)</f>
        <v>0</v>
      </c>
      <c r="W621" s="99">
        <f>IFERROR(__xludf.DUMMYFUNCTION("""COMPUTED_VALUE"""),0.0)</f>
        <v>0</v>
      </c>
    </row>
    <row r="622">
      <c r="N622" s="98">
        <f>IFERROR(__xludf.DUMMYFUNCTION("""COMPUTED_VALUE"""),44088.0)</f>
        <v>44088</v>
      </c>
      <c r="O622" s="96" t="str">
        <f>IFERROR(__xludf.DUMMYFUNCTION("""COMPUTED_VALUE"""),"CORNWELL")</f>
        <v>CORNWELL</v>
      </c>
      <c r="P622" s="96" t="str">
        <f>IFERROR(__xludf.DUMMYFUNCTION("""COMPUTED_VALUE"""),"TRANSPORT")</f>
        <v>TRANSPORT</v>
      </c>
      <c r="Q622" s="99">
        <f>IFERROR(__xludf.DUMMYFUNCTION("""COMPUTED_VALUE"""),250000.0)</f>
        <v>250000</v>
      </c>
      <c r="R622" s="96" t="str">
        <f>IFERROR(__xludf.DUMMYFUNCTION("""COMPUTED_VALUE"""),"Prefinance")</f>
        <v>Prefinance</v>
      </c>
      <c r="S622" s="99">
        <f>IFERROR(__xludf.DUMMYFUNCTION("""COMPUTED_VALUE"""),0.0)</f>
        <v>0</v>
      </c>
      <c r="T622" s="99">
        <f>IFERROR(__xludf.DUMMYFUNCTION("""COMPUTED_VALUE"""),0.0)</f>
        <v>0</v>
      </c>
      <c r="U622" s="99">
        <f>IFERROR(__xludf.DUMMYFUNCTION("""COMPUTED_VALUE"""),0.0)</f>
        <v>0</v>
      </c>
      <c r="V622" s="99">
        <f>IFERROR(__xludf.DUMMYFUNCTION("""COMPUTED_VALUE"""),0.0)</f>
        <v>0</v>
      </c>
      <c r="W622" s="99">
        <f>IFERROR(__xludf.DUMMYFUNCTION("""COMPUTED_VALUE"""),0.0)</f>
        <v>0</v>
      </c>
    </row>
    <row r="623">
      <c r="N623" s="98">
        <f>IFERROR(__xludf.DUMMYFUNCTION("""COMPUTED_VALUE"""),44088.0)</f>
        <v>44088</v>
      </c>
      <c r="O623" s="96" t="str">
        <f>IFERROR(__xludf.DUMMYFUNCTION("""COMPUTED_VALUE"""),"BOSURU  BOSURU")</f>
        <v>BOSURU  BOSURU</v>
      </c>
      <c r="P623" s="96" t="str">
        <f>IFERROR(__xludf.DUMMYFUNCTION("""COMPUTED_VALUE"""),"ADVANCE")</f>
        <v>ADVANCE</v>
      </c>
      <c r="Q623" s="99">
        <f>IFERROR(__xludf.DUMMYFUNCTION("""COMPUTED_VALUE"""),70000.0)</f>
        <v>70000</v>
      </c>
      <c r="R623" s="96" t="str">
        <f>IFERROR(__xludf.DUMMYFUNCTION("""COMPUTED_VALUE"""),"Prefinance")</f>
        <v>Prefinance</v>
      </c>
      <c r="S623" s="99">
        <f>IFERROR(__xludf.DUMMYFUNCTION("""COMPUTED_VALUE"""),0.0)</f>
        <v>0</v>
      </c>
      <c r="T623" s="99">
        <f>IFERROR(__xludf.DUMMYFUNCTION("""COMPUTED_VALUE"""),0.0)</f>
        <v>0</v>
      </c>
      <c r="U623" s="99">
        <f>IFERROR(__xludf.DUMMYFUNCTION("""COMPUTED_VALUE"""),0.0)</f>
        <v>0</v>
      </c>
      <c r="V623" s="99">
        <f>IFERROR(__xludf.DUMMYFUNCTION("""COMPUTED_VALUE"""),0.0)</f>
        <v>0</v>
      </c>
      <c r="W623" s="99">
        <f>IFERROR(__xludf.DUMMYFUNCTION("""COMPUTED_VALUE"""),0.0)</f>
        <v>0</v>
      </c>
    </row>
    <row r="624">
      <c r="N624" s="98">
        <f>IFERROR(__xludf.DUMMYFUNCTION("""COMPUTED_VALUE"""),44088.0)</f>
        <v>44088</v>
      </c>
      <c r="O624" s="96" t="str">
        <f>IFERROR(__xludf.DUMMYFUNCTION("""COMPUTED_VALUE"""),"REMMY BODES")</f>
        <v>REMMY BODES</v>
      </c>
      <c r="P624" s="96" t="str">
        <f>IFERROR(__xludf.DUMMYFUNCTION("""COMPUTED_VALUE"""),"TAPOLINE")</f>
        <v>TAPOLINE</v>
      </c>
      <c r="Q624" s="99">
        <f>IFERROR(__xludf.DUMMYFUNCTION("""COMPUTED_VALUE"""),48000.0)</f>
        <v>48000</v>
      </c>
      <c r="R624" s="96" t="str">
        <f>IFERROR(__xludf.DUMMYFUNCTION("""COMPUTED_VALUE"""),"Prefinance")</f>
        <v>Prefinance</v>
      </c>
      <c r="S624" s="99">
        <f>IFERROR(__xludf.DUMMYFUNCTION("""COMPUTED_VALUE"""),0.0)</f>
        <v>0</v>
      </c>
      <c r="T624" s="99">
        <f>IFERROR(__xludf.DUMMYFUNCTION("""COMPUTED_VALUE"""),0.0)</f>
        <v>0</v>
      </c>
      <c r="U624" s="99">
        <f>IFERROR(__xludf.DUMMYFUNCTION("""COMPUTED_VALUE"""),0.0)</f>
        <v>0</v>
      </c>
      <c r="V624" s="99">
        <f>IFERROR(__xludf.DUMMYFUNCTION("""COMPUTED_VALUE"""),0.0)</f>
        <v>0</v>
      </c>
      <c r="W624" s="99">
        <f>IFERROR(__xludf.DUMMYFUNCTION("""COMPUTED_VALUE"""),0.0)</f>
        <v>0</v>
      </c>
    </row>
    <row r="625">
      <c r="N625" s="98">
        <f>IFERROR(__xludf.DUMMYFUNCTION("""COMPUTED_VALUE"""),44088.0)</f>
        <v>44088</v>
      </c>
      <c r="O625" s="96" t="str">
        <f>IFERROR(__xludf.DUMMYFUNCTION("""COMPUTED_VALUE"""),"BOSURU  BOSURU")</f>
        <v>BOSURU  BOSURU</v>
      </c>
      <c r="P625" s="96" t="str">
        <f>IFERROR(__xludf.DUMMYFUNCTION("""COMPUTED_VALUE"""),"TAPOLINE")</f>
        <v>TAPOLINE</v>
      </c>
      <c r="Q625" s="99">
        <f>IFERROR(__xludf.DUMMYFUNCTION("""COMPUTED_VALUE"""),48000.0)</f>
        <v>48000</v>
      </c>
      <c r="R625" s="96" t="str">
        <f>IFERROR(__xludf.DUMMYFUNCTION("""COMPUTED_VALUE"""),"Prefinance")</f>
        <v>Prefinance</v>
      </c>
      <c r="S625" s="99">
        <f>IFERROR(__xludf.DUMMYFUNCTION("""COMPUTED_VALUE"""),0.0)</f>
        <v>0</v>
      </c>
      <c r="T625" s="99">
        <f>IFERROR(__xludf.DUMMYFUNCTION("""COMPUTED_VALUE"""),0.0)</f>
        <v>0</v>
      </c>
      <c r="U625" s="99">
        <f>IFERROR(__xludf.DUMMYFUNCTION("""COMPUTED_VALUE"""),0.0)</f>
        <v>0</v>
      </c>
      <c r="V625" s="99">
        <f>IFERROR(__xludf.DUMMYFUNCTION("""COMPUTED_VALUE"""),0.0)</f>
        <v>0</v>
      </c>
      <c r="W625" s="99">
        <f>IFERROR(__xludf.DUMMYFUNCTION("""COMPUTED_VALUE"""),0.0)</f>
        <v>0</v>
      </c>
    </row>
    <row r="626">
      <c r="N626" s="98">
        <f>IFERROR(__xludf.DUMMYFUNCTION("""COMPUTED_VALUE"""),44088.0)</f>
        <v>44088</v>
      </c>
      <c r="O626" s="96" t="str">
        <f>IFERROR(__xludf.DUMMYFUNCTION("""COMPUTED_VALUE"""),"OTU KOKO KEIBO")</f>
        <v>OTU KOKO KEIBO</v>
      </c>
      <c r="P626" s="96" t="str">
        <f>IFERROR(__xludf.DUMMYFUNCTION("""COMPUTED_VALUE"""),"HAULLAGE")</f>
        <v>HAULLAGE</v>
      </c>
      <c r="Q626" s="99">
        <f>IFERROR(__xludf.DUMMYFUNCTION("""COMPUTED_VALUE"""),56000.0)</f>
        <v>56000</v>
      </c>
      <c r="R626" s="96" t="str">
        <f>IFERROR(__xludf.DUMMYFUNCTION("""COMPUTED_VALUE"""),"Prefinance")</f>
        <v>Prefinance</v>
      </c>
      <c r="S626" s="99">
        <f>IFERROR(__xludf.DUMMYFUNCTION("""COMPUTED_VALUE"""),0.0)</f>
        <v>0</v>
      </c>
      <c r="T626" s="99">
        <f>IFERROR(__xludf.DUMMYFUNCTION("""COMPUTED_VALUE"""),0.0)</f>
        <v>0</v>
      </c>
      <c r="U626" s="99">
        <f>IFERROR(__xludf.DUMMYFUNCTION("""COMPUTED_VALUE"""),0.0)</f>
        <v>0</v>
      </c>
      <c r="V626" s="99">
        <f>IFERROR(__xludf.DUMMYFUNCTION("""COMPUTED_VALUE"""),0.0)</f>
        <v>0</v>
      </c>
      <c r="W626" s="99">
        <f>IFERROR(__xludf.DUMMYFUNCTION("""COMPUTED_VALUE"""),0.0)</f>
        <v>0</v>
      </c>
    </row>
    <row r="627">
      <c r="N627" s="98">
        <f>IFERROR(__xludf.DUMMYFUNCTION("""COMPUTED_VALUE"""),44088.0)</f>
        <v>44088</v>
      </c>
      <c r="O627" s="96" t="str">
        <f>IFERROR(__xludf.DUMMYFUNCTION("""COMPUTED_VALUE"""),"CORNWELL")</f>
        <v>CORNWELL</v>
      </c>
      <c r="P627" s="96" t="str">
        <f>IFERROR(__xludf.DUMMYFUNCTION("""COMPUTED_VALUE"""),"HAULLAGE")</f>
        <v>HAULLAGE</v>
      </c>
      <c r="Q627" s="99">
        <f>IFERROR(__xludf.DUMMYFUNCTION("""COMPUTED_VALUE"""),36000.0)</f>
        <v>36000</v>
      </c>
      <c r="R627" s="96" t="str">
        <f>IFERROR(__xludf.DUMMYFUNCTION("""COMPUTED_VALUE"""),"Prefinance")</f>
        <v>Prefinance</v>
      </c>
      <c r="S627" s="99">
        <f>IFERROR(__xludf.DUMMYFUNCTION("""COMPUTED_VALUE"""),0.0)</f>
        <v>0</v>
      </c>
      <c r="T627" s="99">
        <f>IFERROR(__xludf.DUMMYFUNCTION("""COMPUTED_VALUE"""),0.0)</f>
        <v>0</v>
      </c>
      <c r="U627" s="99">
        <f>IFERROR(__xludf.DUMMYFUNCTION("""COMPUTED_VALUE"""),0.0)</f>
        <v>0</v>
      </c>
      <c r="V627" s="99">
        <f>IFERROR(__xludf.DUMMYFUNCTION("""COMPUTED_VALUE"""),0.0)</f>
        <v>0</v>
      </c>
      <c r="W627" s="99">
        <f>IFERROR(__xludf.DUMMYFUNCTION("""COMPUTED_VALUE"""),0.0)</f>
        <v>0</v>
      </c>
    </row>
    <row r="628">
      <c r="N628" s="98">
        <f>IFERROR(__xludf.DUMMYFUNCTION("""COMPUTED_VALUE"""),44088.0)</f>
        <v>44088</v>
      </c>
      <c r="O628" s="96" t="str">
        <f>IFERROR(__xludf.DUMMYFUNCTION("""COMPUTED_VALUE"""),"DIRECTOR")</f>
        <v>DIRECTOR</v>
      </c>
      <c r="P628" s="96" t="str">
        <f>IFERROR(__xludf.DUMMYFUNCTION("""COMPUTED_VALUE"""),"WIFE")</f>
        <v>WIFE</v>
      </c>
      <c r="Q628" s="99">
        <f>IFERROR(__xludf.DUMMYFUNCTION("""COMPUTED_VALUE"""),20000.0)</f>
        <v>20000</v>
      </c>
      <c r="R628" s="96" t="str">
        <f>IFERROR(__xludf.DUMMYFUNCTION("""COMPUTED_VALUE"""),"General Expenses")</f>
        <v>General Expenses</v>
      </c>
      <c r="S628" s="99">
        <f>IFERROR(__xludf.DUMMYFUNCTION("""COMPUTED_VALUE"""),0.0)</f>
        <v>0</v>
      </c>
      <c r="T628" s="99">
        <f>IFERROR(__xludf.DUMMYFUNCTION("""COMPUTED_VALUE"""),20000.0)</f>
        <v>20000</v>
      </c>
      <c r="U628" s="99">
        <f>IFERROR(__xludf.DUMMYFUNCTION("""COMPUTED_VALUE"""),0.0)</f>
        <v>0</v>
      </c>
      <c r="V628" s="99">
        <f>IFERROR(__xludf.DUMMYFUNCTION("""COMPUTED_VALUE"""),0.0)</f>
        <v>0</v>
      </c>
      <c r="W628" s="99">
        <f>IFERROR(__xludf.DUMMYFUNCTION("""COMPUTED_VALUE"""),0.0)</f>
        <v>0</v>
      </c>
    </row>
    <row r="629">
      <c r="N629" s="98">
        <f>IFERROR(__xludf.DUMMYFUNCTION("""COMPUTED_VALUE"""),44088.0)</f>
        <v>44088</v>
      </c>
      <c r="O629" s="96" t="str">
        <f>IFERROR(__xludf.DUMMYFUNCTION("""COMPUTED_VALUE"""),"JUNIOR")</f>
        <v>JUNIOR</v>
      </c>
      <c r="P629" s="96" t="str">
        <f>IFERROR(__xludf.DUMMYFUNCTION("""COMPUTED_VALUE"""),"LESSON FEE")</f>
        <v>LESSON FEE</v>
      </c>
      <c r="Q629" s="99">
        <f>IFERROR(__xludf.DUMMYFUNCTION("""COMPUTED_VALUE"""),1000.0)</f>
        <v>1000</v>
      </c>
      <c r="R629" s="96" t="str">
        <f>IFERROR(__xludf.DUMMYFUNCTION("""COMPUTED_VALUE"""),"General Expenses")</f>
        <v>General Expenses</v>
      </c>
      <c r="S629" s="99">
        <f>IFERROR(__xludf.DUMMYFUNCTION("""COMPUTED_VALUE"""),0.0)</f>
        <v>0</v>
      </c>
      <c r="T629" s="99">
        <f>IFERROR(__xludf.DUMMYFUNCTION("""COMPUTED_VALUE"""),1000.0)</f>
        <v>1000</v>
      </c>
      <c r="U629" s="99">
        <f>IFERROR(__xludf.DUMMYFUNCTION("""COMPUTED_VALUE"""),0.0)</f>
        <v>0</v>
      </c>
      <c r="V629" s="99">
        <f>IFERROR(__xludf.DUMMYFUNCTION("""COMPUTED_VALUE"""),0.0)</f>
        <v>0</v>
      </c>
      <c r="W629" s="99">
        <f>IFERROR(__xludf.DUMMYFUNCTION("""COMPUTED_VALUE"""),0.0)</f>
        <v>0</v>
      </c>
    </row>
    <row r="630">
      <c r="N630" s="98">
        <f>IFERROR(__xludf.DUMMYFUNCTION("""COMPUTED_VALUE"""),44088.0)</f>
        <v>44088</v>
      </c>
      <c r="O630" s="96" t="str">
        <f>IFERROR(__xludf.DUMMYFUNCTION("""COMPUTED_VALUE"""),"SOLAR MAN")</f>
        <v>SOLAR MAN</v>
      </c>
      <c r="P630" s="96" t="str">
        <f>IFERROR(__xludf.DUMMYFUNCTION("""COMPUTED_VALUE"""),"SOLAR")</f>
        <v>SOLAR</v>
      </c>
      <c r="Q630" s="99">
        <f>IFERROR(__xludf.DUMMYFUNCTION("""COMPUTED_VALUE"""),25000.0)</f>
        <v>25000</v>
      </c>
      <c r="R630" s="96" t="str">
        <f>IFERROR(__xludf.DUMMYFUNCTION("""COMPUTED_VALUE"""),"General Expenses")</f>
        <v>General Expenses</v>
      </c>
      <c r="S630" s="99">
        <f>IFERROR(__xludf.DUMMYFUNCTION("""COMPUTED_VALUE"""),0.0)</f>
        <v>0</v>
      </c>
      <c r="T630" s="99">
        <f>IFERROR(__xludf.DUMMYFUNCTION("""COMPUTED_VALUE"""),25000.0)</f>
        <v>25000</v>
      </c>
      <c r="U630" s="99">
        <f>IFERROR(__xludf.DUMMYFUNCTION("""COMPUTED_VALUE"""),0.0)</f>
        <v>0</v>
      </c>
      <c r="V630" s="99">
        <f>IFERROR(__xludf.DUMMYFUNCTION("""COMPUTED_VALUE"""),0.0)</f>
        <v>0</v>
      </c>
      <c r="W630" s="99">
        <f>IFERROR(__xludf.DUMMYFUNCTION("""COMPUTED_VALUE"""),0.0)</f>
        <v>0</v>
      </c>
    </row>
    <row r="631">
      <c r="N631" s="98">
        <f>IFERROR(__xludf.DUMMYFUNCTION("""COMPUTED_VALUE"""),44088.0)</f>
        <v>44088</v>
      </c>
      <c r="O631" s="96" t="str">
        <f>IFERROR(__xludf.DUMMYFUNCTION("""COMPUTED_VALUE"""),"MORPHY")</f>
        <v>MORPHY</v>
      </c>
      <c r="P631" s="96" t="str">
        <f>IFERROR(__xludf.DUMMYFUNCTION("""COMPUTED_VALUE"""),"LAPTOP")</f>
        <v>LAPTOP</v>
      </c>
      <c r="Q631" s="99">
        <f>IFERROR(__xludf.DUMMYFUNCTION("""COMPUTED_VALUE"""),40000.0)</f>
        <v>40000</v>
      </c>
      <c r="R631" s="96" t="str">
        <f>IFERROR(__xludf.DUMMYFUNCTION("""COMPUTED_VALUE"""),"General Expenses")</f>
        <v>General Expenses</v>
      </c>
      <c r="S631" s="99">
        <f>IFERROR(__xludf.DUMMYFUNCTION("""COMPUTED_VALUE"""),0.0)</f>
        <v>0</v>
      </c>
      <c r="T631" s="99">
        <f>IFERROR(__xludf.DUMMYFUNCTION("""COMPUTED_VALUE"""),40000.0)</f>
        <v>40000</v>
      </c>
      <c r="U631" s="99">
        <f>IFERROR(__xludf.DUMMYFUNCTION("""COMPUTED_VALUE"""),0.0)</f>
        <v>0</v>
      </c>
      <c r="V631" s="99">
        <f>IFERROR(__xludf.DUMMYFUNCTION("""COMPUTED_VALUE"""),0.0)</f>
        <v>0</v>
      </c>
      <c r="W631" s="99">
        <f>IFERROR(__xludf.DUMMYFUNCTION("""COMPUTED_VALUE"""),0.0)</f>
        <v>0</v>
      </c>
    </row>
    <row r="632">
      <c r="N632" s="98">
        <f>IFERROR(__xludf.DUMMYFUNCTION("""COMPUTED_VALUE"""),44088.0)</f>
        <v>44088</v>
      </c>
      <c r="O632" s="96" t="str">
        <f>IFERROR(__xludf.DUMMYFUNCTION("""COMPUTED_VALUE"""),"CHIKA")</f>
        <v>CHIKA</v>
      </c>
      <c r="P632" s="96" t="str">
        <f>IFERROR(__xludf.DUMMYFUNCTION("""COMPUTED_VALUE"""),"CHEMICAL")</f>
        <v>CHEMICAL</v>
      </c>
      <c r="Q632" s="99">
        <f>IFERROR(__xludf.DUMMYFUNCTION("""COMPUTED_VALUE"""),18000.0)</f>
        <v>18000</v>
      </c>
      <c r="R632" s="96" t="str">
        <f>IFERROR(__xludf.DUMMYFUNCTION("""COMPUTED_VALUE"""),"General Expenses")</f>
        <v>General Expenses</v>
      </c>
      <c r="S632" s="99">
        <f>IFERROR(__xludf.DUMMYFUNCTION("""COMPUTED_VALUE"""),0.0)</f>
        <v>0</v>
      </c>
      <c r="T632" s="99">
        <f>IFERROR(__xludf.DUMMYFUNCTION("""COMPUTED_VALUE"""),18000.0)</f>
        <v>18000</v>
      </c>
      <c r="U632" s="99">
        <f>IFERROR(__xludf.DUMMYFUNCTION("""COMPUTED_VALUE"""),0.0)</f>
        <v>0</v>
      </c>
      <c r="V632" s="99">
        <f>IFERROR(__xludf.DUMMYFUNCTION("""COMPUTED_VALUE"""),0.0)</f>
        <v>0</v>
      </c>
      <c r="W632" s="99">
        <f>IFERROR(__xludf.DUMMYFUNCTION("""COMPUTED_VALUE"""),0.0)</f>
        <v>0</v>
      </c>
    </row>
    <row r="633">
      <c r="N633" s="98">
        <f>IFERROR(__xludf.DUMMYFUNCTION("""COMPUTED_VALUE"""),44088.0)</f>
        <v>44088</v>
      </c>
      <c r="O633" s="96" t="str">
        <f>IFERROR(__xludf.DUMMYFUNCTION("""COMPUTED_VALUE"""),"BLESSING CHAPMAN")</f>
        <v>BLESSING CHAPMAN</v>
      </c>
      <c r="P633" s="96" t="str">
        <f>IFERROR(__xludf.DUMMYFUNCTION("""COMPUTED_VALUE"""),"CASH COLLECTED")</f>
        <v>CASH COLLECTED</v>
      </c>
      <c r="Q633" s="99">
        <f>IFERROR(__xludf.DUMMYFUNCTION("""COMPUTED_VALUE"""),419300.0)</f>
        <v>419300</v>
      </c>
      <c r="R633" s="96" t="str">
        <f>IFERROR(__xludf.DUMMYFUNCTION("""COMPUTED_VALUE"""),"Petty Cash")</f>
        <v>Petty Cash</v>
      </c>
      <c r="S633" s="99">
        <f>IFERROR(__xludf.DUMMYFUNCTION("""COMPUTED_VALUE"""),0.0)</f>
        <v>0</v>
      </c>
      <c r="T633" s="99">
        <f>IFERROR(__xludf.DUMMYFUNCTION("""COMPUTED_VALUE"""),0.0)</f>
        <v>0</v>
      </c>
      <c r="U633" s="99">
        <f>IFERROR(__xludf.DUMMYFUNCTION("""COMPUTED_VALUE"""),0.0)</f>
        <v>0</v>
      </c>
      <c r="V633" s="99">
        <f>IFERROR(__xludf.DUMMYFUNCTION("""COMPUTED_VALUE"""),419300.0)</f>
        <v>419300</v>
      </c>
      <c r="W633" s="99">
        <f>IFERROR(__xludf.DUMMYFUNCTION("""COMPUTED_VALUE"""),0.0)</f>
        <v>0</v>
      </c>
    </row>
    <row r="634">
      <c r="N634" s="98">
        <f>IFERROR(__xludf.DUMMYFUNCTION("""COMPUTED_VALUE"""),44088.0)</f>
        <v>44088</v>
      </c>
      <c r="O634" s="96" t="str">
        <f>IFERROR(__xludf.DUMMYFUNCTION("""COMPUTED_VALUE"""),"MANAGER")</f>
        <v>MANAGER</v>
      </c>
      <c r="P634" s="96" t="str">
        <f>IFERROR(__xludf.DUMMYFUNCTION("""COMPUTED_VALUE"""),"CASH-IN")</f>
        <v>CASH-IN</v>
      </c>
      <c r="Q634" s="99">
        <f>IFERROR(__xludf.DUMMYFUNCTION("""COMPUTED_VALUE"""),1000000.0)</f>
        <v>1000000</v>
      </c>
      <c r="R634" s="96" t="str">
        <f>IFERROR(__xludf.DUMMYFUNCTION("""COMPUTED_VALUE"""),"From Bank")</f>
        <v>From Bank</v>
      </c>
      <c r="S634" s="99">
        <f>IFERROR(__xludf.DUMMYFUNCTION("""COMPUTED_VALUE"""),0.0)</f>
        <v>0</v>
      </c>
      <c r="T634" s="99">
        <f>IFERROR(__xludf.DUMMYFUNCTION("""COMPUTED_VALUE"""),0.0)</f>
        <v>0</v>
      </c>
      <c r="U634" s="99">
        <f>IFERROR(__xludf.DUMMYFUNCTION("""COMPUTED_VALUE"""),1000000.0)</f>
        <v>1000000</v>
      </c>
      <c r="V634" s="99">
        <f>IFERROR(__xludf.DUMMYFUNCTION("""COMPUTED_VALUE"""),0.0)</f>
        <v>0</v>
      </c>
      <c r="W634" s="99">
        <f>IFERROR(__xludf.DUMMYFUNCTION("""COMPUTED_VALUE"""),0.0)</f>
        <v>0</v>
      </c>
    </row>
    <row r="635">
      <c r="N635" s="98">
        <f>IFERROR(__xludf.DUMMYFUNCTION("""COMPUTED_VALUE"""),44085.0)</f>
        <v>44085</v>
      </c>
      <c r="O635" s="96" t="str">
        <f>IFERROR(__xludf.DUMMYFUNCTION("""COMPUTED_VALUE"""),"AGEGE BOY")</f>
        <v>AGEGE BOY</v>
      </c>
      <c r="P635" s="96" t="str">
        <f>IFERROR(__xludf.DUMMYFUNCTION("""COMPUTED_VALUE"""),"CORRECTION")</f>
        <v>CORRECTION</v>
      </c>
      <c r="Q635" s="99">
        <f>IFERROR(__xludf.DUMMYFUNCTION("""COMPUTED_VALUE"""),600.0)</f>
        <v>600</v>
      </c>
      <c r="R635" s="96" t="str">
        <f>IFERROR(__xludf.DUMMYFUNCTION("""COMPUTED_VALUE"""),"Prefinance")</f>
        <v>Prefinance</v>
      </c>
      <c r="S635" s="99">
        <f>IFERROR(__xludf.DUMMYFUNCTION("""COMPUTED_VALUE"""),0.0)</f>
        <v>0</v>
      </c>
      <c r="T635" s="99">
        <f>IFERROR(__xludf.DUMMYFUNCTION("""COMPUTED_VALUE"""),0.0)</f>
        <v>0</v>
      </c>
      <c r="U635" s="99">
        <f>IFERROR(__xludf.DUMMYFUNCTION("""COMPUTED_VALUE"""),0.0)</f>
        <v>0</v>
      </c>
      <c r="V635" s="99">
        <f>IFERROR(__xludf.DUMMYFUNCTION("""COMPUTED_VALUE"""),0.0)</f>
        <v>0</v>
      </c>
      <c r="W635" s="99">
        <f>IFERROR(__xludf.DUMMYFUNCTION("""COMPUTED_VALUE"""),0.0)</f>
        <v>0</v>
      </c>
    </row>
    <row r="636">
      <c r="N636" s="98">
        <f>IFERROR(__xludf.DUMMYFUNCTION("""COMPUTED_VALUE"""),44074.0)</f>
        <v>44074</v>
      </c>
      <c r="O636" s="96" t="str">
        <f>IFERROR(__xludf.DUMMYFUNCTION("""COMPUTED_VALUE"""),"LYDIA HNSON ")</f>
        <v>LYDIA HNSON </v>
      </c>
      <c r="P636" s="96" t="str">
        <f>IFERROR(__xludf.DUMMYFUNCTION("""COMPUTED_VALUE"""),"CORRECTION")</f>
        <v>CORRECTION</v>
      </c>
      <c r="Q636" s="99">
        <f>IFERROR(__xludf.DUMMYFUNCTION("""COMPUTED_VALUE"""),-35000.0)</f>
        <v>-35000</v>
      </c>
      <c r="R636" s="96" t="str">
        <f>IFERROR(__xludf.DUMMYFUNCTION("""COMPUTED_VALUE"""),"Prefinance")</f>
        <v>Prefinance</v>
      </c>
      <c r="S636" s="99">
        <f>IFERROR(__xludf.DUMMYFUNCTION("""COMPUTED_VALUE"""),0.0)</f>
        <v>0</v>
      </c>
      <c r="T636" s="99">
        <f>IFERROR(__xludf.DUMMYFUNCTION("""COMPUTED_VALUE"""),0.0)</f>
        <v>0</v>
      </c>
      <c r="U636" s="99">
        <f>IFERROR(__xludf.DUMMYFUNCTION("""COMPUTED_VALUE"""),0.0)</f>
        <v>0</v>
      </c>
      <c r="V636" s="99">
        <f>IFERROR(__xludf.DUMMYFUNCTION("""COMPUTED_VALUE"""),0.0)</f>
        <v>0</v>
      </c>
      <c r="W636" s="99">
        <f>IFERROR(__xludf.DUMMYFUNCTION("""COMPUTED_VALUE"""),0.0)</f>
        <v>0</v>
      </c>
    </row>
    <row r="637">
      <c r="N637" s="98">
        <f>IFERROR(__xludf.DUMMYFUNCTION("""COMPUTED_VALUE"""),44074.0)</f>
        <v>44074</v>
      </c>
      <c r="O637" s="96" t="str">
        <f>IFERROR(__xludf.DUMMYFUNCTION("""COMPUTED_VALUE"""),"AGEGE BOY")</f>
        <v>AGEGE BOY</v>
      </c>
      <c r="P637" s="96" t="str">
        <f>IFERROR(__xludf.DUMMYFUNCTION("""COMPUTED_VALUE"""),"THOG LINDA")</f>
        <v>THOG LINDA</v>
      </c>
      <c r="Q637" s="99">
        <f>IFERROR(__xludf.DUMMYFUNCTION("""COMPUTED_VALUE"""),35000.0)</f>
        <v>35000</v>
      </c>
      <c r="R637" s="96" t="str">
        <f>IFERROR(__xludf.DUMMYFUNCTION("""COMPUTED_VALUE"""),"Prefinance")</f>
        <v>Prefinance</v>
      </c>
      <c r="S637" s="99">
        <f>IFERROR(__xludf.DUMMYFUNCTION("""COMPUTED_VALUE"""),0.0)</f>
        <v>0</v>
      </c>
      <c r="T637" s="99">
        <f>IFERROR(__xludf.DUMMYFUNCTION("""COMPUTED_VALUE"""),0.0)</f>
        <v>0</v>
      </c>
      <c r="U637" s="99">
        <f>IFERROR(__xludf.DUMMYFUNCTION("""COMPUTED_VALUE"""),0.0)</f>
        <v>0</v>
      </c>
      <c r="V637" s="99">
        <f>IFERROR(__xludf.DUMMYFUNCTION("""COMPUTED_VALUE"""),0.0)</f>
        <v>0</v>
      </c>
      <c r="W637" s="99">
        <f>IFERROR(__xludf.DUMMYFUNCTION("""COMPUTED_VALUE"""),0.0)</f>
        <v>0</v>
      </c>
    </row>
    <row r="638">
      <c r="N638" s="98">
        <f>IFERROR(__xludf.DUMMYFUNCTION("""COMPUTED_VALUE"""),44089.0)</f>
        <v>44089</v>
      </c>
      <c r="O638" s="96" t="str">
        <f>IFERROR(__xludf.DUMMYFUNCTION("""COMPUTED_VALUE"""),"ABANG. ODI")</f>
        <v>ABANG. ODI</v>
      </c>
      <c r="P638" s="96" t="str">
        <f>IFERROR(__xludf.DUMMYFUNCTION("""COMPUTED_VALUE"""),"HAULLAGE (DIR)")</f>
        <v>HAULLAGE (DIR)</v>
      </c>
      <c r="Q638" s="99">
        <f>IFERROR(__xludf.DUMMYFUNCTION("""COMPUTED_VALUE"""),10000.0)</f>
        <v>10000</v>
      </c>
      <c r="R638" s="96" t="str">
        <f>IFERROR(__xludf.DUMMYFUNCTION("""COMPUTED_VALUE"""),"Prefinance")</f>
        <v>Prefinance</v>
      </c>
      <c r="S638" s="99">
        <f>IFERROR(__xludf.DUMMYFUNCTION("""COMPUTED_VALUE"""),0.0)</f>
        <v>0</v>
      </c>
      <c r="T638" s="99">
        <f>IFERROR(__xludf.DUMMYFUNCTION("""COMPUTED_VALUE"""),0.0)</f>
        <v>0</v>
      </c>
      <c r="U638" s="99">
        <f>IFERROR(__xludf.DUMMYFUNCTION("""COMPUTED_VALUE"""),0.0)</f>
        <v>0</v>
      </c>
      <c r="V638" s="99">
        <f>IFERROR(__xludf.DUMMYFUNCTION("""COMPUTED_VALUE"""),0.0)</f>
        <v>0</v>
      </c>
      <c r="W638" s="99">
        <f>IFERROR(__xludf.DUMMYFUNCTION("""COMPUTED_VALUE"""),0.0)</f>
        <v>0</v>
      </c>
    </row>
    <row r="639">
      <c r="N639" s="98">
        <f>IFERROR(__xludf.DUMMYFUNCTION("""COMPUTED_VALUE"""),44089.0)</f>
        <v>44089</v>
      </c>
      <c r="O639" s="96" t="str">
        <f>IFERROR(__xludf.DUMMYFUNCTION("""COMPUTED_VALUE"""),"ABANG. ORU")</f>
        <v>ABANG. ORU</v>
      </c>
      <c r="P639" s="96" t="str">
        <f>IFERROR(__xludf.DUMMYFUNCTION("""COMPUTED_VALUE"""),"ADVANCE")</f>
        <v>ADVANCE</v>
      </c>
      <c r="Q639" s="99">
        <f>IFERROR(__xludf.DUMMYFUNCTION("""COMPUTED_VALUE"""),50000.0)</f>
        <v>50000</v>
      </c>
      <c r="R639" s="96" t="str">
        <f>IFERROR(__xludf.DUMMYFUNCTION("""COMPUTED_VALUE"""),"Prefinance")</f>
        <v>Prefinance</v>
      </c>
      <c r="S639" s="99">
        <f>IFERROR(__xludf.DUMMYFUNCTION("""COMPUTED_VALUE"""),0.0)</f>
        <v>0</v>
      </c>
      <c r="T639" s="99">
        <f>IFERROR(__xludf.DUMMYFUNCTION("""COMPUTED_VALUE"""),0.0)</f>
        <v>0</v>
      </c>
      <c r="U639" s="99">
        <f>IFERROR(__xludf.DUMMYFUNCTION("""COMPUTED_VALUE"""),0.0)</f>
        <v>0</v>
      </c>
      <c r="V639" s="99">
        <f>IFERROR(__xludf.DUMMYFUNCTION("""COMPUTED_VALUE"""),0.0)</f>
        <v>0</v>
      </c>
      <c r="W639" s="99">
        <f>IFERROR(__xludf.DUMMYFUNCTION("""COMPUTED_VALUE"""),0.0)</f>
        <v>0</v>
      </c>
    </row>
    <row r="640">
      <c r="N640" s="98">
        <f>IFERROR(__xludf.DUMMYFUNCTION("""COMPUTED_VALUE"""),44089.0)</f>
        <v>44089</v>
      </c>
      <c r="O640" s="96" t="str">
        <f>IFERROR(__xludf.DUMMYFUNCTION("""COMPUTED_VALUE""")," MAXWELL AGRO")</f>
        <v> MAXWELL AGRO</v>
      </c>
      <c r="P640" s="96" t="str">
        <f>IFERROR(__xludf.DUMMYFUNCTION("""COMPUTED_VALUE"""),"TRANSPORT")</f>
        <v>TRANSPORT</v>
      </c>
      <c r="Q640" s="99">
        <f>IFERROR(__xludf.DUMMYFUNCTION("""COMPUTED_VALUE"""),4500.0)</f>
        <v>4500</v>
      </c>
      <c r="R640" s="96" t="str">
        <f>IFERROR(__xludf.DUMMYFUNCTION("""COMPUTED_VALUE"""),"Prefinance")</f>
        <v>Prefinance</v>
      </c>
      <c r="S640" s="99">
        <f>IFERROR(__xludf.DUMMYFUNCTION("""COMPUTED_VALUE"""),0.0)</f>
        <v>0</v>
      </c>
      <c r="T640" s="99">
        <f>IFERROR(__xludf.DUMMYFUNCTION("""COMPUTED_VALUE"""),0.0)</f>
        <v>0</v>
      </c>
      <c r="U640" s="99">
        <f>IFERROR(__xludf.DUMMYFUNCTION("""COMPUTED_VALUE"""),0.0)</f>
        <v>0</v>
      </c>
      <c r="V640" s="99">
        <f>IFERROR(__xludf.DUMMYFUNCTION("""COMPUTED_VALUE"""),0.0)</f>
        <v>0</v>
      </c>
      <c r="W640" s="99">
        <f>IFERROR(__xludf.DUMMYFUNCTION("""COMPUTED_VALUE"""),0.0)</f>
        <v>0</v>
      </c>
    </row>
    <row r="641">
      <c r="N641" s="98">
        <f>IFERROR(__xludf.DUMMYFUNCTION("""COMPUTED_VALUE"""),44089.0)</f>
        <v>44089</v>
      </c>
      <c r="O641" s="96" t="str">
        <f>IFERROR(__xludf.DUMMYFUNCTION("""COMPUTED_VALUE"""),"BOSURU  BOSURU")</f>
        <v>BOSURU  BOSURU</v>
      </c>
      <c r="P641" s="96" t="str">
        <f>IFERROR(__xludf.DUMMYFUNCTION("""COMPUTED_VALUE"""),"ADVANCE")</f>
        <v>ADVANCE</v>
      </c>
      <c r="Q641" s="99">
        <f>IFERROR(__xludf.DUMMYFUNCTION("""COMPUTED_VALUE"""),750000.0)</f>
        <v>750000</v>
      </c>
      <c r="R641" s="96" t="str">
        <f>IFERROR(__xludf.DUMMYFUNCTION("""COMPUTED_VALUE"""),"Prefinance")</f>
        <v>Prefinance</v>
      </c>
      <c r="S641" s="99">
        <f>IFERROR(__xludf.DUMMYFUNCTION("""COMPUTED_VALUE"""),0.0)</f>
        <v>0</v>
      </c>
      <c r="T641" s="99">
        <f>IFERROR(__xludf.DUMMYFUNCTION("""COMPUTED_VALUE"""),0.0)</f>
        <v>0</v>
      </c>
      <c r="U641" s="99">
        <f>IFERROR(__xludf.DUMMYFUNCTION("""COMPUTED_VALUE"""),0.0)</f>
        <v>0</v>
      </c>
      <c r="V641" s="99">
        <f>IFERROR(__xludf.DUMMYFUNCTION("""COMPUTED_VALUE"""),0.0)</f>
        <v>0</v>
      </c>
      <c r="W641" s="99">
        <f>IFERROR(__xludf.DUMMYFUNCTION("""COMPUTED_VALUE"""),0.0)</f>
        <v>0</v>
      </c>
    </row>
    <row r="642">
      <c r="N642" s="98">
        <f>IFERROR(__xludf.DUMMYFUNCTION("""COMPUTED_VALUE"""),44089.0)</f>
        <v>44089</v>
      </c>
      <c r="O642" s="96" t="str">
        <f>IFERROR(__xludf.DUMMYFUNCTION("""COMPUTED_VALUE"""),"REMMY BODES")</f>
        <v>REMMY BODES</v>
      </c>
      <c r="P642" s="96" t="str">
        <f>IFERROR(__xludf.DUMMYFUNCTION("""COMPUTED_VALUE"""),"ADVANCE")</f>
        <v>ADVANCE</v>
      </c>
      <c r="Q642" s="99">
        <f>IFERROR(__xludf.DUMMYFUNCTION("""COMPUTED_VALUE"""),500000.0)</f>
        <v>500000</v>
      </c>
      <c r="R642" s="96" t="str">
        <f>IFERROR(__xludf.DUMMYFUNCTION("""COMPUTED_VALUE"""),"Prefinance")</f>
        <v>Prefinance</v>
      </c>
      <c r="S642" s="99">
        <f>IFERROR(__xludf.DUMMYFUNCTION("""COMPUTED_VALUE"""),0.0)</f>
        <v>0</v>
      </c>
      <c r="T642" s="99">
        <f>IFERROR(__xludf.DUMMYFUNCTION("""COMPUTED_VALUE"""),0.0)</f>
        <v>0</v>
      </c>
      <c r="U642" s="99">
        <f>IFERROR(__xludf.DUMMYFUNCTION("""COMPUTED_VALUE"""),0.0)</f>
        <v>0</v>
      </c>
      <c r="V642" s="99">
        <f>IFERROR(__xludf.DUMMYFUNCTION("""COMPUTED_VALUE"""),0.0)</f>
        <v>0</v>
      </c>
      <c r="W642" s="99">
        <f>IFERROR(__xludf.DUMMYFUNCTION("""COMPUTED_VALUE"""),0.0)</f>
        <v>0</v>
      </c>
    </row>
    <row r="643">
      <c r="N643" s="98">
        <f>IFERROR(__xludf.DUMMYFUNCTION("""COMPUTED_VALUE"""),44089.0)</f>
        <v>44089</v>
      </c>
      <c r="O643" s="96" t="str">
        <f>IFERROR(__xludf.DUMMYFUNCTION("""COMPUTED_VALUE"""),"A. D. FREDERICK")</f>
        <v>A. D. FREDERICK</v>
      </c>
      <c r="P643" s="96" t="str">
        <f>IFERROR(__xludf.DUMMYFUNCTION("""COMPUTED_VALUE"""),"ADVANCE")</f>
        <v>ADVANCE</v>
      </c>
      <c r="Q643" s="99">
        <f>IFERROR(__xludf.DUMMYFUNCTION("""COMPUTED_VALUE"""),340000.0)</f>
        <v>340000</v>
      </c>
      <c r="R643" s="96" t="str">
        <f>IFERROR(__xludf.DUMMYFUNCTION("""COMPUTED_VALUE"""),"Prefinance")</f>
        <v>Prefinance</v>
      </c>
      <c r="S643" s="99">
        <f>IFERROR(__xludf.DUMMYFUNCTION("""COMPUTED_VALUE"""),0.0)</f>
        <v>0</v>
      </c>
      <c r="T643" s="99">
        <f>IFERROR(__xludf.DUMMYFUNCTION("""COMPUTED_VALUE"""),0.0)</f>
        <v>0</v>
      </c>
      <c r="U643" s="99">
        <f>IFERROR(__xludf.DUMMYFUNCTION("""COMPUTED_VALUE"""),0.0)</f>
        <v>0</v>
      </c>
      <c r="V643" s="99">
        <f>IFERROR(__xludf.DUMMYFUNCTION("""COMPUTED_VALUE"""),0.0)</f>
        <v>0</v>
      </c>
      <c r="W643" s="99">
        <f>IFERROR(__xludf.DUMMYFUNCTION("""COMPUTED_VALUE"""),0.0)</f>
        <v>0</v>
      </c>
    </row>
    <row r="644">
      <c r="N644" s="98">
        <f>IFERROR(__xludf.DUMMYFUNCTION("""COMPUTED_VALUE"""),44089.0)</f>
        <v>44089</v>
      </c>
      <c r="O644" s="96" t="str">
        <f>IFERROR(__xludf.DUMMYFUNCTION("""COMPUTED_VALUE"""),"PRINNESS")</f>
        <v>PRINNESS</v>
      </c>
      <c r="P644" s="96" t="str">
        <f>IFERROR(__xludf.DUMMYFUNCTION("""COMPUTED_VALUE"""),"ADVANCE")</f>
        <v>ADVANCE</v>
      </c>
      <c r="Q644" s="99">
        <f>IFERROR(__xludf.DUMMYFUNCTION("""COMPUTED_VALUE"""),10000.0)</f>
        <v>10000</v>
      </c>
      <c r="R644" s="96" t="str">
        <f>IFERROR(__xludf.DUMMYFUNCTION("""COMPUTED_VALUE"""),"Prefinance")</f>
        <v>Prefinance</v>
      </c>
      <c r="S644" s="99">
        <f>IFERROR(__xludf.DUMMYFUNCTION("""COMPUTED_VALUE"""),0.0)</f>
        <v>0</v>
      </c>
      <c r="T644" s="99">
        <f>IFERROR(__xludf.DUMMYFUNCTION("""COMPUTED_VALUE"""),0.0)</f>
        <v>0</v>
      </c>
      <c r="U644" s="99">
        <f>IFERROR(__xludf.DUMMYFUNCTION("""COMPUTED_VALUE"""),0.0)</f>
        <v>0</v>
      </c>
      <c r="V644" s="99">
        <f>IFERROR(__xludf.DUMMYFUNCTION("""COMPUTED_VALUE"""),0.0)</f>
        <v>0</v>
      </c>
      <c r="W644" s="99">
        <f>IFERROR(__xludf.DUMMYFUNCTION("""COMPUTED_VALUE"""),0.0)</f>
        <v>0</v>
      </c>
    </row>
    <row r="645">
      <c r="N645" s="98">
        <f>IFERROR(__xludf.DUMMYFUNCTION("""COMPUTED_VALUE"""),44089.0)</f>
        <v>44089</v>
      </c>
      <c r="O645" s="96" t="str">
        <f>IFERROR(__xludf.DUMMYFUNCTION("""COMPUTED_VALUE"""),"DIRECTOR")</f>
        <v>DIRECTOR</v>
      </c>
      <c r="P645" s="96" t="str">
        <f>IFERROR(__xludf.DUMMYFUNCTION("""COMPUTED_VALUE"""),"TRANSFERED")</f>
        <v>TRANSFERED</v>
      </c>
      <c r="Q645" s="99">
        <f>IFERROR(__xludf.DUMMYFUNCTION("""COMPUTED_VALUE"""),25000.0)</f>
        <v>25000</v>
      </c>
      <c r="R645" s="96" t="str">
        <f>IFERROR(__xludf.DUMMYFUNCTION("""COMPUTED_VALUE"""),"From Bank")</f>
        <v>From Bank</v>
      </c>
      <c r="S645" s="99">
        <f>IFERROR(__xludf.DUMMYFUNCTION("""COMPUTED_VALUE"""),0.0)</f>
        <v>0</v>
      </c>
      <c r="T645" s="99">
        <f>IFERROR(__xludf.DUMMYFUNCTION("""COMPUTED_VALUE"""),0.0)</f>
        <v>0</v>
      </c>
      <c r="U645" s="99">
        <f>IFERROR(__xludf.DUMMYFUNCTION("""COMPUTED_VALUE"""),25000.0)</f>
        <v>25000</v>
      </c>
      <c r="V645" s="99">
        <f>IFERROR(__xludf.DUMMYFUNCTION("""COMPUTED_VALUE"""),0.0)</f>
        <v>0</v>
      </c>
      <c r="W645" s="99">
        <f>IFERROR(__xludf.DUMMYFUNCTION("""COMPUTED_VALUE"""),0.0)</f>
        <v>0</v>
      </c>
    </row>
    <row r="646">
      <c r="N646" s="98">
        <f>IFERROR(__xludf.DUMMYFUNCTION("""COMPUTED_VALUE"""),44089.0)</f>
        <v>44089</v>
      </c>
      <c r="O646" s="96" t="str">
        <f>IFERROR(__xludf.DUMMYFUNCTION("""COMPUTED_VALUE"""),"AYUK BLESSING")</f>
        <v>AYUK BLESSING</v>
      </c>
      <c r="P646" s="96" t="str">
        <f>IFERROR(__xludf.DUMMYFUNCTION("""COMPUTED_VALUE"""),"SALARY ADVANCE")</f>
        <v>SALARY ADVANCE</v>
      </c>
      <c r="Q646" s="99">
        <f>IFERROR(__xludf.DUMMYFUNCTION("""COMPUTED_VALUE"""),15000.0)</f>
        <v>15000</v>
      </c>
      <c r="R646" s="96" t="str">
        <f>IFERROR(__xludf.DUMMYFUNCTION("""COMPUTED_VALUE"""),"General Expenses")</f>
        <v>General Expenses</v>
      </c>
      <c r="S646" s="99">
        <f>IFERROR(__xludf.DUMMYFUNCTION("""COMPUTED_VALUE"""),0.0)</f>
        <v>0</v>
      </c>
      <c r="T646" s="99">
        <f>IFERROR(__xludf.DUMMYFUNCTION("""COMPUTED_VALUE"""),15000.0)</f>
        <v>15000</v>
      </c>
      <c r="U646" s="99">
        <f>IFERROR(__xludf.DUMMYFUNCTION("""COMPUTED_VALUE"""),0.0)</f>
        <v>0</v>
      </c>
      <c r="V646" s="99">
        <f>IFERROR(__xludf.DUMMYFUNCTION("""COMPUTED_VALUE"""),0.0)</f>
        <v>0</v>
      </c>
      <c r="W646" s="99">
        <f>IFERROR(__xludf.DUMMYFUNCTION("""COMPUTED_VALUE"""),0.0)</f>
        <v>0</v>
      </c>
    </row>
    <row r="647">
      <c r="N647" s="98">
        <f>IFERROR(__xludf.DUMMYFUNCTION("""COMPUTED_VALUE"""),44089.0)</f>
        <v>44089</v>
      </c>
      <c r="O647" s="96" t="str">
        <f>IFERROR(__xludf.DUMMYFUNCTION("""COMPUTED_VALUE"""),"LABOUR  BOY")</f>
        <v>LABOUR  BOY</v>
      </c>
      <c r="P647" s="96" t="str">
        <f>IFERROR(__xludf.DUMMYFUNCTION("""COMPUTED_VALUE"""),"WAGES ADVANCE")</f>
        <v>WAGES ADVANCE</v>
      </c>
      <c r="Q647" s="99">
        <f>IFERROR(__xludf.DUMMYFUNCTION("""COMPUTED_VALUE"""),4000.0)</f>
        <v>4000</v>
      </c>
      <c r="R647" s="96" t="str">
        <f>IFERROR(__xludf.DUMMYFUNCTION("""COMPUTED_VALUE"""),"General Expenses")</f>
        <v>General Expenses</v>
      </c>
      <c r="S647" s="99">
        <f>IFERROR(__xludf.DUMMYFUNCTION("""COMPUTED_VALUE"""),0.0)</f>
        <v>0</v>
      </c>
      <c r="T647" s="99">
        <f>IFERROR(__xludf.DUMMYFUNCTION("""COMPUTED_VALUE"""),4000.0)</f>
        <v>4000</v>
      </c>
      <c r="U647" s="99">
        <f>IFERROR(__xludf.DUMMYFUNCTION("""COMPUTED_VALUE"""),0.0)</f>
        <v>0</v>
      </c>
      <c r="V647" s="99">
        <f>IFERROR(__xludf.DUMMYFUNCTION("""COMPUTED_VALUE"""),0.0)</f>
        <v>0</v>
      </c>
      <c r="W647" s="99">
        <f>IFERROR(__xludf.DUMMYFUNCTION("""COMPUTED_VALUE"""),0.0)</f>
        <v>0</v>
      </c>
    </row>
    <row r="648">
      <c r="N648" s="98">
        <f>IFERROR(__xludf.DUMMYFUNCTION("""COMPUTED_VALUE"""),44089.0)</f>
        <v>44089</v>
      </c>
      <c r="O648" s="96" t="str">
        <f>IFERROR(__xludf.DUMMYFUNCTION("""COMPUTED_VALUE"""),"MANAGER")</f>
        <v>MANAGER</v>
      </c>
      <c r="P648" s="96" t="str">
        <f>IFERROR(__xludf.DUMMYFUNCTION("""COMPUTED_VALUE"""),"GRADING PAPER")</f>
        <v>GRADING PAPER</v>
      </c>
      <c r="Q648" s="99">
        <f>IFERROR(__xludf.DUMMYFUNCTION("""COMPUTED_VALUE"""),2500.0)</f>
        <v>2500</v>
      </c>
      <c r="R648" s="96" t="str">
        <f>IFERROR(__xludf.DUMMYFUNCTION("""COMPUTED_VALUE"""),"General Expenses")</f>
        <v>General Expenses</v>
      </c>
      <c r="S648" s="99">
        <f>IFERROR(__xludf.DUMMYFUNCTION("""COMPUTED_VALUE"""),0.0)</f>
        <v>0</v>
      </c>
      <c r="T648" s="99">
        <f>IFERROR(__xludf.DUMMYFUNCTION("""COMPUTED_VALUE"""),2500.0)</f>
        <v>2500</v>
      </c>
      <c r="U648" s="99">
        <f>IFERROR(__xludf.DUMMYFUNCTION("""COMPUTED_VALUE"""),0.0)</f>
        <v>0</v>
      </c>
      <c r="V648" s="99">
        <f>IFERROR(__xludf.DUMMYFUNCTION("""COMPUTED_VALUE"""),0.0)</f>
        <v>0</v>
      </c>
      <c r="W648" s="99">
        <f>IFERROR(__xludf.DUMMYFUNCTION("""COMPUTED_VALUE"""),0.0)</f>
        <v>0</v>
      </c>
    </row>
    <row r="649">
      <c r="N649" s="98">
        <f>IFERROR(__xludf.DUMMYFUNCTION("""COMPUTED_VALUE"""),44089.0)</f>
        <v>44089</v>
      </c>
      <c r="O649" s="96" t="str">
        <f>IFERROR(__xludf.DUMMYFUNCTION("""COMPUTED_VALUE"""),"MANAGER")</f>
        <v>MANAGER</v>
      </c>
      <c r="P649" s="96" t="str">
        <f>IFERROR(__xludf.DUMMYFUNCTION("""COMPUTED_VALUE"""),"EXPENSE")</f>
        <v>EXPENSE</v>
      </c>
      <c r="Q649" s="99">
        <f>IFERROR(__xludf.DUMMYFUNCTION("""COMPUTED_VALUE"""),500.0)</f>
        <v>500</v>
      </c>
      <c r="R649" s="96" t="str">
        <f>IFERROR(__xludf.DUMMYFUNCTION("""COMPUTED_VALUE"""),"General Expenses")</f>
        <v>General Expenses</v>
      </c>
      <c r="S649" s="99">
        <f>IFERROR(__xludf.DUMMYFUNCTION("""COMPUTED_VALUE"""),0.0)</f>
        <v>0</v>
      </c>
      <c r="T649" s="99">
        <f>IFERROR(__xludf.DUMMYFUNCTION("""COMPUTED_VALUE"""),500.0)</f>
        <v>500</v>
      </c>
      <c r="U649" s="99">
        <f>IFERROR(__xludf.DUMMYFUNCTION("""COMPUTED_VALUE"""),0.0)</f>
        <v>0</v>
      </c>
      <c r="V649" s="99">
        <f>IFERROR(__xludf.DUMMYFUNCTION("""COMPUTED_VALUE"""),0.0)</f>
        <v>0</v>
      </c>
      <c r="W649" s="99">
        <f>IFERROR(__xludf.DUMMYFUNCTION("""COMPUTED_VALUE"""),0.0)</f>
        <v>0</v>
      </c>
    </row>
    <row r="650">
      <c r="N650" s="98">
        <f>IFERROR(__xludf.DUMMYFUNCTION("""COMPUTED_VALUE"""),44089.0)</f>
        <v>44089</v>
      </c>
      <c r="O650" s="96" t="str">
        <f>IFERROR(__xludf.DUMMYFUNCTION("""COMPUTED_VALUE"""),"DAHIRU")</f>
        <v>DAHIRU</v>
      </c>
      <c r="P650" s="96" t="str">
        <f>IFERROR(__xludf.DUMMYFUNCTION("""COMPUTED_VALUE"""),"TRUCK FEE")</f>
        <v>TRUCK FEE</v>
      </c>
      <c r="Q650" s="99">
        <f>IFERROR(__xludf.DUMMYFUNCTION("""COMPUTED_VALUE"""),340000.0)</f>
        <v>340000</v>
      </c>
      <c r="R650" s="96" t="str">
        <f>IFERROR(__xludf.DUMMYFUNCTION("""COMPUTED_VALUE"""),"General Expenses")</f>
        <v>General Expenses</v>
      </c>
      <c r="S650" s="99">
        <f>IFERROR(__xludf.DUMMYFUNCTION("""COMPUTED_VALUE"""),0.0)</f>
        <v>0</v>
      </c>
      <c r="T650" s="99">
        <f>IFERROR(__xludf.DUMMYFUNCTION("""COMPUTED_VALUE"""),340000.0)</f>
        <v>340000</v>
      </c>
      <c r="U650" s="99">
        <f>IFERROR(__xludf.DUMMYFUNCTION("""COMPUTED_VALUE"""),0.0)</f>
        <v>0</v>
      </c>
      <c r="V650" s="99">
        <f>IFERROR(__xludf.DUMMYFUNCTION("""COMPUTED_VALUE"""),0.0)</f>
        <v>0</v>
      </c>
      <c r="W650" s="99">
        <f>IFERROR(__xludf.DUMMYFUNCTION("""COMPUTED_VALUE"""),0.0)</f>
        <v>0</v>
      </c>
    </row>
    <row r="651">
      <c r="N651" s="98">
        <f>IFERROR(__xludf.DUMMYFUNCTION("""COMPUTED_VALUE"""),44089.0)</f>
        <v>44089</v>
      </c>
      <c r="O651" s="96" t="str">
        <f>IFERROR(__xludf.DUMMYFUNCTION("""COMPUTED_VALUE"""),"BODES ESCORT")</f>
        <v>BODES ESCORT</v>
      </c>
      <c r="P651" s="96" t="str">
        <f>IFERROR(__xludf.DUMMYFUNCTION("""COMPUTED_VALUE"""),"FEE")</f>
        <v>FEE</v>
      </c>
      <c r="Q651" s="99">
        <f>IFERROR(__xludf.DUMMYFUNCTION("""COMPUTED_VALUE"""),60000.0)</f>
        <v>60000</v>
      </c>
      <c r="R651" s="96" t="str">
        <f>IFERROR(__xludf.DUMMYFUNCTION("""COMPUTED_VALUE"""),"General Expenses")</f>
        <v>General Expenses</v>
      </c>
      <c r="S651" s="99">
        <f>IFERROR(__xludf.DUMMYFUNCTION("""COMPUTED_VALUE"""),0.0)</f>
        <v>0</v>
      </c>
      <c r="T651" s="99">
        <f>IFERROR(__xludf.DUMMYFUNCTION("""COMPUTED_VALUE"""),60000.0)</f>
        <v>60000</v>
      </c>
      <c r="U651" s="99">
        <f>IFERROR(__xludf.DUMMYFUNCTION("""COMPUTED_VALUE"""),0.0)</f>
        <v>0</v>
      </c>
      <c r="V651" s="99">
        <f>IFERROR(__xludf.DUMMYFUNCTION("""COMPUTED_VALUE"""),0.0)</f>
        <v>0</v>
      </c>
      <c r="W651" s="99">
        <f>IFERROR(__xludf.DUMMYFUNCTION("""COMPUTED_VALUE"""),0.0)</f>
        <v>0</v>
      </c>
    </row>
    <row r="652">
      <c r="N652" s="98">
        <f>IFERROR(__xludf.DUMMYFUNCTION("""COMPUTED_VALUE"""),44089.0)</f>
        <v>44089</v>
      </c>
      <c r="O652" s="96" t="str">
        <f>IFERROR(__xludf.DUMMYFUNCTION("""COMPUTED_VALUE"""),"TULIP DRIVERS")</f>
        <v>TULIP DRIVERS</v>
      </c>
      <c r="P652" s="96" t="str">
        <f>IFERROR(__xludf.DUMMYFUNCTION("""COMPUTED_VALUE"""),"COMMISION")</f>
        <v>COMMISION</v>
      </c>
      <c r="Q652" s="99">
        <f>IFERROR(__xludf.DUMMYFUNCTION("""COMPUTED_VALUE"""),1000.0)</f>
        <v>1000</v>
      </c>
      <c r="R652" s="96" t="str">
        <f>IFERROR(__xludf.DUMMYFUNCTION("""COMPUTED_VALUE"""),"General Expenses")</f>
        <v>General Expenses</v>
      </c>
      <c r="S652" s="99">
        <f>IFERROR(__xludf.DUMMYFUNCTION("""COMPUTED_VALUE"""),0.0)</f>
        <v>0</v>
      </c>
      <c r="T652" s="99">
        <f>IFERROR(__xludf.DUMMYFUNCTION("""COMPUTED_VALUE"""),1000.0)</f>
        <v>1000</v>
      </c>
      <c r="U652" s="99">
        <f>IFERROR(__xludf.DUMMYFUNCTION("""COMPUTED_VALUE"""),0.0)</f>
        <v>0</v>
      </c>
      <c r="V652" s="99">
        <f>IFERROR(__xludf.DUMMYFUNCTION("""COMPUTED_VALUE"""),0.0)</f>
        <v>0</v>
      </c>
      <c r="W652" s="99">
        <f>IFERROR(__xludf.DUMMYFUNCTION("""COMPUTED_VALUE"""),0.0)</f>
        <v>0</v>
      </c>
    </row>
    <row r="653">
      <c r="N653" s="98">
        <f>IFERROR(__xludf.DUMMYFUNCTION("""COMPUTED_VALUE"""),44089.0)</f>
        <v>44089</v>
      </c>
      <c r="O653" s="96" t="str">
        <f>IFERROR(__xludf.DUMMYFUNCTION("""COMPUTED_VALUE"""),"DIRECTOR")</f>
        <v>DIRECTOR</v>
      </c>
      <c r="P653" s="96" t="str">
        <f>IFERROR(__xludf.DUMMYFUNCTION("""COMPUTED_VALUE"""),"AYUK'S ADVANCE")</f>
        <v>AYUK'S ADVANCE</v>
      </c>
      <c r="Q653" s="99">
        <f>IFERROR(__xludf.DUMMYFUNCTION("""COMPUTED_VALUE"""),15000.0)</f>
        <v>15000</v>
      </c>
      <c r="R653" s="96" t="str">
        <f>IFERROR(__xludf.DUMMYFUNCTION("""COMPUTED_VALUE"""),"Petty Cash")</f>
        <v>Petty Cash</v>
      </c>
      <c r="S653" s="99">
        <f>IFERROR(__xludf.DUMMYFUNCTION("""COMPUTED_VALUE"""),0.0)</f>
        <v>0</v>
      </c>
      <c r="T653" s="99">
        <f>IFERROR(__xludf.DUMMYFUNCTION("""COMPUTED_VALUE"""),0.0)</f>
        <v>0</v>
      </c>
      <c r="U653" s="99">
        <f>IFERROR(__xludf.DUMMYFUNCTION("""COMPUTED_VALUE"""),0.0)</f>
        <v>0</v>
      </c>
      <c r="V653" s="99">
        <f>IFERROR(__xludf.DUMMYFUNCTION("""COMPUTED_VALUE"""),15000.0)</f>
        <v>15000</v>
      </c>
      <c r="W653" s="99">
        <f>IFERROR(__xludf.DUMMYFUNCTION("""COMPUTED_VALUE"""),0.0)</f>
        <v>0</v>
      </c>
    </row>
    <row r="654">
      <c r="N654" s="98">
        <f>IFERROR(__xludf.DUMMYFUNCTION("""COMPUTED_VALUE"""),44089.0)</f>
        <v>44089</v>
      </c>
      <c r="O654" s="96" t="str">
        <f>IFERROR(__xludf.DUMMYFUNCTION("""COMPUTED_VALUE"""),"BLESSING CHAPMAN")</f>
        <v>BLESSING CHAPMAN</v>
      </c>
      <c r="P654" s="96" t="str">
        <f>IFERROR(__xludf.DUMMYFUNCTION("""COMPUTED_VALUE"""),"CASH COLLECTED")</f>
        <v>CASH COLLECTED</v>
      </c>
      <c r="Q654" s="99">
        <f>IFERROR(__xludf.DUMMYFUNCTION("""COMPUTED_VALUE"""),408000.0)</f>
        <v>408000</v>
      </c>
      <c r="R654" s="96" t="str">
        <f>IFERROR(__xludf.DUMMYFUNCTION("""COMPUTED_VALUE"""),"Petty Cash")</f>
        <v>Petty Cash</v>
      </c>
      <c r="S654" s="99">
        <f>IFERROR(__xludf.DUMMYFUNCTION("""COMPUTED_VALUE"""),0.0)</f>
        <v>0</v>
      </c>
      <c r="T654" s="99">
        <f>IFERROR(__xludf.DUMMYFUNCTION("""COMPUTED_VALUE"""),0.0)</f>
        <v>0</v>
      </c>
      <c r="U654" s="99">
        <f>IFERROR(__xludf.DUMMYFUNCTION("""COMPUTED_VALUE"""),0.0)</f>
        <v>0</v>
      </c>
      <c r="V654" s="99">
        <f>IFERROR(__xludf.DUMMYFUNCTION("""COMPUTED_VALUE"""),408000.0)</f>
        <v>408000</v>
      </c>
      <c r="W654" s="99">
        <f>IFERROR(__xludf.DUMMYFUNCTION("""COMPUTED_VALUE"""),0.0)</f>
        <v>0</v>
      </c>
    </row>
    <row r="655">
      <c r="N655" s="98">
        <f>IFERROR(__xludf.DUMMYFUNCTION("""COMPUTED_VALUE"""),44089.0)</f>
        <v>44089</v>
      </c>
      <c r="O655" s="96" t="str">
        <f>IFERROR(__xludf.DUMMYFUNCTION("""COMPUTED_VALUE"""),"MANAGER")</f>
        <v>MANAGER</v>
      </c>
      <c r="P655" s="96" t="str">
        <f>IFERROR(__xludf.DUMMYFUNCTION("""COMPUTED_VALUE"""),"CASH-IN")</f>
        <v>CASH-IN</v>
      </c>
      <c r="Q655" s="99">
        <f>IFERROR(__xludf.DUMMYFUNCTION("""COMPUTED_VALUE"""),2000000.0)</f>
        <v>2000000</v>
      </c>
      <c r="R655" s="96" t="str">
        <f>IFERROR(__xludf.DUMMYFUNCTION("""COMPUTED_VALUE"""),"From Bank")</f>
        <v>From Bank</v>
      </c>
      <c r="S655" s="99">
        <f>IFERROR(__xludf.DUMMYFUNCTION("""COMPUTED_VALUE"""),0.0)</f>
        <v>0</v>
      </c>
      <c r="T655" s="99">
        <f>IFERROR(__xludf.DUMMYFUNCTION("""COMPUTED_VALUE"""),0.0)</f>
        <v>0</v>
      </c>
      <c r="U655" s="99">
        <f>IFERROR(__xludf.DUMMYFUNCTION("""COMPUTED_VALUE"""),2000000.0)</f>
        <v>2000000</v>
      </c>
      <c r="V655" s="99">
        <f>IFERROR(__xludf.DUMMYFUNCTION("""COMPUTED_VALUE"""),0.0)</f>
        <v>0</v>
      </c>
      <c r="W655" s="99">
        <f>IFERROR(__xludf.DUMMYFUNCTION("""COMPUTED_VALUE"""),0.0)</f>
        <v>0</v>
      </c>
    </row>
    <row r="656">
      <c r="N656" s="98">
        <f>IFERROR(__xludf.DUMMYFUNCTION("""COMPUTED_VALUE"""),44090.0)</f>
        <v>44090</v>
      </c>
      <c r="O656" s="96" t="str">
        <f>IFERROR(__xludf.DUMMYFUNCTION("""COMPUTED_VALUE""")," MAXWELL AGRO")</f>
        <v> MAXWELL AGRO</v>
      </c>
      <c r="P656" s="96" t="str">
        <f>IFERROR(__xludf.DUMMYFUNCTION("""COMPUTED_VALUE"""),"ADVANCE")</f>
        <v>ADVANCE</v>
      </c>
      <c r="Q656" s="99">
        <f>IFERROR(__xludf.DUMMYFUNCTION("""COMPUTED_VALUE"""),1553900.0)</f>
        <v>1553900</v>
      </c>
      <c r="R656" s="96" t="str">
        <f>IFERROR(__xludf.DUMMYFUNCTION("""COMPUTED_VALUE"""),"Prefinance")</f>
        <v>Prefinance</v>
      </c>
      <c r="S656" s="99">
        <f>IFERROR(__xludf.DUMMYFUNCTION("""COMPUTED_VALUE"""),0.0)</f>
        <v>0</v>
      </c>
      <c r="T656" s="99">
        <f>IFERROR(__xludf.DUMMYFUNCTION("""COMPUTED_VALUE"""),0.0)</f>
        <v>0</v>
      </c>
      <c r="U656" s="99">
        <f>IFERROR(__xludf.DUMMYFUNCTION("""COMPUTED_VALUE"""),0.0)</f>
        <v>0</v>
      </c>
      <c r="V656" s="99">
        <f>IFERROR(__xludf.DUMMYFUNCTION("""COMPUTED_VALUE"""),0.0)</f>
        <v>0</v>
      </c>
      <c r="W656" s="99">
        <f>IFERROR(__xludf.DUMMYFUNCTION("""COMPUTED_VALUE"""),0.0)</f>
        <v>0</v>
      </c>
    </row>
    <row r="657">
      <c r="N657" s="98">
        <f>IFERROR(__xludf.DUMMYFUNCTION("""COMPUTED_VALUE"""),44090.0)</f>
        <v>44090</v>
      </c>
      <c r="O657" s="96" t="str">
        <f>IFERROR(__xludf.DUMMYFUNCTION("""COMPUTED_VALUE"""),"ALFRED ALABI")</f>
        <v>ALFRED ALABI</v>
      </c>
      <c r="P657" s="96" t="str">
        <f>IFERROR(__xludf.DUMMYFUNCTION("""COMPUTED_VALUE"""),"ADVANCE")</f>
        <v>ADVANCE</v>
      </c>
      <c r="Q657" s="99">
        <f>IFERROR(__xludf.DUMMYFUNCTION("""COMPUTED_VALUE"""),1161000.0)</f>
        <v>1161000</v>
      </c>
      <c r="R657" s="96" t="str">
        <f>IFERROR(__xludf.DUMMYFUNCTION("""COMPUTED_VALUE"""),"Prefinance")</f>
        <v>Prefinance</v>
      </c>
      <c r="S657" s="99">
        <f>IFERROR(__xludf.DUMMYFUNCTION("""COMPUTED_VALUE"""),0.0)</f>
        <v>0</v>
      </c>
      <c r="T657" s="99">
        <f>IFERROR(__xludf.DUMMYFUNCTION("""COMPUTED_VALUE"""),0.0)</f>
        <v>0</v>
      </c>
      <c r="U657" s="99">
        <f>IFERROR(__xludf.DUMMYFUNCTION("""COMPUTED_VALUE"""),0.0)</f>
        <v>0</v>
      </c>
      <c r="V657" s="99">
        <f>IFERROR(__xludf.DUMMYFUNCTION("""COMPUTED_VALUE"""),0.0)</f>
        <v>0</v>
      </c>
      <c r="W657" s="99">
        <f>IFERROR(__xludf.DUMMYFUNCTION("""COMPUTED_VALUE"""),0.0)</f>
        <v>0</v>
      </c>
    </row>
    <row r="658">
      <c r="N658" s="98">
        <f>IFERROR(__xludf.DUMMYFUNCTION("""COMPUTED_VALUE"""),44090.0)</f>
        <v>44090</v>
      </c>
      <c r="O658" s="96" t="str">
        <f>IFERROR(__xludf.DUMMYFUNCTION("""COMPUTED_VALUE"""),"AUGUSTINE IGBA")</f>
        <v>AUGUSTINE IGBA</v>
      </c>
      <c r="P658" s="96" t="str">
        <f>IFERROR(__xludf.DUMMYFUNCTION("""COMPUTED_VALUE"""),"ADVANCE")</f>
        <v>ADVANCE</v>
      </c>
      <c r="Q658" s="99">
        <f>IFERROR(__xludf.DUMMYFUNCTION("""COMPUTED_VALUE"""),2000000.0)</f>
        <v>2000000</v>
      </c>
      <c r="R658" s="96" t="str">
        <f>IFERROR(__xludf.DUMMYFUNCTION("""COMPUTED_VALUE"""),"Prefinance")</f>
        <v>Prefinance</v>
      </c>
      <c r="S658" s="99">
        <f>IFERROR(__xludf.DUMMYFUNCTION("""COMPUTED_VALUE"""),0.0)</f>
        <v>0</v>
      </c>
      <c r="T658" s="99">
        <f>IFERROR(__xludf.DUMMYFUNCTION("""COMPUTED_VALUE"""),0.0)</f>
        <v>0</v>
      </c>
      <c r="U658" s="99">
        <f>IFERROR(__xludf.DUMMYFUNCTION("""COMPUTED_VALUE"""),0.0)</f>
        <v>0</v>
      </c>
      <c r="V658" s="99">
        <f>IFERROR(__xludf.DUMMYFUNCTION("""COMPUTED_VALUE"""),0.0)</f>
        <v>0</v>
      </c>
      <c r="W658" s="99">
        <f>IFERROR(__xludf.DUMMYFUNCTION("""COMPUTED_VALUE"""),0.0)</f>
        <v>0</v>
      </c>
    </row>
    <row r="659">
      <c r="N659" s="98">
        <f>IFERROR(__xludf.DUMMYFUNCTION("""COMPUTED_VALUE"""),44090.0)</f>
        <v>44090</v>
      </c>
      <c r="O659" s="96" t="str">
        <f>IFERROR(__xludf.DUMMYFUNCTION("""COMPUTED_VALUE"""),"NDOMA PRIN")</f>
        <v>NDOMA PRIN</v>
      </c>
      <c r="P659" s="96" t="str">
        <f>IFERROR(__xludf.DUMMYFUNCTION("""COMPUTED_VALUE"""),"ADVANCE")</f>
        <v>ADVANCE</v>
      </c>
      <c r="Q659" s="99">
        <f>IFERROR(__xludf.DUMMYFUNCTION("""COMPUTED_VALUE"""),261700.0)</f>
        <v>261700</v>
      </c>
      <c r="R659" s="96" t="str">
        <f>IFERROR(__xludf.DUMMYFUNCTION("""COMPUTED_VALUE"""),"Prefinance")</f>
        <v>Prefinance</v>
      </c>
      <c r="S659" s="99">
        <f>IFERROR(__xludf.DUMMYFUNCTION("""COMPUTED_VALUE"""),0.0)</f>
        <v>0</v>
      </c>
      <c r="T659" s="99">
        <f>IFERROR(__xludf.DUMMYFUNCTION("""COMPUTED_VALUE"""),0.0)</f>
        <v>0</v>
      </c>
      <c r="U659" s="99">
        <f>IFERROR(__xludf.DUMMYFUNCTION("""COMPUTED_VALUE"""),0.0)</f>
        <v>0</v>
      </c>
      <c r="V659" s="99">
        <f>IFERROR(__xludf.DUMMYFUNCTION("""COMPUTED_VALUE"""),0.0)</f>
        <v>0</v>
      </c>
      <c r="W659" s="99">
        <f>IFERROR(__xludf.DUMMYFUNCTION("""COMPUTED_VALUE"""),0.0)</f>
        <v>0</v>
      </c>
    </row>
    <row r="660">
      <c r="N660" s="98">
        <f>IFERROR(__xludf.DUMMYFUNCTION("""COMPUTED_VALUE"""),44090.0)</f>
        <v>44090</v>
      </c>
      <c r="O660" s="96" t="str">
        <f>IFERROR(__xludf.DUMMYFUNCTION("""COMPUTED_VALUE"""),"PRINNESS")</f>
        <v>PRINNESS</v>
      </c>
      <c r="P660" s="96" t="str">
        <f>IFERROR(__xludf.DUMMYFUNCTION("""COMPUTED_VALUE"""),"ADVANCE")</f>
        <v>ADVANCE</v>
      </c>
      <c r="Q660" s="99">
        <f>IFERROR(__xludf.DUMMYFUNCTION("""COMPUTED_VALUE"""),520000.0)</f>
        <v>520000</v>
      </c>
      <c r="R660" s="96" t="str">
        <f>IFERROR(__xludf.DUMMYFUNCTION("""COMPUTED_VALUE"""),"Prefinance")</f>
        <v>Prefinance</v>
      </c>
      <c r="S660" s="99">
        <f>IFERROR(__xludf.DUMMYFUNCTION("""COMPUTED_VALUE"""),0.0)</f>
        <v>0</v>
      </c>
      <c r="T660" s="99">
        <f>IFERROR(__xludf.DUMMYFUNCTION("""COMPUTED_VALUE"""),0.0)</f>
        <v>0</v>
      </c>
      <c r="U660" s="99">
        <f>IFERROR(__xludf.DUMMYFUNCTION("""COMPUTED_VALUE"""),0.0)</f>
        <v>0</v>
      </c>
      <c r="V660" s="99">
        <f>IFERROR(__xludf.DUMMYFUNCTION("""COMPUTED_VALUE"""),0.0)</f>
        <v>0</v>
      </c>
      <c r="W660" s="99">
        <f>IFERROR(__xludf.DUMMYFUNCTION("""COMPUTED_VALUE"""),0.0)</f>
        <v>0</v>
      </c>
    </row>
    <row r="661">
      <c r="N661" s="98">
        <f>IFERROR(__xludf.DUMMYFUNCTION("""COMPUTED_VALUE"""),44090.0)</f>
        <v>44090</v>
      </c>
      <c r="O661" s="96" t="str">
        <f>IFERROR(__xludf.DUMMYFUNCTION("""COMPUTED_VALUE"""),"DIRECTOR")</f>
        <v>DIRECTOR</v>
      </c>
      <c r="P661" s="96" t="str">
        <f>IFERROR(__xludf.DUMMYFUNCTION("""COMPUTED_VALUE"""),"PERSONAL USE")</f>
        <v>PERSONAL USE</v>
      </c>
      <c r="Q661" s="99">
        <f>IFERROR(__xludf.DUMMYFUNCTION("""COMPUTED_VALUE"""),59000.0)</f>
        <v>59000</v>
      </c>
      <c r="R661" s="96" t="str">
        <f>IFERROR(__xludf.DUMMYFUNCTION("""COMPUTED_VALUE"""),"General Expenses")</f>
        <v>General Expenses</v>
      </c>
      <c r="S661" s="99">
        <f>IFERROR(__xludf.DUMMYFUNCTION("""COMPUTED_VALUE"""),0.0)</f>
        <v>0</v>
      </c>
      <c r="T661" s="99">
        <f>IFERROR(__xludf.DUMMYFUNCTION("""COMPUTED_VALUE"""),59000.0)</f>
        <v>59000</v>
      </c>
      <c r="U661" s="99">
        <f>IFERROR(__xludf.DUMMYFUNCTION("""COMPUTED_VALUE"""),0.0)</f>
        <v>0</v>
      </c>
      <c r="V661" s="99">
        <f>IFERROR(__xludf.DUMMYFUNCTION("""COMPUTED_VALUE"""),0.0)</f>
        <v>0</v>
      </c>
      <c r="W661" s="99">
        <f>IFERROR(__xludf.DUMMYFUNCTION("""COMPUTED_VALUE"""),0.0)</f>
        <v>0</v>
      </c>
    </row>
    <row r="662">
      <c r="N662" s="98">
        <f>IFERROR(__xludf.DUMMYFUNCTION("""COMPUTED_VALUE"""),44090.0)</f>
        <v>44090</v>
      </c>
      <c r="O662" s="96" t="str">
        <f>IFERROR(__xludf.DUMMYFUNCTION("""COMPUTED_VALUE"""),"DIESEL BOY")</f>
        <v>DIESEL BOY</v>
      </c>
      <c r="P662" s="96" t="str">
        <f>IFERROR(__xludf.DUMMYFUNCTION("""COMPUTED_VALUE"""),"DIESEL")</f>
        <v>DIESEL</v>
      </c>
      <c r="Q662" s="99">
        <f>IFERROR(__xludf.DUMMYFUNCTION("""COMPUTED_VALUE"""),45000.0)</f>
        <v>45000</v>
      </c>
      <c r="R662" s="96" t="str">
        <f>IFERROR(__xludf.DUMMYFUNCTION("""COMPUTED_VALUE"""),"General Expenses")</f>
        <v>General Expenses</v>
      </c>
      <c r="S662" s="99">
        <f>IFERROR(__xludf.DUMMYFUNCTION("""COMPUTED_VALUE"""),0.0)</f>
        <v>0</v>
      </c>
      <c r="T662" s="99">
        <f>IFERROR(__xludf.DUMMYFUNCTION("""COMPUTED_VALUE"""),45000.0)</f>
        <v>45000</v>
      </c>
      <c r="U662" s="99">
        <f>IFERROR(__xludf.DUMMYFUNCTION("""COMPUTED_VALUE"""),0.0)</f>
        <v>0</v>
      </c>
      <c r="V662" s="99">
        <f>IFERROR(__xludf.DUMMYFUNCTION("""COMPUTED_VALUE"""),0.0)</f>
        <v>0</v>
      </c>
      <c r="W662" s="99">
        <f>IFERROR(__xludf.DUMMYFUNCTION("""COMPUTED_VALUE"""),0.0)</f>
        <v>0</v>
      </c>
    </row>
    <row r="663">
      <c r="N663" s="98">
        <f>IFERROR(__xludf.DUMMYFUNCTION("""COMPUTED_VALUE"""),44090.0)</f>
        <v>44090</v>
      </c>
      <c r="O663" s="96" t="str">
        <f>IFERROR(__xludf.DUMMYFUNCTION("""COMPUTED_VALUE"""),"ENGINEER")</f>
        <v>ENGINEER</v>
      </c>
      <c r="P663" s="96" t="str">
        <f>IFERROR(__xludf.DUMMYFUNCTION("""COMPUTED_VALUE"""),"REPAIRS")</f>
        <v>REPAIRS</v>
      </c>
      <c r="Q663" s="99">
        <f>IFERROR(__xludf.DUMMYFUNCTION("""COMPUTED_VALUE"""),250000.0)</f>
        <v>250000</v>
      </c>
      <c r="R663" s="96" t="str">
        <f>IFERROR(__xludf.DUMMYFUNCTION("""COMPUTED_VALUE"""),"General Expenses")</f>
        <v>General Expenses</v>
      </c>
      <c r="S663" s="99">
        <f>IFERROR(__xludf.DUMMYFUNCTION("""COMPUTED_VALUE"""),0.0)</f>
        <v>0</v>
      </c>
      <c r="T663" s="99">
        <f>IFERROR(__xludf.DUMMYFUNCTION("""COMPUTED_VALUE"""),250000.0)</f>
        <v>250000</v>
      </c>
      <c r="U663" s="99">
        <f>IFERROR(__xludf.DUMMYFUNCTION("""COMPUTED_VALUE"""),0.0)</f>
        <v>0</v>
      </c>
      <c r="V663" s="99">
        <f>IFERROR(__xludf.DUMMYFUNCTION("""COMPUTED_VALUE"""),0.0)</f>
        <v>0</v>
      </c>
      <c r="W663" s="99">
        <f>IFERROR(__xludf.DUMMYFUNCTION("""COMPUTED_VALUE"""),0.0)</f>
        <v>0</v>
      </c>
    </row>
    <row r="664">
      <c r="N664" s="98">
        <f>IFERROR(__xludf.DUMMYFUNCTION("""COMPUTED_VALUE"""),44090.0)</f>
        <v>44090</v>
      </c>
      <c r="O664" s="96" t="str">
        <f>IFERROR(__xludf.DUMMYFUNCTION("""COMPUTED_VALUE"""),"HN &amp; BASIL")</f>
        <v>HN &amp; BASIL</v>
      </c>
      <c r="P664" s="96" t="str">
        <f>IFERROR(__xludf.DUMMYFUNCTION("""COMPUTED_VALUE"""),"TRANSPORT")</f>
        <v>TRANSPORT</v>
      </c>
      <c r="Q664" s="99">
        <f>IFERROR(__xludf.DUMMYFUNCTION("""COMPUTED_VALUE"""),150000.0)</f>
        <v>150000</v>
      </c>
      <c r="R664" s="96" t="str">
        <f>IFERROR(__xludf.DUMMYFUNCTION("""COMPUTED_VALUE"""),"General Expenses")</f>
        <v>General Expenses</v>
      </c>
      <c r="S664" s="99">
        <f>IFERROR(__xludf.DUMMYFUNCTION("""COMPUTED_VALUE"""),0.0)</f>
        <v>0</v>
      </c>
      <c r="T664" s="99">
        <f>IFERROR(__xludf.DUMMYFUNCTION("""COMPUTED_VALUE"""),150000.0)</f>
        <v>150000</v>
      </c>
      <c r="U664" s="99">
        <f>IFERROR(__xludf.DUMMYFUNCTION("""COMPUTED_VALUE"""),0.0)</f>
        <v>0</v>
      </c>
      <c r="V664" s="99">
        <f>IFERROR(__xludf.DUMMYFUNCTION("""COMPUTED_VALUE"""),0.0)</f>
        <v>0</v>
      </c>
      <c r="W664" s="99">
        <f>IFERROR(__xludf.DUMMYFUNCTION("""COMPUTED_VALUE"""),0.0)</f>
        <v>0</v>
      </c>
    </row>
    <row r="665">
      <c r="N665" s="98">
        <f>IFERROR(__xludf.DUMMYFUNCTION("""COMPUTED_VALUE"""),44090.0)</f>
        <v>44090</v>
      </c>
      <c r="O665" s="96" t="str">
        <f>IFERROR(__xludf.DUMMYFUNCTION("""COMPUTED_VALUE"""),"CAN")</f>
        <v>CAN</v>
      </c>
      <c r="P665" s="96" t="str">
        <f>IFERROR(__xludf.DUMMYFUNCTION("""COMPUTED_VALUE"""),"TAXES")</f>
        <v>TAXES</v>
      </c>
      <c r="Q665" s="99">
        <f>IFERROR(__xludf.DUMMYFUNCTION("""COMPUTED_VALUE"""),10000.0)</f>
        <v>10000</v>
      </c>
      <c r="R665" s="96" t="str">
        <f>IFERROR(__xludf.DUMMYFUNCTION("""COMPUTED_VALUE"""),"General Expenses")</f>
        <v>General Expenses</v>
      </c>
      <c r="S665" s="99">
        <f>IFERROR(__xludf.DUMMYFUNCTION("""COMPUTED_VALUE"""),0.0)</f>
        <v>0</v>
      </c>
      <c r="T665" s="99">
        <f>IFERROR(__xludf.DUMMYFUNCTION("""COMPUTED_VALUE"""),10000.0)</f>
        <v>10000</v>
      </c>
      <c r="U665" s="99">
        <f>IFERROR(__xludf.DUMMYFUNCTION("""COMPUTED_VALUE"""),0.0)</f>
        <v>0</v>
      </c>
      <c r="V665" s="99">
        <f>IFERROR(__xludf.DUMMYFUNCTION("""COMPUTED_VALUE"""),0.0)</f>
        <v>0</v>
      </c>
      <c r="W665" s="99">
        <f>IFERROR(__xludf.DUMMYFUNCTION("""COMPUTED_VALUE"""),0.0)</f>
        <v>0</v>
      </c>
    </row>
    <row r="666">
      <c r="N666" s="98">
        <f>IFERROR(__xludf.DUMMYFUNCTION("""COMPUTED_VALUE"""),44090.0)</f>
        <v>44090</v>
      </c>
      <c r="O666" s="96" t="str">
        <f>IFERROR(__xludf.DUMMYFUNCTION("""COMPUTED_VALUE"""),"BODES ESCORT")</f>
        <v>BODES ESCORT</v>
      </c>
      <c r="P666" s="96" t="str">
        <f>IFERROR(__xludf.DUMMYFUNCTION("""COMPUTED_VALUE"""),"BALANCE")</f>
        <v>BALANCE</v>
      </c>
      <c r="Q666" s="99">
        <f>IFERROR(__xludf.DUMMYFUNCTION("""COMPUTED_VALUE"""),10000.0)</f>
        <v>10000</v>
      </c>
      <c r="R666" s="96" t="str">
        <f>IFERROR(__xludf.DUMMYFUNCTION("""COMPUTED_VALUE"""),"General Expenses")</f>
        <v>General Expenses</v>
      </c>
      <c r="S666" s="99">
        <f>IFERROR(__xludf.DUMMYFUNCTION("""COMPUTED_VALUE"""),0.0)</f>
        <v>0</v>
      </c>
      <c r="T666" s="99">
        <f>IFERROR(__xludf.DUMMYFUNCTION("""COMPUTED_VALUE"""),10000.0)</f>
        <v>10000</v>
      </c>
      <c r="U666" s="99">
        <f>IFERROR(__xludf.DUMMYFUNCTION("""COMPUTED_VALUE"""),0.0)</f>
        <v>0</v>
      </c>
      <c r="V666" s="99">
        <f>IFERROR(__xludf.DUMMYFUNCTION("""COMPUTED_VALUE"""),0.0)</f>
        <v>0</v>
      </c>
      <c r="W666" s="99">
        <f>IFERROR(__xludf.DUMMYFUNCTION("""COMPUTED_VALUE"""),0.0)</f>
        <v>0</v>
      </c>
    </row>
    <row r="667">
      <c r="N667" s="98">
        <f>IFERROR(__xludf.DUMMYFUNCTION("""COMPUTED_VALUE"""),44090.0)</f>
        <v>44090</v>
      </c>
      <c r="O667" s="96" t="str">
        <f>IFERROR(__xludf.DUMMYFUNCTION("""COMPUTED_VALUE"""),"LABOUR  BOY")</f>
        <v>LABOUR  BOY</v>
      </c>
      <c r="P667" s="96" t="str">
        <f>IFERROR(__xludf.DUMMYFUNCTION("""COMPUTED_VALUE"""),"WAGES ADVANCE")</f>
        <v>WAGES ADVANCE</v>
      </c>
      <c r="Q667" s="99">
        <f>IFERROR(__xludf.DUMMYFUNCTION("""COMPUTED_VALUE"""),4000.0)</f>
        <v>4000</v>
      </c>
      <c r="R667" s="96" t="str">
        <f>IFERROR(__xludf.DUMMYFUNCTION("""COMPUTED_VALUE"""),"General Expenses")</f>
        <v>General Expenses</v>
      </c>
      <c r="S667" s="99">
        <f>IFERROR(__xludf.DUMMYFUNCTION("""COMPUTED_VALUE"""),0.0)</f>
        <v>0</v>
      </c>
      <c r="T667" s="99">
        <f>IFERROR(__xludf.DUMMYFUNCTION("""COMPUTED_VALUE"""),4000.0)</f>
        <v>4000</v>
      </c>
      <c r="U667" s="99">
        <f>IFERROR(__xludf.DUMMYFUNCTION("""COMPUTED_VALUE"""),0.0)</f>
        <v>0</v>
      </c>
      <c r="V667" s="99">
        <f>IFERROR(__xludf.DUMMYFUNCTION("""COMPUTED_VALUE"""),0.0)</f>
        <v>0</v>
      </c>
      <c r="W667" s="99">
        <f>IFERROR(__xludf.DUMMYFUNCTION("""COMPUTED_VALUE"""),0.0)</f>
        <v>0</v>
      </c>
    </row>
    <row r="668">
      <c r="N668" s="98">
        <f>IFERROR(__xludf.DUMMYFUNCTION("""COMPUTED_VALUE"""),44090.0)</f>
        <v>44090</v>
      </c>
      <c r="O668" s="96" t="str">
        <f>IFERROR(__xludf.DUMMYFUNCTION("""COMPUTED_VALUE"""),"BLESSING CHAPMAN")</f>
        <v>BLESSING CHAPMAN</v>
      </c>
      <c r="P668" s="96" t="str">
        <f>IFERROR(__xludf.DUMMYFUNCTION("""COMPUTED_VALUE"""),"CASH COLLECTED")</f>
        <v>CASH COLLECTED</v>
      </c>
      <c r="Q668" s="99">
        <f>IFERROR(__xludf.DUMMYFUNCTION("""COMPUTED_VALUE"""),843800.0)</f>
        <v>843800</v>
      </c>
      <c r="R668" s="96" t="str">
        <f>IFERROR(__xludf.DUMMYFUNCTION("""COMPUTED_VALUE"""),"Petty Cash")</f>
        <v>Petty Cash</v>
      </c>
      <c r="S668" s="99">
        <f>IFERROR(__xludf.DUMMYFUNCTION("""COMPUTED_VALUE"""),0.0)</f>
        <v>0</v>
      </c>
      <c r="T668" s="99">
        <f>IFERROR(__xludf.DUMMYFUNCTION("""COMPUTED_VALUE"""),0.0)</f>
        <v>0</v>
      </c>
      <c r="U668" s="99">
        <f>IFERROR(__xludf.DUMMYFUNCTION("""COMPUTED_VALUE"""),0.0)</f>
        <v>0</v>
      </c>
      <c r="V668" s="99">
        <f>IFERROR(__xludf.DUMMYFUNCTION("""COMPUTED_VALUE"""),843800.0)</f>
        <v>843800</v>
      </c>
      <c r="W668" s="99">
        <f>IFERROR(__xludf.DUMMYFUNCTION("""COMPUTED_VALUE"""),0.0)</f>
        <v>0</v>
      </c>
    </row>
    <row r="669">
      <c r="N669" s="98">
        <f>IFERROR(__xludf.DUMMYFUNCTION("""COMPUTED_VALUE"""),44090.0)</f>
        <v>44090</v>
      </c>
      <c r="O669" s="96" t="str">
        <f>IFERROR(__xludf.DUMMYFUNCTION("""COMPUTED_VALUE"""),"MANAGER")</f>
        <v>MANAGER</v>
      </c>
      <c r="P669" s="96" t="str">
        <f>IFERROR(__xludf.DUMMYFUNCTION("""COMPUTED_VALUE"""),"CASH-IN")</f>
        <v>CASH-IN</v>
      </c>
      <c r="Q669" s="99">
        <f>IFERROR(__xludf.DUMMYFUNCTION("""COMPUTED_VALUE"""),6500000.0)</f>
        <v>6500000</v>
      </c>
      <c r="R669" s="96" t="str">
        <f>IFERROR(__xludf.DUMMYFUNCTION("""COMPUTED_VALUE"""),"From Bank")</f>
        <v>From Bank</v>
      </c>
      <c r="S669" s="99">
        <f>IFERROR(__xludf.DUMMYFUNCTION("""COMPUTED_VALUE"""),0.0)</f>
        <v>0</v>
      </c>
      <c r="T669" s="99">
        <f>IFERROR(__xludf.DUMMYFUNCTION("""COMPUTED_VALUE"""),0.0)</f>
        <v>0</v>
      </c>
      <c r="U669" s="99">
        <f>IFERROR(__xludf.DUMMYFUNCTION("""COMPUTED_VALUE"""),6500000.0)</f>
        <v>6500000</v>
      </c>
      <c r="V669" s="99">
        <f>IFERROR(__xludf.DUMMYFUNCTION("""COMPUTED_VALUE"""),0.0)</f>
        <v>0</v>
      </c>
      <c r="W669" s="99">
        <f>IFERROR(__xludf.DUMMYFUNCTION("""COMPUTED_VALUE"""),0.0)</f>
        <v>0</v>
      </c>
    </row>
    <row r="670">
      <c r="N670" s="98">
        <f>IFERROR(__xludf.DUMMYFUNCTION("""COMPUTED_VALUE"""),44091.0)</f>
        <v>44091</v>
      </c>
      <c r="O670" s="96" t="str">
        <f>IFERROR(__xludf.DUMMYFUNCTION("""COMPUTED_VALUE"""),"LIVINUS")</f>
        <v>LIVINUS</v>
      </c>
      <c r="P670" s="96" t="str">
        <f>IFERROR(__xludf.DUMMYFUNCTION("""COMPUTED_VALUE"""),"ADVANCE")</f>
        <v>ADVANCE</v>
      </c>
      <c r="Q670" s="99">
        <f>IFERROR(__xludf.DUMMYFUNCTION("""COMPUTED_VALUE"""),1060000.0)</f>
        <v>1060000</v>
      </c>
      <c r="R670" s="96" t="str">
        <f>IFERROR(__xludf.DUMMYFUNCTION("""COMPUTED_VALUE"""),"Prefinance")</f>
        <v>Prefinance</v>
      </c>
      <c r="S670" s="99">
        <f>IFERROR(__xludf.DUMMYFUNCTION("""COMPUTED_VALUE"""),0.0)</f>
        <v>0</v>
      </c>
      <c r="T670" s="99">
        <f>IFERROR(__xludf.DUMMYFUNCTION("""COMPUTED_VALUE"""),0.0)</f>
        <v>0</v>
      </c>
      <c r="U670" s="99">
        <f>IFERROR(__xludf.DUMMYFUNCTION("""COMPUTED_VALUE"""),0.0)</f>
        <v>0</v>
      </c>
      <c r="V670" s="99">
        <f>IFERROR(__xludf.DUMMYFUNCTION("""COMPUTED_VALUE"""),0.0)</f>
        <v>0</v>
      </c>
      <c r="W670" s="99">
        <f>IFERROR(__xludf.DUMMYFUNCTION("""COMPUTED_VALUE"""),0.0)</f>
        <v>0</v>
      </c>
    </row>
    <row r="671">
      <c r="N671" s="98">
        <f>IFERROR(__xludf.DUMMYFUNCTION("""COMPUTED_VALUE"""),44091.0)</f>
        <v>44091</v>
      </c>
      <c r="O671" s="96" t="str">
        <f>IFERROR(__xludf.DUMMYFUNCTION("""COMPUTED_VALUE"""),"ANDRDEW GREAT")</f>
        <v>ANDRDEW GREAT</v>
      </c>
      <c r="P671" s="96" t="str">
        <f>IFERROR(__xludf.DUMMYFUNCTION("""COMPUTED_VALUE"""),"ADVANCE")</f>
        <v>ADVANCE</v>
      </c>
      <c r="Q671" s="99">
        <f>IFERROR(__xludf.DUMMYFUNCTION("""COMPUTED_VALUE"""),1229000.0)</f>
        <v>1229000</v>
      </c>
      <c r="R671" s="96" t="str">
        <f>IFERROR(__xludf.DUMMYFUNCTION("""COMPUTED_VALUE"""),"Prefinance")</f>
        <v>Prefinance</v>
      </c>
      <c r="S671" s="99">
        <f>IFERROR(__xludf.DUMMYFUNCTION("""COMPUTED_VALUE"""),0.0)</f>
        <v>0</v>
      </c>
      <c r="T671" s="99">
        <f>IFERROR(__xludf.DUMMYFUNCTION("""COMPUTED_VALUE"""),0.0)</f>
        <v>0</v>
      </c>
      <c r="U671" s="99">
        <f>IFERROR(__xludf.DUMMYFUNCTION("""COMPUTED_VALUE"""),0.0)</f>
        <v>0</v>
      </c>
      <c r="V671" s="99">
        <f>IFERROR(__xludf.DUMMYFUNCTION("""COMPUTED_VALUE"""),0.0)</f>
        <v>0</v>
      </c>
      <c r="W671" s="99">
        <f>IFERROR(__xludf.DUMMYFUNCTION("""COMPUTED_VALUE"""),0.0)</f>
        <v>0</v>
      </c>
    </row>
    <row r="672">
      <c r="N672" s="98">
        <f>IFERROR(__xludf.DUMMYFUNCTION("""COMPUTED_VALUE"""),44091.0)</f>
        <v>44091</v>
      </c>
      <c r="O672" s="96" t="str">
        <f>IFERROR(__xludf.DUMMYFUNCTION("""COMPUTED_VALUE"""),"CONNECT")</f>
        <v>CONNECT</v>
      </c>
      <c r="P672" s="96" t="str">
        <f>IFERROR(__xludf.DUMMYFUNCTION("""COMPUTED_VALUE"""),"ADVANCE (DIR)")</f>
        <v>ADVANCE (DIR)</v>
      </c>
      <c r="Q672" s="99">
        <f>IFERROR(__xludf.DUMMYFUNCTION("""COMPUTED_VALUE"""),1000000.0)</f>
        <v>1000000</v>
      </c>
      <c r="R672" s="96" t="str">
        <f>IFERROR(__xludf.DUMMYFUNCTION("""COMPUTED_VALUE"""),"Prefinance")</f>
        <v>Prefinance</v>
      </c>
      <c r="S672" s="99">
        <f>IFERROR(__xludf.DUMMYFUNCTION("""COMPUTED_VALUE"""),0.0)</f>
        <v>0</v>
      </c>
      <c r="T672" s="99">
        <f>IFERROR(__xludf.DUMMYFUNCTION("""COMPUTED_VALUE"""),0.0)</f>
        <v>0</v>
      </c>
      <c r="U672" s="99">
        <f>IFERROR(__xludf.DUMMYFUNCTION("""COMPUTED_VALUE"""),0.0)</f>
        <v>0</v>
      </c>
      <c r="V672" s="99">
        <f>IFERROR(__xludf.DUMMYFUNCTION("""COMPUTED_VALUE"""),0.0)</f>
        <v>0</v>
      </c>
      <c r="W672" s="99">
        <f>IFERROR(__xludf.DUMMYFUNCTION("""COMPUTED_VALUE"""),0.0)</f>
        <v>0</v>
      </c>
    </row>
    <row r="673">
      <c r="N673" s="98">
        <f>IFERROR(__xludf.DUMMYFUNCTION("""COMPUTED_VALUE"""),44091.0)</f>
        <v>44091</v>
      </c>
      <c r="O673" s="96" t="str">
        <f>IFERROR(__xludf.DUMMYFUNCTION("""COMPUTED_VALUE"""),"ONG")</f>
        <v>ONG</v>
      </c>
      <c r="P673" s="96" t="str">
        <f>IFERROR(__xludf.DUMMYFUNCTION("""COMPUTED_VALUE"""),"TRANSPORT")</f>
        <v>TRANSPORT</v>
      </c>
      <c r="Q673" s="99">
        <f>IFERROR(__xludf.DUMMYFUNCTION("""COMPUTED_VALUE"""),42000.0)</f>
        <v>42000</v>
      </c>
      <c r="R673" s="96" t="str">
        <f>IFERROR(__xludf.DUMMYFUNCTION("""COMPUTED_VALUE"""),"General Expenses")</f>
        <v>General Expenses</v>
      </c>
      <c r="S673" s="99">
        <f>IFERROR(__xludf.DUMMYFUNCTION("""COMPUTED_VALUE"""),0.0)</f>
        <v>0</v>
      </c>
      <c r="T673" s="99">
        <f>IFERROR(__xludf.DUMMYFUNCTION("""COMPUTED_VALUE"""),42000.0)</f>
        <v>42000</v>
      </c>
      <c r="U673" s="99">
        <f>IFERROR(__xludf.DUMMYFUNCTION("""COMPUTED_VALUE"""),0.0)</f>
        <v>0</v>
      </c>
      <c r="V673" s="99">
        <f>IFERROR(__xludf.DUMMYFUNCTION("""COMPUTED_VALUE"""),0.0)</f>
        <v>0</v>
      </c>
      <c r="W673" s="99">
        <f>IFERROR(__xludf.DUMMYFUNCTION("""COMPUTED_VALUE"""),0.0)</f>
        <v>0</v>
      </c>
    </row>
    <row r="674">
      <c r="N674" s="98">
        <f>IFERROR(__xludf.DUMMYFUNCTION("""COMPUTED_VALUE"""),44091.0)</f>
        <v>44091</v>
      </c>
      <c r="O674" s="96" t="str">
        <f>IFERROR(__xludf.DUMMYFUNCTION("""COMPUTED_VALUE"""),"BLESSING CHAPMAN")</f>
        <v>BLESSING CHAPMAN</v>
      </c>
      <c r="P674" s="96" t="str">
        <f>IFERROR(__xludf.DUMMYFUNCTION("""COMPUTED_VALUE"""),"FOOD")</f>
        <v>FOOD</v>
      </c>
      <c r="Q674" s="99">
        <f>IFERROR(__xludf.DUMMYFUNCTION("""COMPUTED_VALUE"""),4500.0)</f>
        <v>4500</v>
      </c>
      <c r="R674" s="96" t="str">
        <f>IFERROR(__xludf.DUMMYFUNCTION("""COMPUTED_VALUE"""),"General Expenses")</f>
        <v>General Expenses</v>
      </c>
      <c r="S674" s="99">
        <f>IFERROR(__xludf.DUMMYFUNCTION("""COMPUTED_VALUE"""),0.0)</f>
        <v>0</v>
      </c>
      <c r="T674" s="99">
        <f>IFERROR(__xludf.DUMMYFUNCTION("""COMPUTED_VALUE"""),4500.0)</f>
        <v>4500</v>
      </c>
      <c r="U674" s="99">
        <f>IFERROR(__xludf.DUMMYFUNCTION("""COMPUTED_VALUE"""),0.0)</f>
        <v>0</v>
      </c>
      <c r="V674" s="99">
        <f>IFERROR(__xludf.DUMMYFUNCTION("""COMPUTED_VALUE"""),0.0)</f>
        <v>0</v>
      </c>
      <c r="W674" s="99">
        <f>IFERROR(__xludf.DUMMYFUNCTION("""COMPUTED_VALUE"""),0.0)</f>
        <v>0</v>
      </c>
    </row>
    <row r="675">
      <c r="N675" s="98">
        <f>IFERROR(__xludf.DUMMYFUNCTION("""COMPUTED_VALUE"""),44091.0)</f>
        <v>44091</v>
      </c>
      <c r="O675" s="96" t="str">
        <f>IFERROR(__xludf.DUMMYFUNCTION("""COMPUTED_VALUE"""),"DIESEL BOY")</f>
        <v>DIESEL BOY</v>
      </c>
      <c r="P675" s="96" t="str">
        <f>IFERROR(__xludf.DUMMYFUNCTION("""COMPUTED_VALUE"""),"DIESEL")</f>
        <v>DIESEL</v>
      </c>
      <c r="Q675" s="99">
        <f>IFERROR(__xludf.DUMMYFUNCTION("""COMPUTED_VALUE"""),15000.0)</f>
        <v>15000</v>
      </c>
      <c r="R675" s="96" t="str">
        <f>IFERROR(__xludf.DUMMYFUNCTION("""COMPUTED_VALUE"""),"General Expenses")</f>
        <v>General Expenses</v>
      </c>
      <c r="S675" s="99">
        <f>IFERROR(__xludf.DUMMYFUNCTION("""COMPUTED_VALUE"""),0.0)</f>
        <v>0</v>
      </c>
      <c r="T675" s="99">
        <f>IFERROR(__xludf.DUMMYFUNCTION("""COMPUTED_VALUE"""),15000.0)</f>
        <v>15000</v>
      </c>
      <c r="U675" s="99">
        <f>IFERROR(__xludf.DUMMYFUNCTION("""COMPUTED_VALUE"""),0.0)</f>
        <v>0</v>
      </c>
      <c r="V675" s="99">
        <f>IFERROR(__xludf.DUMMYFUNCTION("""COMPUTED_VALUE"""),0.0)</f>
        <v>0</v>
      </c>
      <c r="W675" s="99">
        <f>IFERROR(__xludf.DUMMYFUNCTION("""COMPUTED_VALUE"""),0.0)</f>
        <v>0</v>
      </c>
    </row>
    <row r="676">
      <c r="N676" s="98">
        <f>IFERROR(__xludf.DUMMYFUNCTION("""COMPUTED_VALUE"""),44091.0)</f>
        <v>44091</v>
      </c>
      <c r="O676" s="96" t="str">
        <f>IFERROR(__xludf.DUMMYFUNCTION("""COMPUTED_VALUE"""),"DIRECTOR")</f>
        <v>DIRECTOR</v>
      </c>
      <c r="P676" s="96" t="str">
        <f>IFERROR(__xludf.DUMMYFUNCTION("""COMPUTED_VALUE"""),"PERSONAL USE")</f>
        <v>PERSONAL USE</v>
      </c>
      <c r="Q676" s="99">
        <f>IFERROR(__xludf.DUMMYFUNCTION("""COMPUTED_VALUE"""),28000.0)</f>
        <v>28000</v>
      </c>
      <c r="R676" s="96" t="str">
        <f>IFERROR(__xludf.DUMMYFUNCTION("""COMPUTED_VALUE"""),"General Expenses")</f>
        <v>General Expenses</v>
      </c>
      <c r="S676" s="99">
        <f>IFERROR(__xludf.DUMMYFUNCTION("""COMPUTED_VALUE"""),0.0)</f>
        <v>0</v>
      </c>
      <c r="T676" s="99">
        <f>IFERROR(__xludf.DUMMYFUNCTION("""COMPUTED_VALUE"""),28000.0)</f>
        <v>28000</v>
      </c>
      <c r="U676" s="99">
        <f>IFERROR(__xludf.DUMMYFUNCTION("""COMPUTED_VALUE"""),0.0)</f>
        <v>0</v>
      </c>
      <c r="V676" s="99">
        <f>IFERROR(__xludf.DUMMYFUNCTION("""COMPUTED_VALUE"""),0.0)</f>
        <v>0</v>
      </c>
      <c r="W676" s="99">
        <f>IFERROR(__xludf.DUMMYFUNCTION("""COMPUTED_VALUE"""),0.0)</f>
        <v>0</v>
      </c>
    </row>
    <row r="677">
      <c r="N677" s="98">
        <f>IFERROR(__xludf.DUMMYFUNCTION("""COMPUTED_VALUE"""),44091.0)</f>
        <v>44091</v>
      </c>
      <c r="O677" s="96" t="str">
        <f>IFERROR(__xludf.DUMMYFUNCTION("""COMPUTED_VALUE"""),"AMBA")</f>
        <v>AMBA</v>
      </c>
      <c r="P677" s="96" t="str">
        <f>IFERROR(__xludf.DUMMYFUNCTION("""COMPUTED_VALUE"""),"HAULLAGE")</f>
        <v>HAULLAGE</v>
      </c>
      <c r="Q677" s="99">
        <f>IFERROR(__xludf.DUMMYFUNCTION("""COMPUTED_VALUE"""),16500.0)</f>
        <v>16500</v>
      </c>
      <c r="R677" s="96" t="str">
        <f>IFERROR(__xludf.DUMMYFUNCTION("""COMPUTED_VALUE"""),"General Expenses")</f>
        <v>General Expenses</v>
      </c>
      <c r="S677" s="99">
        <f>IFERROR(__xludf.DUMMYFUNCTION("""COMPUTED_VALUE"""),0.0)</f>
        <v>0</v>
      </c>
      <c r="T677" s="99">
        <f>IFERROR(__xludf.DUMMYFUNCTION("""COMPUTED_VALUE"""),16500.0)</f>
        <v>16500</v>
      </c>
      <c r="U677" s="99">
        <f>IFERROR(__xludf.DUMMYFUNCTION("""COMPUTED_VALUE"""),0.0)</f>
        <v>0</v>
      </c>
      <c r="V677" s="99">
        <f>IFERROR(__xludf.DUMMYFUNCTION("""COMPUTED_VALUE"""),0.0)</f>
        <v>0</v>
      </c>
      <c r="W677" s="99">
        <f>IFERROR(__xludf.DUMMYFUNCTION("""COMPUTED_VALUE"""),0.0)</f>
        <v>0</v>
      </c>
    </row>
    <row r="678">
      <c r="N678" s="98">
        <f>IFERROR(__xludf.DUMMYFUNCTION("""COMPUTED_VALUE"""),44091.0)</f>
        <v>44091</v>
      </c>
      <c r="O678" s="96" t="str">
        <f>IFERROR(__xludf.DUMMYFUNCTION("""COMPUTED_VALUE"""),"OBI-DRIVER")</f>
        <v>OBI-DRIVER</v>
      </c>
      <c r="P678" s="96" t="str">
        <f>IFERROR(__xludf.DUMMYFUNCTION("""COMPUTED_VALUE"""),"FUEL")</f>
        <v>FUEL</v>
      </c>
      <c r="Q678" s="99">
        <f>IFERROR(__xludf.DUMMYFUNCTION("""COMPUTED_VALUE"""),5000.0)</f>
        <v>5000</v>
      </c>
      <c r="R678" s="96" t="str">
        <f>IFERROR(__xludf.DUMMYFUNCTION("""COMPUTED_VALUE"""),"General Expenses")</f>
        <v>General Expenses</v>
      </c>
      <c r="S678" s="99">
        <f>IFERROR(__xludf.DUMMYFUNCTION("""COMPUTED_VALUE"""),0.0)</f>
        <v>0</v>
      </c>
      <c r="T678" s="99">
        <f>IFERROR(__xludf.DUMMYFUNCTION("""COMPUTED_VALUE"""),5000.0)</f>
        <v>5000</v>
      </c>
      <c r="U678" s="99">
        <f>IFERROR(__xludf.DUMMYFUNCTION("""COMPUTED_VALUE"""),0.0)</f>
        <v>0</v>
      </c>
      <c r="V678" s="99">
        <f>IFERROR(__xludf.DUMMYFUNCTION("""COMPUTED_VALUE"""),0.0)</f>
        <v>0</v>
      </c>
      <c r="W678" s="99">
        <f>IFERROR(__xludf.DUMMYFUNCTION("""COMPUTED_VALUE"""),0.0)</f>
        <v>0</v>
      </c>
    </row>
    <row r="679">
      <c r="N679" s="98">
        <f>IFERROR(__xludf.DUMMYFUNCTION("""COMPUTED_VALUE"""),44091.0)</f>
        <v>44091</v>
      </c>
      <c r="O679" s="96" t="str">
        <f>IFERROR(__xludf.DUMMYFUNCTION("""COMPUTED_VALUE"""),"ETUNG")</f>
        <v>ETUNG</v>
      </c>
      <c r="P679" s="96" t="str">
        <f>IFERROR(__xludf.DUMMYFUNCTION("""COMPUTED_VALUE"""),"HAULAGE")</f>
        <v>HAULAGE</v>
      </c>
      <c r="Q679" s="99">
        <f>IFERROR(__xludf.DUMMYFUNCTION("""COMPUTED_VALUE"""),49000.0)</f>
        <v>49000</v>
      </c>
      <c r="R679" s="96" t="str">
        <f>IFERROR(__xludf.DUMMYFUNCTION("""COMPUTED_VALUE"""),"General Expenses")</f>
        <v>General Expenses</v>
      </c>
      <c r="S679" s="99">
        <f>IFERROR(__xludf.DUMMYFUNCTION("""COMPUTED_VALUE"""),0.0)</f>
        <v>0</v>
      </c>
      <c r="T679" s="99">
        <f>IFERROR(__xludf.DUMMYFUNCTION("""COMPUTED_VALUE"""),49000.0)</f>
        <v>49000</v>
      </c>
      <c r="U679" s="99">
        <f>IFERROR(__xludf.DUMMYFUNCTION("""COMPUTED_VALUE"""),0.0)</f>
        <v>0</v>
      </c>
      <c r="V679" s="99">
        <f>IFERROR(__xludf.DUMMYFUNCTION("""COMPUTED_VALUE"""),0.0)</f>
        <v>0</v>
      </c>
      <c r="W679" s="99">
        <f>IFERROR(__xludf.DUMMYFUNCTION("""COMPUTED_VALUE"""),0.0)</f>
        <v>0</v>
      </c>
    </row>
    <row r="680">
      <c r="N680" s="98">
        <f>IFERROR(__xludf.DUMMYFUNCTION("""COMPUTED_VALUE"""),44091.0)</f>
        <v>44091</v>
      </c>
      <c r="O680" s="96" t="str">
        <f>IFERROR(__xludf.DUMMYFUNCTION("""COMPUTED_VALUE"""),"EMEKA")</f>
        <v>EMEKA</v>
      </c>
      <c r="P680" s="96" t="str">
        <f>IFERROR(__xludf.DUMMYFUNCTION("""COMPUTED_VALUE"""),"WAREHOUSE")</f>
        <v>WAREHOUSE</v>
      </c>
      <c r="Q680" s="99">
        <f>IFERROR(__xludf.DUMMYFUNCTION("""COMPUTED_VALUE"""),70000.0)</f>
        <v>70000</v>
      </c>
      <c r="R680" s="96" t="str">
        <f>IFERROR(__xludf.DUMMYFUNCTION("""COMPUTED_VALUE"""),"General Expenses")</f>
        <v>General Expenses</v>
      </c>
      <c r="S680" s="99">
        <f>IFERROR(__xludf.DUMMYFUNCTION("""COMPUTED_VALUE"""),0.0)</f>
        <v>0</v>
      </c>
      <c r="T680" s="99">
        <f>IFERROR(__xludf.DUMMYFUNCTION("""COMPUTED_VALUE"""),70000.0)</f>
        <v>70000</v>
      </c>
      <c r="U680" s="99">
        <f>IFERROR(__xludf.DUMMYFUNCTION("""COMPUTED_VALUE"""),0.0)</f>
        <v>0</v>
      </c>
      <c r="V680" s="99">
        <f>IFERROR(__xludf.DUMMYFUNCTION("""COMPUTED_VALUE"""),0.0)</f>
        <v>0</v>
      </c>
      <c r="W680" s="99">
        <f>IFERROR(__xludf.DUMMYFUNCTION("""COMPUTED_VALUE"""),0.0)</f>
        <v>0</v>
      </c>
    </row>
    <row r="681">
      <c r="N681" s="98">
        <f>IFERROR(__xludf.DUMMYFUNCTION("""COMPUTED_VALUE"""),44091.0)</f>
        <v>44091</v>
      </c>
      <c r="O681" s="96" t="str">
        <f>IFERROR(__xludf.DUMMYFUNCTION("""COMPUTED_VALUE"""),"BLESSING CHAPMAN")</f>
        <v>BLESSING CHAPMAN</v>
      </c>
      <c r="P681" s="96" t="str">
        <f>IFERROR(__xludf.DUMMYFUNCTION("""COMPUTED_VALUE"""),"STATIONERIES")</f>
        <v>STATIONERIES</v>
      </c>
      <c r="Q681" s="99">
        <f>IFERROR(__xludf.DUMMYFUNCTION("""COMPUTED_VALUE"""),5800.0)</f>
        <v>5800</v>
      </c>
      <c r="R681" s="96" t="str">
        <f>IFERROR(__xludf.DUMMYFUNCTION("""COMPUTED_VALUE"""),"General Expenses")</f>
        <v>General Expenses</v>
      </c>
      <c r="S681" s="99">
        <f>IFERROR(__xludf.DUMMYFUNCTION("""COMPUTED_VALUE"""),0.0)</f>
        <v>0</v>
      </c>
      <c r="T681" s="99">
        <f>IFERROR(__xludf.DUMMYFUNCTION("""COMPUTED_VALUE"""),5800.0)</f>
        <v>5800</v>
      </c>
      <c r="U681" s="99">
        <f>IFERROR(__xludf.DUMMYFUNCTION("""COMPUTED_VALUE"""),0.0)</f>
        <v>0</v>
      </c>
      <c r="V681" s="99">
        <f>IFERROR(__xludf.DUMMYFUNCTION("""COMPUTED_VALUE"""),0.0)</f>
        <v>0</v>
      </c>
      <c r="W681" s="99">
        <f>IFERROR(__xludf.DUMMYFUNCTION("""COMPUTED_VALUE"""),0.0)</f>
        <v>0</v>
      </c>
    </row>
    <row r="682">
      <c r="N682" s="98">
        <f>IFERROR(__xludf.DUMMYFUNCTION("""COMPUTED_VALUE"""),44091.0)</f>
        <v>44091</v>
      </c>
      <c r="O682" s="96" t="str">
        <f>IFERROR(__xludf.DUMMYFUNCTION("""COMPUTED_VALUE"""),"HN")</f>
        <v>HN</v>
      </c>
      <c r="P682" s="96" t="str">
        <f>IFERROR(__xludf.DUMMYFUNCTION("""COMPUTED_VALUE"""),"TULIP")</f>
        <v>TULIP</v>
      </c>
      <c r="Q682" s="99">
        <f>IFERROR(__xludf.DUMMYFUNCTION("""COMPUTED_VALUE"""),5000.0)</f>
        <v>5000</v>
      </c>
      <c r="R682" s="96" t="str">
        <f>IFERROR(__xludf.DUMMYFUNCTION("""COMPUTED_VALUE"""),"General Expenses")</f>
        <v>General Expenses</v>
      </c>
      <c r="S682" s="99">
        <f>IFERROR(__xludf.DUMMYFUNCTION("""COMPUTED_VALUE"""),0.0)</f>
        <v>0</v>
      </c>
      <c r="T682" s="99">
        <f>IFERROR(__xludf.DUMMYFUNCTION("""COMPUTED_VALUE"""),5000.0)</f>
        <v>5000</v>
      </c>
      <c r="U682" s="99">
        <f>IFERROR(__xludf.DUMMYFUNCTION("""COMPUTED_VALUE"""),0.0)</f>
        <v>0</v>
      </c>
      <c r="V682" s="99">
        <f>IFERROR(__xludf.DUMMYFUNCTION("""COMPUTED_VALUE"""),0.0)</f>
        <v>0</v>
      </c>
      <c r="W682" s="99">
        <f>IFERROR(__xludf.DUMMYFUNCTION("""COMPUTED_VALUE"""),0.0)</f>
        <v>0</v>
      </c>
    </row>
    <row r="683">
      <c r="N683" s="98">
        <f>IFERROR(__xludf.DUMMYFUNCTION("""COMPUTED_VALUE"""),44091.0)</f>
        <v>44091</v>
      </c>
      <c r="O683" s="96" t="str">
        <f>IFERROR(__xludf.DUMMYFUNCTION("""COMPUTED_VALUE"""),"DIRECTOR")</f>
        <v>DIRECTOR</v>
      </c>
      <c r="P683" s="96" t="str">
        <f>IFERROR(__xludf.DUMMYFUNCTION("""COMPUTED_VALUE"""),"PERSONAL USE")</f>
        <v>PERSONAL USE</v>
      </c>
      <c r="Q683" s="99">
        <f>IFERROR(__xludf.DUMMYFUNCTION("""COMPUTED_VALUE"""),50000.0)</f>
        <v>50000</v>
      </c>
      <c r="R683" s="96" t="str">
        <f>IFERROR(__xludf.DUMMYFUNCTION("""COMPUTED_VALUE"""),"General Expenses")</f>
        <v>General Expenses</v>
      </c>
      <c r="S683" s="99">
        <f>IFERROR(__xludf.DUMMYFUNCTION("""COMPUTED_VALUE"""),0.0)</f>
        <v>0</v>
      </c>
      <c r="T683" s="99">
        <f>IFERROR(__xludf.DUMMYFUNCTION("""COMPUTED_VALUE"""),50000.0)</f>
        <v>50000</v>
      </c>
      <c r="U683" s="99">
        <f>IFERROR(__xludf.DUMMYFUNCTION("""COMPUTED_VALUE"""),0.0)</f>
        <v>0</v>
      </c>
      <c r="V683" s="99">
        <f>IFERROR(__xludf.DUMMYFUNCTION("""COMPUTED_VALUE"""),0.0)</f>
        <v>0</v>
      </c>
      <c r="W683" s="99">
        <f>IFERROR(__xludf.DUMMYFUNCTION("""COMPUTED_VALUE"""),0.0)</f>
        <v>0</v>
      </c>
    </row>
    <row r="684">
      <c r="N684" s="98">
        <f>IFERROR(__xludf.DUMMYFUNCTION("""COMPUTED_VALUE"""),44091.0)</f>
        <v>44091</v>
      </c>
      <c r="O684" s="96" t="str">
        <f>IFERROR(__xludf.DUMMYFUNCTION("""COMPUTED_VALUE"""),"DORATHY")</f>
        <v>DORATHY</v>
      </c>
      <c r="P684" s="96" t="str">
        <f>IFERROR(__xludf.DUMMYFUNCTION("""COMPUTED_VALUE"""),"SALARY")</f>
        <v>SALARY</v>
      </c>
      <c r="Q684" s="99">
        <f>IFERROR(__xludf.DUMMYFUNCTION("""COMPUTED_VALUE"""),15000.0)</f>
        <v>15000</v>
      </c>
      <c r="R684" s="96" t="str">
        <f>IFERROR(__xludf.DUMMYFUNCTION("""COMPUTED_VALUE"""),"General Expenses")</f>
        <v>General Expenses</v>
      </c>
      <c r="S684" s="99">
        <f>IFERROR(__xludf.DUMMYFUNCTION("""COMPUTED_VALUE"""),0.0)</f>
        <v>0</v>
      </c>
      <c r="T684" s="99">
        <f>IFERROR(__xludf.DUMMYFUNCTION("""COMPUTED_VALUE"""),15000.0)</f>
        <v>15000</v>
      </c>
      <c r="U684" s="99">
        <f>IFERROR(__xludf.DUMMYFUNCTION("""COMPUTED_VALUE"""),0.0)</f>
        <v>0</v>
      </c>
      <c r="V684" s="99">
        <f>IFERROR(__xludf.DUMMYFUNCTION("""COMPUTED_VALUE"""),0.0)</f>
        <v>0</v>
      </c>
      <c r="W684" s="99">
        <f>IFERROR(__xludf.DUMMYFUNCTION("""COMPUTED_VALUE"""),0.0)</f>
        <v>0</v>
      </c>
    </row>
    <row r="685">
      <c r="N685" s="98">
        <f>IFERROR(__xludf.DUMMYFUNCTION("""COMPUTED_VALUE"""),44091.0)</f>
        <v>44091</v>
      </c>
      <c r="O685" s="96" t="str">
        <f>IFERROR(__xludf.DUMMYFUNCTION("""COMPUTED_VALUE"""),"LABOUR  BOY")</f>
        <v>LABOUR  BOY</v>
      </c>
      <c r="P685" s="96" t="str">
        <f>IFERROR(__xludf.DUMMYFUNCTION("""COMPUTED_VALUE"""),"WAGES ADVANCE")</f>
        <v>WAGES ADVANCE</v>
      </c>
      <c r="Q685" s="99">
        <f>IFERROR(__xludf.DUMMYFUNCTION("""COMPUTED_VALUE"""),2500.0)</f>
        <v>2500</v>
      </c>
      <c r="R685" s="96" t="str">
        <f>IFERROR(__xludf.DUMMYFUNCTION("""COMPUTED_VALUE"""),"General Expenses")</f>
        <v>General Expenses</v>
      </c>
      <c r="S685" s="99">
        <f>IFERROR(__xludf.DUMMYFUNCTION("""COMPUTED_VALUE"""),0.0)</f>
        <v>0</v>
      </c>
      <c r="T685" s="99">
        <f>IFERROR(__xludf.DUMMYFUNCTION("""COMPUTED_VALUE"""),2500.0)</f>
        <v>2500</v>
      </c>
      <c r="U685" s="99">
        <f>IFERROR(__xludf.DUMMYFUNCTION("""COMPUTED_VALUE"""),0.0)</f>
        <v>0</v>
      </c>
      <c r="V685" s="99">
        <f>IFERROR(__xludf.DUMMYFUNCTION("""COMPUTED_VALUE"""),0.0)</f>
        <v>0</v>
      </c>
      <c r="W685" s="99">
        <f>IFERROR(__xludf.DUMMYFUNCTION("""COMPUTED_VALUE"""),0.0)</f>
        <v>0</v>
      </c>
    </row>
    <row r="686">
      <c r="N686" s="98">
        <f>IFERROR(__xludf.DUMMYFUNCTION("""COMPUTED_VALUE"""),44091.0)</f>
        <v>44091</v>
      </c>
      <c r="O686" s="96" t="str">
        <f>IFERROR(__xludf.DUMMYFUNCTION("""COMPUTED_VALUE"""),"ESCORT PETER")</f>
        <v>ESCORT PETER</v>
      </c>
      <c r="P686" s="96" t="str">
        <f>IFERROR(__xludf.DUMMYFUNCTION("""COMPUTED_VALUE"""),"ESCORT")</f>
        <v>ESCORT</v>
      </c>
      <c r="Q686" s="99">
        <f>IFERROR(__xludf.DUMMYFUNCTION("""COMPUTED_VALUE"""),65000.0)</f>
        <v>65000</v>
      </c>
      <c r="R686" s="96" t="str">
        <f>IFERROR(__xludf.DUMMYFUNCTION("""COMPUTED_VALUE"""),"General Expenses")</f>
        <v>General Expenses</v>
      </c>
      <c r="S686" s="99">
        <f>IFERROR(__xludf.DUMMYFUNCTION("""COMPUTED_VALUE"""),0.0)</f>
        <v>0</v>
      </c>
      <c r="T686" s="99">
        <f>IFERROR(__xludf.DUMMYFUNCTION("""COMPUTED_VALUE"""),65000.0)</f>
        <v>65000</v>
      </c>
      <c r="U686" s="99">
        <f>IFERROR(__xludf.DUMMYFUNCTION("""COMPUTED_VALUE"""),0.0)</f>
        <v>0</v>
      </c>
      <c r="V686" s="99">
        <f>IFERROR(__xludf.DUMMYFUNCTION("""COMPUTED_VALUE"""),0.0)</f>
        <v>0</v>
      </c>
      <c r="W686" s="99">
        <f>IFERROR(__xludf.DUMMYFUNCTION("""COMPUTED_VALUE"""),0.0)</f>
        <v>0</v>
      </c>
    </row>
    <row r="687">
      <c r="N687" s="98">
        <f>IFERROR(__xludf.DUMMYFUNCTION("""COMPUTED_VALUE"""),44091.0)</f>
        <v>44091</v>
      </c>
      <c r="O687" s="96" t="str">
        <f>IFERROR(__xludf.DUMMYFUNCTION("""COMPUTED_VALUE"""),"BLESSING CHAPMAN")</f>
        <v>BLESSING CHAPMAN</v>
      </c>
      <c r="P687" s="96" t="str">
        <f>IFERROR(__xludf.DUMMYFUNCTION("""COMPUTED_VALUE"""),"CASH COLLECTED")</f>
        <v>CASH COLLECTED</v>
      </c>
      <c r="Q687" s="99">
        <f>IFERROR(__xludf.DUMMYFUNCTION("""COMPUTED_VALUE"""),373300.0)</f>
        <v>373300</v>
      </c>
      <c r="R687" s="96" t="str">
        <f>IFERROR(__xludf.DUMMYFUNCTION("""COMPUTED_VALUE"""),"Petty Cash")</f>
        <v>Petty Cash</v>
      </c>
      <c r="S687" s="99">
        <f>IFERROR(__xludf.DUMMYFUNCTION("""COMPUTED_VALUE"""),0.0)</f>
        <v>0</v>
      </c>
      <c r="T687" s="99">
        <f>IFERROR(__xludf.DUMMYFUNCTION("""COMPUTED_VALUE"""),0.0)</f>
        <v>0</v>
      </c>
      <c r="U687" s="99">
        <f>IFERROR(__xludf.DUMMYFUNCTION("""COMPUTED_VALUE"""),0.0)</f>
        <v>0</v>
      </c>
      <c r="V687" s="99">
        <f>IFERROR(__xludf.DUMMYFUNCTION("""COMPUTED_VALUE"""),373300.0)</f>
        <v>373300</v>
      </c>
      <c r="W687" s="99">
        <f>IFERROR(__xludf.DUMMYFUNCTION("""COMPUTED_VALUE"""),0.0)</f>
        <v>0</v>
      </c>
    </row>
    <row r="688">
      <c r="N688" s="98">
        <f>IFERROR(__xludf.DUMMYFUNCTION("""COMPUTED_VALUE"""),44091.0)</f>
        <v>44091</v>
      </c>
      <c r="O688" s="96" t="str">
        <f>IFERROR(__xludf.DUMMYFUNCTION("""COMPUTED_VALUE"""),"DIRECTOR")</f>
        <v>DIRECTOR</v>
      </c>
      <c r="P688" s="96" t="str">
        <f>IFERROR(__xludf.DUMMYFUNCTION("""COMPUTED_VALUE"""),"CASH TRANSFERED")</f>
        <v>CASH TRANSFERED</v>
      </c>
      <c r="Q688" s="99">
        <f>IFERROR(__xludf.DUMMYFUNCTION("""COMPUTED_VALUE"""),1000000.0)</f>
        <v>1000000</v>
      </c>
      <c r="R688" s="96" t="str">
        <f>IFERROR(__xludf.DUMMYFUNCTION("""COMPUTED_VALUE"""),"From Bank")</f>
        <v>From Bank</v>
      </c>
      <c r="S688" s="99">
        <f>IFERROR(__xludf.DUMMYFUNCTION("""COMPUTED_VALUE"""),0.0)</f>
        <v>0</v>
      </c>
      <c r="T688" s="99">
        <f>IFERROR(__xludf.DUMMYFUNCTION("""COMPUTED_VALUE"""),0.0)</f>
        <v>0</v>
      </c>
      <c r="U688" s="99">
        <f>IFERROR(__xludf.DUMMYFUNCTION("""COMPUTED_VALUE"""),1000000.0)</f>
        <v>1000000</v>
      </c>
      <c r="V688" s="99">
        <f>IFERROR(__xludf.DUMMYFUNCTION("""COMPUTED_VALUE"""),0.0)</f>
        <v>0</v>
      </c>
      <c r="W688" s="99">
        <f>IFERROR(__xludf.DUMMYFUNCTION("""COMPUTED_VALUE"""),0.0)</f>
        <v>0</v>
      </c>
    </row>
    <row r="689">
      <c r="N689" s="98">
        <f>IFERROR(__xludf.DUMMYFUNCTION("""COMPUTED_VALUE"""),44091.0)</f>
        <v>44091</v>
      </c>
      <c r="O689" s="96" t="str">
        <f>IFERROR(__xludf.DUMMYFUNCTION("""COMPUTED_VALUE"""),"MANAGER")</f>
        <v>MANAGER</v>
      </c>
      <c r="P689" s="96" t="str">
        <f>IFERROR(__xludf.DUMMYFUNCTION("""COMPUTED_VALUE"""),"CASH-IN")</f>
        <v>CASH-IN</v>
      </c>
      <c r="Q689" s="99">
        <f>IFERROR(__xludf.DUMMYFUNCTION("""COMPUTED_VALUE"""),2500000.0)</f>
        <v>2500000</v>
      </c>
      <c r="R689" s="96" t="str">
        <f>IFERROR(__xludf.DUMMYFUNCTION("""COMPUTED_VALUE"""),"From Bank")</f>
        <v>From Bank</v>
      </c>
      <c r="S689" s="99">
        <f>IFERROR(__xludf.DUMMYFUNCTION("""COMPUTED_VALUE"""),0.0)</f>
        <v>0</v>
      </c>
      <c r="T689" s="99">
        <f>IFERROR(__xludf.DUMMYFUNCTION("""COMPUTED_VALUE"""),0.0)</f>
        <v>0</v>
      </c>
      <c r="U689" s="99">
        <f>IFERROR(__xludf.DUMMYFUNCTION("""COMPUTED_VALUE"""),2500000.0)</f>
        <v>2500000</v>
      </c>
      <c r="V689" s="99">
        <f>IFERROR(__xludf.DUMMYFUNCTION("""COMPUTED_VALUE"""),0.0)</f>
        <v>0</v>
      </c>
      <c r="W689" s="99">
        <f>IFERROR(__xludf.DUMMYFUNCTION("""COMPUTED_VALUE"""),0.0)</f>
        <v>0</v>
      </c>
    </row>
    <row r="690">
      <c r="N690" s="98">
        <f>IFERROR(__xludf.DUMMYFUNCTION("""COMPUTED_VALUE"""),44089.0)</f>
        <v>44089</v>
      </c>
      <c r="O690" s="96" t="str">
        <f>IFERROR(__xludf.DUMMYFUNCTION("""COMPUTED_VALUE"""),"DIRECTOR")</f>
        <v>DIRECTOR</v>
      </c>
      <c r="P690" s="96" t="str">
        <f>IFERROR(__xludf.DUMMYFUNCTION("""COMPUTED_VALUE"""),"MISTAKE FROM BANK")</f>
        <v>MISTAKE FROM BANK</v>
      </c>
      <c r="Q690" s="99">
        <f>IFERROR(__xludf.DUMMYFUNCTION("""COMPUTED_VALUE"""),-500.0)</f>
        <v>-500</v>
      </c>
      <c r="R690" s="96" t="str">
        <f>IFERROR(__xludf.DUMMYFUNCTION("""COMPUTED_VALUE"""),"From Bank")</f>
        <v>From Bank</v>
      </c>
      <c r="S690" s="99">
        <f>IFERROR(__xludf.DUMMYFUNCTION("""COMPUTED_VALUE"""),0.0)</f>
        <v>0</v>
      </c>
      <c r="T690" s="99">
        <f>IFERROR(__xludf.DUMMYFUNCTION("""COMPUTED_VALUE"""),0.0)</f>
        <v>0</v>
      </c>
      <c r="U690" s="99">
        <f>IFERROR(__xludf.DUMMYFUNCTION("""COMPUTED_VALUE"""),-500.0)</f>
        <v>-500</v>
      </c>
      <c r="V690" s="99">
        <f>IFERROR(__xludf.DUMMYFUNCTION("""COMPUTED_VALUE"""),0.0)</f>
        <v>0</v>
      </c>
      <c r="W690" s="99">
        <f>IFERROR(__xludf.DUMMYFUNCTION("""COMPUTED_VALUE"""),0.0)</f>
        <v>0</v>
      </c>
    </row>
    <row r="691">
      <c r="N691" s="98">
        <f>IFERROR(__xludf.DUMMYFUNCTION("""COMPUTED_VALUE"""),44092.0)</f>
        <v>44092</v>
      </c>
      <c r="O691" s="96" t="str">
        <f>IFERROR(__xludf.DUMMYFUNCTION("""COMPUTED_VALUE"""),"LYDIA HNSON ")</f>
        <v>LYDIA HNSON </v>
      </c>
      <c r="P691" s="96" t="str">
        <f>IFERROR(__xludf.DUMMYFUNCTION("""COMPUTED_VALUE"""),"ADVANCE")</f>
        <v>ADVANCE</v>
      </c>
      <c r="Q691" s="99">
        <f>IFERROR(__xludf.DUMMYFUNCTION("""COMPUTED_VALUE"""),2000000.0)</f>
        <v>2000000</v>
      </c>
      <c r="R691" s="96" t="str">
        <f>IFERROR(__xludf.DUMMYFUNCTION("""COMPUTED_VALUE"""),"Prefinance")</f>
        <v>Prefinance</v>
      </c>
      <c r="S691" s="99">
        <f>IFERROR(__xludf.DUMMYFUNCTION("""COMPUTED_VALUE"""),0.0)</f>
        <v>0</v>
      </c>
      <c r="T691" s="99">
        <f>IFERROR(__xludf.DUMMYFUNCTION("""COMPUTED_VALUE"""),0.0)</f>
        <v>0</v>
      </c>
      <c r="U691" s="99">
        <f>IFERROR(__xludf.DUMMYFUNCTION("""COMPUTED_VALUE"""),0.0)</f>
        <v>0</v>
      </c>
      <c r="V691" s="99">
        <f>IFERROR(__xludf.DUMMYFUNCTION("""COMPUTED_VALUE"""),0.0)</f>
        <v>0</v>
      </c>
      <c r="W691" s="99">
        <f>IFERROR(__xludf.DUMMYFUNCTION("""COMPUTED_VALUE"""),0.0)</f>
        <v>0</v>
      </c>
    </row>
    <row r="692">
      <c r="N692" s="98">
        <f>IFERROR(__xludf.DUMMYFUNCTION("""COMPUTED_VALUE"""),44092.0)</f>
        <v>44092</v>
      </c>
      <c r="O692" s="96" t="str">
        <f>IFERROR(__xludf.DUMMYFUNCTION("""COMPUTED_VALUE"""),"LYDIA HNSON ")</f>
        <v>LYDIA HNSON </v>
      </c>
      <c r="P692" s="96" t="str">
        <f>IFERROR(__xludf.DUMMYFUNCTION("""COMPUTED_VALUE"""),"ADVANCE (DIR)")</f>
        <v>ADVANCE (DIR)</v>
      </c>
      <c r="Q692" s="99">
        <f>IFERROR(__xludf.DUMMYFUNCTION("""COMPUTED_VALUE"""),300000.0)</f>
        <v>300000</v>
      </c>
      <c r="R692" s="96" t="str">
        <f>IFERROR(__xludf.DUMMYFUNCTION("""COMPUTED_VALUE"""),"Prefinance")</f>
        <v>Prefinance</v>
      </c>
      <c r="S692" s="99">
        <f>IFERROR(__xludf.DUMMYFUNCTION("""COMPUTED_VALUE"""),0.0)</f>
        <v>0</v>
      </c>
      <c r="T692" s="99">
        <f>IFERROR(__xludf.DUMMYFUNCTION("""COMPUTED_VALUE"""),0.0)</f>
        <v>0</v>
      </c>
      <c r="U692" s="99">
        <f>IFERROR(__xludf.DUMMYFUNCTION("""COMPUTED_VALUE"""),0.0)</f>
        <v>0</v>
      </c>
      <c r="V692" s="99">
        <f>IFERROR(__xludf.DUMMYFUNCTION("""COMPUTED_VALUE"""),0.0)</f>
        <v>0</v>
      </c>
      <c r="W692" s="99">
        <f>IFERROR(__xludf.DUMMYFUNCTION("""COMPUTED_VALUE"""),0.0)</f>
        <v>0</v>
      </c>
    </row>
    <row r="693">
      <c r="N693" s="98">
        <f>IFERROR(__xludf.DUMMYFUNCTION("""COMPUTED_VALUE"""),44092.0)</f>
        <v>44092</v>
      </c>
      <c r="O693" s="96" t="str">
        <f>IFERROR(__xludf.DUMMYFUNCTION("""COMPUTED_VALUE"""),"ZULU ")</f>
        <v>ZULU </v>
      </c>
      <c r="P693" s="96" t="str">
        <f>IFERROR(__xludf.DUMMYFUNCTION("""COMPUTED_VALUE"""),"ADVANCE (DIR)")</f>
        <v>ADVANCE (DIR)</v>
      </c>
      <c r="Q693" s="99">
        <f>IFERROR(__xludf.DUMMYFUNCTION("""COMPUTED_VALUE"""),275000.0)</f>
        <v>275000</v>
      </c>
      <c r="R693" s="96" t="str">
        <f>IFERROR(__xludf.DUMMYFUNCTION("""COMPUTED_VALUE"""),"Prefinance")</f>
        <v>Prefinance</v>
      </c>
      <c r="S693" s="99">
        <f>IFERROR(__xludf.DUMMYFUNCTION("""COMPUTED_VALUE"""),0.0)</f>
        <v>0</v>
      </c>
      <c r="T693" s="99">
        <f>IFERROR(__xludf.DUMMYFUNCTION("""COMPUTED_VALUE"""),0.0)</f>
        <v>0</v>
      </c>
      <c r="U693" s="99">
        <f>IFERROR(__xludf.DUMMYFUNCTION("""COMPUTED_VALUE"""),0.0)</f>
        <v>0</v>
      </c>
      <c r="V693" s="99">
        <f>IFERROR(__xludf.DUMMYFUNCTION("""COMPUTED_VALUE"""),0.0)</f>
        <v>0</v>
      </c>
      <c r="W693" s="99">
        <f>IFERROR(__xludf.DUMMYFUNCTION("""COMPUTED_VALUE"""),0.0)</f>
        <v>0</v>
      </c>
    </row>
    <row r="694">
      <c r="N694" s="98">
        <f>IFERROR(__xludf.DUMMYFUNCTION("""COMPUTED_VALUE"""),44092.0)</f>
        <v>44092</v>
      </c>
      <c r="O694" s="96" t="str">
        <f>IFERROR(__xludf.DUMMYFUNCTION("""COMPUTED_VALUE"""),"OTU KOKO KEIBO")</f>
        <v>OTU KOKO KEIBO</v>
      </c>
      <c r="P694" s="96" t="str">
        <f>IFERROR(__xludf.DUMMYFUNCTION("""COMPUTED_VALUE"""),"CAN HAULAGE")</f>
        <v>CAN HAULAGE</v>
      </c>
      <c r="Q694" s="99">
        <f>IFERROR(__xludf.DUMMYFUNCTION("""COMPUTED_VALUE"""),20500.0)</f>
        <v>20500</v>
      </c>
      <c r="R694" s="96" t="str">
        <f>IFERROR(__xludf.DUMMYFUNCTION("""COMPUTED_VALUE"""),"Prefinance")</f>
        <v>Prefinance</v>
      </c>
      <c r="S694" s="99">
        <f>IFERROR(__xludf.DUMMYFUNCTION("""COMPUTED_VALUE"""),0.0)</f>
        <v>0</v>
      </c>
      <c r="T694" s="99">
        <f>IFERROR(__xludf.DUMMYFUNCTION("""COMPUTED_VALUE"""),0.0)</f>
        <v>0</v>
      </c>
      <c r="U694" s="99">
        <f>IFERROR(__xludf.DUMMYFUNCTION("""COMPUTED_VALUE"""),0.0)</f>
        <v>0</v>
      </c>
      <c r="V694" s="99">
        <f>IFERROR(__xludf.DUMMYFUNCTION("""COMPUTED_VALUE"""),0.0)</f>
        <v>0</v>
      </c>
      <c r="W694" s="99">
        <f>IFERROR(__xludf.DUMMYFUNCTION("""COMPUTED_VALUE"""),0.0)</f>
        <v>0</v>
      </c>
    </row>
    <row r="695">
      <c r="N695" s="98">
        <f>IFERROR(__xludf.DUMMYFUNCTION("""COMPUTED_VALUE"""),44092.0)</f>
        <v>44092</v>
      </c>
      <c r="O695" s="96" t="str">
        <f>IFERROR(__xludf.DUMMYFUNCTION("""COMPUTED_VALUE"""),"OTU KOKO KEIBO")</f>
        <v>OTU KOKO KEIBO</v>
      </c>
      <c r="P695" s="96" t="str">
        <f>IFERROR(__xludf.DUMMYFUNCTION("""COMPUTED_VALUE"""),"TITTLES")</f>
        <v>TITTLES</v>
      </c>
      <c r="Q695" s="99">
        <f>IFERROR(__xludf.DUMMYFUNCTION("""COMPUTED_VALUE"""),116000.0)</f>
        <v>116000</v>
      </c>
      <c r="R695" s="96" t="str">
        <f>IFERROR(__xludf.DUMMYFUNCTION("""COMPUTED_VALUE"""),"Prefinance")</f>
        <v>Prefinance</v>
      </c>
      <c r="S695" s="99">
        <f>IFERROR(__xludf.DUMMYFUNCTION("""COMPUTED_VALUE"""),0.0)</f>
        <v>0</v>
      </c>
      <c r="T695" s="99">
        <f>IFERROR(__xludf.DUMMYFUNCTION("""COMPUTED_VALUE"""),0.0)</f>
        <v>0</v>
      </c>
      <c r="U695" s="99">
        <f>IFERROR(__xludf.DUMMYFUNCTION("""COMPUTED_VALUE"""),0.0)</f>
        <v>0</v>
      </c>
      <c r="V695" s="99">
        <f>IFERROR(__xludf.DUMMYFUNCTION("""COMPUTED_VALUE"""),0.0)</f>
        <v>0</v>
      </c>
      <c r="W695" s="99">
        <f>IFERROR(__xludf.DUMMYFUNCTION("""COMPUTED_VALUE"""),0.0)</f>
        <v>0</v>
      </c>
    </row>
    <row r="696">
      <c r="N696" s="98">
        <f>IFERROR(__xludf.DUMMYFUNCTION("""COMPUTED_VALUE"""),44092.0)</f>
        <v>44092</v>
      </c>
      <c r="O696" s="96" t="str">
        <f>IFERROR(__xludf.DUMMYFUNCTION("""COMPUTED_VALUE"""),"ABANG. DUNLOP")</f>
        <v>ABANG. DUNLOP</v>
      </c>
      <c r="P696" s="96" t="str">
        <f>IFERROR(__xludf.DUMMYFUNCTION("""COMPUTED_VALUE"""),"ADVANCE")</f>
        <v>ADVANCE</v>
      </c>
      <c r="Q696" s="99">
        <f>IFERROR(__xludf.DUMMYFUNCTION("""COMPUTED_VALUE"""),500000.0)</f>
        <v>500000</v>
      </c>
      <c r="R696" s="96" t="str">
        <f>IFERROR(__xludf.DUMMYFUNCTION("""COMPUTED_VALUE"""),"Prefinance")</f>
        <v>Prefinance</v>
      </c>
      <c r="S696" s="99">
        <f>IFERROR(__xludf.DUMMYFUNCTION("""COMPUTED_VALUE"""),0.0)</f>
        <v>0</v>
      </c>
      <c r="T696" s="99">
        <f>IFERROR(__xludf.DUMMYFUNCTION("""COMPUTED_VALUE"""),0.0)</f>
        <v>0</v>
      </c>
      <c r="U696" s="99">
        <f>IFERROR(__xludf.DUMMYFUNCTION("""COMPUTED_VALUE"""),0.0)</f>
        <v>0</v>
      </c>
      <c r="V696" s="99">
        <f>IFERROR(__xludf.DUMMYFUNCTION("""COMPUTED_VALUE"""),0.0)</f>
        <v>0</v>
      </c>
      <c r="W696" s="99">
        <f>IFERROR(__xludf.DUMMYFUNCTION("""COMPUTED_VALUE"""),0.0)</f>
        <v>0</v>
      </c>
    </row>
    <row r="697">
      <c r="N697" s="98">
        <f>IFERROR(__xludf.DUMMYFUNCTION("""COMPUTED_VALUE"""),44092.0)</f>
        <v>44092</v>
      </c>
      <c r="O697" s="96" t="str">
        <f>IFERROR(__xludf.DUMMYFUNCTION("""COMPUTED_VALUE"""),"DIRECTOR")</f>
        <v>DIRECTOR</v>
      </c>
      <c r="P697" s="96" t="str">
        <f>IFERROR(__xludf.DUMMYFUNCTION("""COMPUTED_VALUE"""),"CASH TRANSFERD")</f>
        <v>CASH TRANSFERD</v>
      </c>
      <c r="Q697" s="99">
        <f>IFERROR(__xludf.DUMMYFUNCTION("""COMPUTED_VALUE"""),575000.0)</f>
        <v>575000</v>
      </c>
      <c r="R697" s="96" t="str">
        <f>IFERROR(__xludf.DUMMYFUNCTION("""COMPUTED_VALUE"""),"From Bank")</f>
        <v>From Bank</v>
      </c>
      <c r="S697" s="99">
        <f>IFERROR(__xludf.DUMMYFUNCTION("""COMPUTED_VALUE"""),0.0)</f>
        <v>0</v>
      </c>
      <c r="T697" s="99">
        <f>IFERROR(__xludf.DUMMYFUNCTION("""COMPUTED_VALUE"""),0.0)</f>
        <v>0</v>
      </c>
      <c r="U697" s="99">
        <f>IFERROR(__xludf.DUMMYFUNCTION("""COMPUTED_VALUE"""),575000.0)</f>
        <v>575000</v>
      </c>
      <c r="V697" s="99">
        <f>IFERROR(__xludf.DUMMYFUNCTION("""COMPUTED_VALUE"""),0.0)</f>
        <v>0</v>
      </c>
      <c r="W697" s="99">
        <f>IFERROR(__xludf.DUMMYFUNCTION("""COMPUTED_VALUE"""),0.0)</f>
        <v>0</v>
      </c>
    </row>
    <row r="698">
      <c r="N698" s="98">
        <f>IFERROR(__xludf.DUMMYFUNCTION("""COMPUTED_VALUE"""),44092.0)</f>
        <v>44092</v>
      </c>
      <c r="O698" s="96" t="str">
        <f>IFERROR(__xludf.DUMMYFUNCTION("""COMPUTED_VALUE"""),"DIRECTOR")</f>
        <v>DIRECTOR</v>
      </c>
      <c r="P698" s="96" t="str">
        <f>IFERROR(__xludf.DUMMYFUNCTION("""COMPUTED_VALUE"""),"CASH-IN")</f>
        <v>CASH-IN</v>
      </c>
      <c r="Q698" s="99">
        <f>IFERROR(__xludf.DUMMYFUNCTION("""COMPUTED_VALUE"""),4357000.0)</f>
        <v>4357000</v>
      </c>
      <c r="R698" s="96" t="str">
        <f>IFERROR(__xludf.DUMMYFUNCTION("""COMPUTED_VALUE"""),"From Bank")</f>
        <v>From Bank</v>
      </c>
      <c r="S698" s="99">
        <f>IFERROR(__xludf.DUMMYFUNCTION("""COMPUTED_VALUE"""),0.0)</f>
        <v>0</v>
      </c>
      <c r="T698" s="99">
        <f>IFERROR(__xludf.DUMMYFUNCTION("""COMPUTED_VALUE"""),0.0)</f>
        <v>0</v>
      </c>
      <c r="U698" s="99">
        <f>IFERROR(__xludf.DUMMYFUNCTION("""COMPUTED_VALUE"""),4357000.0)</f>
        <v>4357000</v>
      </c>
      <c r="V698" s="99">
        <f>IFERROR(__xludf.DUMMYFUNCTION("""COMPUTED_VALUE"""),0.0)</f>
        <v>0</v>
      </c>
      <c r="W698" s="99">
        <f>IFERROR(__xludf.DUMMYFUNCTION("""COMPUTED_VALUE"""),0.0)</f>
        <v>0</v>
      </c>
    </row>
    <row r="699">
      <c r="N699" s="98">
        <f>IFERROR(__xludf.DUMMYFUNCTION("""COMPUTED_VALUE"""),44092.0)</f>
        <v>44092</v>
      </c>
      <c r="O699" s="96" t="str">
        <f>IFERROR(__xludf.DUMMYFUNCTION("""COMPUTED_VALUE"""),"ABANG. ASHA")</f>
        <v>ABANG. ASHA</v>
      </c>
      <c r="P699" s="96" t="str">
        <f>IFERROR(__xludf.DUMMYFUNCTION("""COMPUTED_VALUE"""),"LAPTOP BALANCE")</f>
        <v>LAPTOP BALANCE</v>
      </c>
      <c r="Q699" s="99">
        <f>IFERROR(__xludf.DUMMYFUNCTION("""COMPUTED_VALUE"""),20000.0)</f>
        <v>20000</v>
      </c>
      <c r="R699" s="96" t="str">
        <f>IFERROR(__xludf.DUMMYFUNCTION("""COMPUTED_VALUE"""),"General Expenses")</f>
        <v>General Expenses</v>
      </c>
      <c r="S699" s="99">
        <f>IFERROR(__xludf.DUMMYFUNCTION("""COMPUTED_VALUE"""),0.0)</f>
        <v>0</v>
      </c>
      <c r="T699" s="99">
        <f>IFERROR(__xludf.DUMMYFUNCTION("""COMPUTED_VALUE"""),20000.0)</f>
        <v>20000</v>
      </c>
      <c r="U699" s="99">
        <f>IFERROR(__xludf.DUMMYFUNCTION("""COMPUTED_VALUE"""),0.0)</f>
        <v>0</v>
      </c>
      <c r="V699" s="99">
        <f>IFERROR(__xludf.DUMMYFUNCTION("""COMPUTED_VALUE"""),0.0)</f>
        <v>0</v>
      </c>
      <c r="W699" s="99">
        <f>IFERROR(__xludf.DUMMYFUNCTION("""COMPUTED_VALUE"""),0.0)</f>
        <v>0</v>
      </c>
    </row>
    <row r="700">
      <c r="N700" s="98">
        <f>IFERROR(__xludf.DUMMYFUNCTION("""COMPUTED_VALUE"""),44092.0)</f>
        <v>44092</v>
      </c>
      <c r="O700" s="96" t="str">
        <f>IFERROR(__xludf.DUMMYFUNCTION("""COMPUTED_VALUE"""),"DIRECTOR")</f>
        <v>DIRECTOR</v>
      </c>
      <c r="P700" s="96" t="str">
        <f>IFERROR(__xludf.DUMMYFUNCTION("""COMPUTED_VALUE"""),"CAMERA MAN")</f>
        <v>CAMERA MAN</v>
      </c>
      <c r="Q700" s="99">
        <f>IFERROR(__xludf.DUMMYFUNCTION("""COMPUTED_VALUE"""),35000.0)</f>
        <v>35000</v>
      </c>
      <c r="R700" s="96" t="str">
        <f>IFERROR(__xludf.DUMMYFUNCTION("""COMPUTED_VALUE"""),"General Expenses")</f>
        <v>General Expenses</v>
      </c>
      <c r="S700" s="99">
        <f>IFERROR(__xludf.DUMMYFUNCTION("""COMPUTED_VALUE"""),0.0)</f>
        <v>0</v>
      </c>
      <c r="T700" s="99">
        <f>IFERROR(__xludf.DUMMYFUNCTION("""COMPUTED_VALUE"""),35000.0)</f>
        <v>35000</v>
      </c>
      <c r="U700" s="99">
        <f>IFERROR(__xludf.DUMMYFUNCTION("""COMPUTED_VALUE"""),0.0)</f>
        <v>0</v>
      </c>
      <c r="V700" s="99">
        <f>IFERROR(__xludf.DUMMYFUNCTION("""COMPUTED_VALUE"""),0.0)</f>
        <v>0</v>
      </c>
      <c r="W700" s="99">
        <f>IFERROR(__xludf.DUMMYFUNCTION("""COMPUTED_VALUE"""),0.0)</f>
        <v>0</v>
      </c>
    </row>
    <row r="701">
      <c r="N701" s="98">
        <f>IFERROR(__xludf.DUMMYFUNCTION("""COMPUTED_VALUE"""),44092.0)</f>
        <v>44092</v>
      </c>
      <c r="O701" s="96" t="str">
        <f>IFERROR(__xludf.DUMMYFUNCTION("""COMPUTED_VALUE"""),"FILTER MAN")</f>
        <v>FILTER MAN</v>
      </c>
      <c r="P701" s="96" t="str">
        <f>IFERROR(__xludf.DUMMYFUNCTION("""COMPUTED_VALUE"""),"REPAIRS")</f>
        <v>REPAIRS</v>
      </c>
      <c r="Q701" s="99">
        <f>IFERROR(__xludf.DUMMYFUNCTION("""COMPUTED_VALUE"""),2500.0)</f>
        <v>2500</v>
      </c>
      <c r="R701" s="96" t="str">
        <f>IFERROR(__xludf.DUMMYFUNCTION("""COMPUTED_VALUE"""),"General Expenses")</f>
        <v>General Expenses</v>
      </c>
      <c r="S701" s="99">
        <f>IFERROR(__xludf.DUMMYFUNCTION("""COMPUTED_VALUE"""),0.0)</f>
        <v>0</v>
      </c>
      <c r="T701" s="99">
        <f>IFERROR(__xludf.DUMMYFUNCTION("""COMPUTED_VALUE"""),2500.0)</f>
        <v>2500</v>
      </c>
      <c r="U701" s="99">
        <f>IFERROR(__xludf.DUMMYFUNCTION("""COMPUTED_VALUE"""),0.0)</f>
        <v>0</v>
      </c>
      <c r="V701" s="99">
        <f>IFERROR(__xludf.DUMMYFUNCTION("""COMPUTED_VALUE"""),0.0)</f>
        <v>0</v>
      </c>
      <c r="W701" s="99">
        <f>IFERROR(__xludf.DUMMYFUNCTION("""COMPUTED_VALUE"""),0.0)</f>
        <v>0</v>
      </c>
    </row>
    <row r="702">
      <c r="N702" s="98">
        <f>IFERROR(__xludf.DUMMYFUNCTION("""COMPUTED_VALUE"""),44092.0)</f>
        <v>44092</v>
      </c>
      <c r="O702" s="96" t="str">
        <f>IFERROR(__xludf.DUMMYFUNCTION("""COMPUTED_VALUE"""),"LABOUR  BOY")</f>
        <v>LABOUR  BOY</v>
      </c>
      <c r="P702" s="96" t="str">
        <f>IFERROR(__xludf.DUMMYFUNCTION("""COMPUTED_VALUE"""),"WAGES ADVANCE")</f>
        <v>WAGES ADVANCE</v>
      </c>
      <c r="Q702" s="99">
        <f>IFERROR(__xludf.DUMMYFUNCTION("""COMPUTED_VALUE"""),4000.0)</f>
        <v>4000</v>
      </c>
      <c r="R702" s="96" t="str">
        <f>IFERROR(__xludf.DUMMYFUNCTION("""COMPUTED_VALUE"""),"General Expenses")</f>
        <v>General Expenses</v>
      </c>
      <c r="S702" s="99">
        <f>IFERROR(__xludf.DUMMYFUNCTION("""COMPUTED_VALUE"""),0.0)</f>
        <v>0</v>
      </c>
      <c r="T702" s="99">
        <f>IFERROR(__xludf.DUMMYFUNCTION("""COMPUTED_VALUE"""),4000.0)</f>
        <v>4000</v>
      </c>
      <c r="U702" s="99">
        <f>IFERROR(__xludf.DUMMYFUNCTION("""COMPUTED_VALUE"""),0.0)</f>
        <v>0</v>
      </c>
      <c r="V702" s="99">
        <f>IFERROR(__xludf.DUMMYFUNCTION("""COMPUTED_VALUE"""),0.0)</f>
        <v>0</v>
      </c>
      <c r="W702" s="99">
        <f>IFERROR(__xludf.DUMMYFUNCTION("""COMPUTED_VALUE"""),0.0)</f>
        <v>0</v>
      </c>
    </row>
    <row r="703">
      <c r="N703" s="98">
        <f>IFERROR(__xludf.DUMMYFUNCTION("""COMPUTED_VALUE"""),44092.0)</f>
        <v>44092</v>
      </c>
      <c r="O703" s="96" t="str">
        <f>IFERROR(__xludf.DUMMYFUNCTION("""COMPUTED_VALUE"""),"DAVID ")</f>
        <v>DAVID </v>
      </c>
      <c r="P703" s="96" t="str">
        <f>IFERROR(__xludf.DUMMYFUNCTION("""COMPUTED_VALUE"""),"DIRECTORS ORDER")</f>
        <v>DIRECTORS ORDER</v>
      </c>
      <c r="Q703" s="99">
        <f>IFERROR(__xludf.DUMMYFUNCTION("""COMPUTED_VALUE"""),200.0)</f>
        <v>200</v>
      </c>
      <c r="R703" s="96" t="str">
        <f>IFERROR(__xludf.DUMMYFUNCTION("""COMPUTED_VALUE"""),"General Expenses")</f>
        <v>General Expenses</v>
      </c>
      <c r="S703" s="99">
        <f>IFERROR(__xludf.DUMMYFUNCTION("""COMPUTED_VALUE"""),0.0)</f>
        <v>0</v>
      </c>
      <c r="T703" s="99">
        <f>IFERROR(__xludf.DUMMYFUNCTION("""COMPUTED_VALUE"""),200.0)</f>
        <v>200</v>
      </c>
      <c r="U703" s="99">
        <f>IFERROR(__xludf.DUMMYFUNCTION("""COMPUTED_VALUE"""),0.0)</f>
        <v>0</v>
      </c>
      <c r="V703" s="99">
        <f>IFERROR(__xludf.DUMMYFUNCTION("""COMPUTED_VALUE"""),0.0)</f>
        <v>0</v>
      </c>
      <c r="W703" s="99">
        <f>IFERROR(__xludf.DUMMYFUNCTION("""COMPUTED_VALUE"""),0.0)</f>
        <v>0</v>
      </c>
    </row>
    <row r="704">
      <c r="N704" s="98">
        <f>IFERROR(__xludf.DUMMYFUNCTION("""COMPUTED_VALUE"""),44092.0)</f>
        <v>44092</v>
      </c>
      <c r="O704" s="96" t="str">
        <f>IFERROR(__xludf.DUMMYFUNCTION("""COMPUTED_VALUE"""),"MANAGER")</f>
        <v>MANAGER</v>
      </c>
      <c r="P704" s="96" t="str">
        <f>IFERROR(__xludf.DUMMYFUNCTION("""COMPUTED_VALUE"""),"PAPERS")</f>
        <v>PAPERS</v>
      </c>
      <c r="Q704" s="99">
        <f>IFERROR(__xludf.DUMMYFUNCTION("""COMPUTED_VALUE"""),200000.0)</f>
        <v>200000</v>
      </c>
      <c r="R704" s="96" t="str">
        <f>IFERROR(__xludf.DUMMYFUNCTION("""COMPUTED_VALUE"""),"General Expenses")</f>
        <v>General Expenses</v>
      </c>
      <c r="S704" s="99">
        <f>IFERROR(__xludf.DUMMYFUNCTION("""COMPUTED_VALUE"""),0.0)</f>
        <v>0</v>
      </c>
      <c r="T704" s="99">
        <f>IFERROR(__xludf.DUMMYFUNCTION("""COMPUTED_VALUE"""),200000.0)</f>
        <v>200000</v>
      </c>
      <c r="U704" s="99">
        <f>IFERROR(__xludf.DUMMYFUNCTION("""COMPUTED_VALUE"""),0.0)</f>
        <v>0</v>
      </c>
      <c r="V704" s="99">
        <f>IFERROR(__xludf.DUMMYFUNCTION("""COMPUTED_VALUE"""),0.0)</f>
        <v>0</v>
      </c>
      <c r="W704" s="99">
        <f>IFERROR(__xludf.DUMMYFUNCTION("""COMPUTED_VALUE"""),0.0)</f>
        <v>0</v>
      </c>
    </row>
    <row r="705">
      <c r="N705" s="98">
        <f>IFERROR(__xludf.DUMMYFUNCTION("""COMPUTED_VALUE"""),44092.0)</f>
        <v>44092</v>
      </c>
      <c r="O705" s="96"/>
      <c r="P705" s="96"/>
      <c r="Q705" s="99">
        <f>IFERROR(__xludf.DUMMYFUNCTION("""COMPUTED_VALUE"""),357300.0)</f>
        <v>357300</v>
      </c>
      <c r="R705" s="96" t="str">
        <f>IFERROR(__xludf.DUMMYFUNCTION("""COMPUTED_VALUE"""),"Petty Cash")</f>
        <v>Petty Cash</v>
      </c>
      <c r="S705" s="99"/>
      <c r="T705" s="99"/>
      <c r="U705" s="99"/>
      <c r="V705" s="99"/>
      <c r="W705" s="99"/>
    </row>
    <row r="706">
      <c r="N706" s="98">
        <f>IFERROR(__xludf.DUMMYFUNCTION("""COMPUTED_VALUE"""),44092.0)</f>
        <v>44092</v>
      </c>
      <c r="O706" s="96"/>
      <c r="P706" s="96"/>
      <c r="Q706" s="99"/>
      <c r="R706" s="96"/>
      <c r="S706" s="99"/>
      <c r="T706" s="99"/>
      <c r="U706" s="99"/>
      <c r="V706" s="99"/>
      <c r="W706" s="99"/>
    </row>
    <row r="707">
      <c r="N707" s="98">
        <f>IFERROR(__xludf.DUMMYFUNCTION("""COMPUTED_VALUE"""),44092.0)</f>
        <v>44092</v>
      </c>
      <c r="O707" s="96"/>
      <c r="P707" s="96"/>
      <c r="Q707" s="99"/>
      <c r="R707" s="96"/>
      <c r="S707" s="99"/>
      <c r="T707" s="99"/>
      <c r="U707" s="99"/>
      <c r="V707" s="99"/>
      <c r="W707" s="99"/>
    </row>
    <row r="708">
      <c r="N708" s="98">
        <f>IFERROR(__xludf.DUMMYFUNCTION("""COMPUTED_VALUE"""),44092.0)</f>
        <v>44092</v>
      </c>
      <c r="O708" s="96"/>
      <c r="P708" s="96"/>
      <c r="Q708" s="99"/>
      <c r="R708" s="96"/>
      <c r="S708" s="99"/>
      <c r="T708" s="99"/>
      <c r="U708" s="99"/>
      <c r="V708" s="99"/>
      <c r="W708" s="99"/>
    </row>
    <row r="709">
      <c r="N709" s="98">
        <f>IFERROR(__xludf.DUMMYFUNCTION("""COMPUTED_VALUE"""),44092.0)</f>
        <v>44092</v>
      </c>
      <c r="O709" s="96" t="str">
        <f>IFERROR(__xludf.DUMMYFUNCTION("""COMPUTED_VALUE"""),"BLESSING CHAPMAN")</f>
        <v>BLESSING CHAPMAN</v>
      </c>
      <c r="P709" s="96" t="str">
        <f>IFERROR(__xludf.DUMMYFUNCTION("""COMPUTED_VALUE"""),"cash collected")</f>
        <v>cash collected</v>
      </c>
      <c r="Q709" s="99">
        <f>IFERROR(__xludf.DUMMYFUNCTION("""COMPUTED_VALUE"""),357300.0)</f>
        <v>357300</v>
      </c>
      <c r="R709" s="96" t="str">
        <f>IFERROR(__xludf.DUMMYFUNCTION("""COMPUTED_VALUE"""),"Petty Cash")</f>
        <v>Petty Cash</v>
      </c>
      <c r="S709" s="99">
        <f>IFERROR(__xludf.DUMMYFUNCTION("""COMPUTED_VALUE"""),0.0)</f>
        <v>0</v>
      </c>
      <c r="T709" s="99">
        <f>IFERROR(__xludf.DUMMYFUNCTION("""COMPUTED_VALUE"""),0.0)</f>
        <v>0</v>
      </c>
      <c r="U709" s="99">
        <f>IFERROR(__xludf.DUMMYFUNCTION("""COMPUTED_VALUE"""),0.0)</f>
        <v>0</v>
      </c>
      <c r="V709" s="99">
        <f>IFERROR(__xludf.DUMMYFUNCTION("""COMPUTED_VALUE"""),357300.0)</f>
        <v>357300</v>
      </c>
      <c r="W709" s="99">
        <f>IFERROR(__xludf.DUMMYFUNCTION("""COMPUTED_VALUE"""),0.0)</f>
        <v>0</v>
      </c>
    </row>
    <row r="710">
      <c r="N710" s="98">
        <f>IFERROR(__xludf.DUMMYFUNCTION("""COMPUTED_VALUE"""),44093.0)</f>
        <v>44093</v>
      </c>
      <c r="O710" s="96" t="str">
        <f>IFERROR(__xludf.DUMMYFUNCTION("""COMPUTED_VALUE"""),"OSIM MARIAM")</f>
        <v>OSIM MARIAM</v>
      </c>
      <c r="P710" s="96" t="str">
        <f>IFERROR(__xludf.DUMMYFUNCTION("""COMPUTED_VALUE"""),"advance (dir)")</f>
        <v>advance (dir)</v>
      </c>
      <c r="Q710" s="99">
        <f>IFERROR(__xludf.DUMMYFUNCTION("""COMPUTED_VALUE"""),50000.0)</f>
        <v>50000</v>
      </c>
      <c r="R710" s="96" t="str">
        <f>IFERROR(__xludf.DUMMYFUNCTION("""COMPUTED_VALUE"""),"Prefinance")</f>
        <v>Prefinance</v>
      </c>
      <c r="S710" s="99">
        <f>IFERROR(__xludf.DUMMYFUNCTION("""COMPUTED_VALUE"""),0.0)</f>
        <v>0</v>
      </c>
      <c r="T710" s="99">
        <f>IFERROR(__xludf.DUMMYFUNCTION("""COMPUTED_VALUE"""),0.0)</f>
        <v>0</v>
      </c>
      <c r="U710" s="99">
        <f>IFERROR(__xludf.DUMMYFUNCTION("""COMPUTED_VALUE"""),0.0)</f>
        <v>0</v>
      </c>
      <c r="V710" s="99">
        <f>IFERROR(__xludf.DUMMYFUNCTION("""COMPUTED_VALUE"""),0.0)</f>
        <v>0</v>
      </c>
      <c r="W710" s="99">
        <f>IFERROR(__xludf.DUMMYFUNCTION("""COMPUTED_VALUE"""),0.0)</f>
        <v>0</v>
      </c>
    </row>
    <row r="711">
      <c r="N711" s="98">
        <f>IFERROR(__xludf.DUMMYFUNCTION("""COMPUTED_VALUE"""),44093.0)</f>
        <v>44093</v>
      </c>
      <c r="O711" s="96" t="str">
        <f>IFERROR(__xludf.DUMMYFUNCTION("""COMPUTED_VALUE"""),"DIESEL BOY")</f>
        <v>DIESEL BOY</v>
      </c>
      <c r="P711" s="96" t="str">
        <f>IFERROR(__xludf.DUMMYFUNCTION("""COMPUTED_VALUE"""),"diesel")</f>
        <v>diesel</v>
      </c>
      <c r="Q711" s="99">
        <f>IFERROR(__xludf.DUMMYFUNCTION("""COMPUTED_VALUE"""),20000.0)</f>
        <v>20000</v>
      </c>
      <c r="R711" s="96" t="str">
        <f>IFERROR(__xludf.DUMMYFUNCTION("""COMPUTED_VALUE"""),"General Expenses")</f>
        <v>General Expenses</v>
      </c>
      <c r="S711" s="99">
        <f>IFERROR(__xludf.DUMMYFUNCTION("""COMPUTED_VALUE"""),0.0)</f>
        <v>0</v>
      </c>
      <c r="T711" s="99">
        <f>IFERROR(__xludf.DUMMYFUNCTION("""COMPUTED_VALUE"""),20000.0)</f>
        <v>20000</v>
      </c>
      <c r="U711" s="99">
        <f>IFERROR(__xludf.DUMMYFUNCTION("""COMPUTED_VALUE"""),0.0)</f>
        <v>0</v>
      </c>
      <c r="V711" s="99">
        <f>IFERROR(__xludf.DUMMYFUNCTION("""COMPUTED_VALUE"""),0.0)</f>
        <v>0</v>
      </c>
      <c r="W711" s="99">
        <f>IFERROR(__xludf.DUMMYFUNCTION("""COMPUTED_VALUE"""),0.0)</f>
        <v>0</v>
      </c>
    </row>
    <row r="712">
      <c r="N712" s="98">
        <f>IFERROR(__xludf.DUMMYFUNCTION("""COMPUTED_VALUE"""),44093.0)</f>
        <v>44093</v>
      </c>
      <c r="O712" s="96" t="str">
        <f>IFERROR(__xludf.DUMMYFUNCTION("""COMPUTED_VALUE"""),"ABANGS. HNSON")</f>
        <v>ABANGS. HNSON</v>
      </c>
      <c r="P712" s="96" t="str">
        <f>IFERROR(__xludf.DUMMYFUNCTION("""COMPUTED_VALUE"""),"director order")</f>
        <v>director order</v>
      </c>
      <c r="Q712" s="99">
        <f>IFERROR(__xludf.DUMMYFUNCTION("""COMPUTED_VALUE"""),70000.0)</f>
        <v>70000</v>
      </c>
      <c r="R712" s="96" t="str">
        <f>IFERROR(__xludf.DUMMYFUNCTION("""COMPUTED_VALUE"""),"General Expenses")</f>
        <v>General Expenses</v>
      </c>
      <c r="S712" s="99">
        <f>IFERROR(__xludf.DUMMYFUNCTION("""COMPUTED_VALUE"""),0.0)</f>
        <v>0</v>
      </c>
      <c r="T712" s="99">
        <f>IFERROR(__xludf.DUMMYFUNCTION("""COMPUTED_VALUE"""),70000.0)</f>
        <v>70000</v>
      </c>
      <c r="U712" s="99">
        <f>IFERROR(__xludf.DUMMYFUNCTION("""COMPUTED_VALUE"""),0.0)</f>
        <v>0</v>
      </c>
      <c r="V712" s="99">
        <f>IFERROR(__xludf.DUMMYFUNCTION("""COMPUTED_VALUE"""),0.0)</f>
        <v>0</v>
      </c>
      <c r="W712" s="99">
        <f>IFERROR(__xludf.DUMMYFUNCTION("""COMPUTED_VALUE"""),0.0)</f>
        <v>0</v>
      </c>
    </row>
    <row r="713">
      <c r="N713" s="98">
        <f>IFERROR(__xludf.DUMMYFUNCTION("""COMPUTED_VALUE"""),44093.0)</f>
        <v>44093</v>
      </c>
      <c r="O713" s="96" t="str">
        <f>IFERROR(__xludf.DUMMYFUNCTION("""COMPUTED_VALUE"""),"DIRECTOR")</f>
        <v>DIRECTOR</v>
      </c>
      <c r="P713" s="96" t="str">
        <f>IFERROR(__xludf.DUMMYFUNCTION("""COMPUTED_VALUE"""),"food")</f>
        <v>food</v>
      </c>
      <c r="Q713" s="99">
        <f>IFERROR(__xludf.DUMMYFUNCTION("""COMPUTED_VALUE"""),300.0)</f>
        <v>300</v>
      </c>
      <c r="R713" s="96" t="str">
        <f>IFERROR(__xludf.DUMMYFUNCTION("""COMPUTED_VALUE"""),"General Expenses")</f>
        <v>General Expenses</v>
      </c>
      <c r="S713" s="99">
        <f>IFERROR(__xludf.DUMMYFUNCTION("""COMPUTED_VALUE"""),0.0)</f>
        <v>0</v>
      </c>
      <c r="T713" s="99">
        <f>IFERROR(__xludf.DUMMYFUNCTION("""COMPUTED_VALUE"""),300.0)</f>
        <v>300</v>
      </c>
      <c r="U713" s="99">
        <f>IFERROR(__xludf.DUMMYFUNCTION("""COMPUTED_VALUE"""),0.0)</f>
        <v>0</v>
      </c>
      <c r="V713" s="99">
        <f>IFERROR(__xludf.DUMMYFUNCTION("""COMPUTED_VALUE"""),0.0)</f>
        <v>0</v>
      </c>
      <c r="W713" s="99">
        <f>IFERROR(__xludf.DUMMYFUNCTION("""COMPUTED_VALUE"""),0.0)</f>
        <v>0</v>
      </c>
    </row>
    <row r="714">
      <c r="N714" s="98">
        <f>IFERROR(__xludf.DUMMYFUNCTION("""COMPUTED_VALUE"""),44093.0)</f>
        <v>44093</v>
      </c>
      <c r="O714" s="96" t="str">
        <f>IFERROR(__xludf.DUMMYFUNCTION("""COMPUTED_VALUE"""),"LABOUR  BOY")</f>
        <v>LABOUR  BOY</v>
      </c>
      <c r="P714" s="96" t="str">
        <f>IFERROR(__xludf.DUMMYFUNCTION("""COMPUTED_VALUE"""),"wages advance")</f>
        <v>wages advance</v>
      </c>
      <c r="Q714" s="99">
        <f>IFERROR(__xludf.DUMMYFUNCTION("""COMPUTED_VALUE"""),2500.0)</f>
        <v>2500</v>
      </c>
      <c r="R714" s="96" t="str">
        <f>IFERROR(__xludf.DUMMYFUNCTION("""COMPUTED_VALUE"""),"General Expenses")</f>
        <v>General Expenses</v>
      </c>
      <c r="S714" s="99">
        <f>IFERROR(__xludf.DUMMYFUNCTION("""COMPUTED_VALUE"""),0.0)</f>
        <v>0</v>
      </c>
      <c r="T714" s="99">
        <f>IFERROR(__xludf.DUMMYFUNCTION("""COMPUTED_VALUE"""),2500.0)</f>
        <v>2500</v>
      </c>
      <c r="U714" s="99">
        <f>IFERROR(__xludf.DUMMYFUNCTION("""COMPUTED_VALUE"""),0.0)</f>
        <v>0</v>
      </c>
      <c r="V714" s="99">
        <f>IFERROR(__xludf.DUMMYFUNCTION("""COMPUTED_VALUE"""),0.0)</f>
        <v>0</v>
      </c>
      <c r="W714" s="99">
        <f>IFERROR(__xludf.DUMMYFUNCTION("""COMPUTED_VALUE"""),0.0)</f>
        <v>0</v>
      </c>
    </row>
    <row r="715">
      <c r="N715" s="98">
        <f>IFERROR(__xludf.DUMMYFUNCTION("""COMPUTED_VALUE"""),44093.0)</f>
        <v>44093</v>
      </c>
      <c r="O715" s="96" t="str">
        <f>IFERROR(__xludf.DUMMYFUNCTION("""COMPUTED_VALUE"""),"LABOUR  BOY")</f>
        <v>LABOUR  BOY</v>
      </c>
      <c r="P715" s="96" t="str">
        <f>IFERROR(__xludf.DUMMYFUNCTION("""COMPUTED_VALUE"""),"wages   ")</f>
        <v>wages   </v>
      </c>
      <c r="Q715" s="99">
        <f>IFERROR(__xludf.DUMMYFUNCTION("""COMPUTED_VALUE"""),121000.0)</f>
        <v>121000</v>
      </c>
      <c r="R715" s="96" t="str">
        <f>IFERROR(__xludf.DUMMYFUNCTION("""COMPUTED_VALUE"""),"General Expenses")</f>
        <v>General Expenses</v>
      </c>
      <c r="S715" s="99">
        <f>IFERROR(__xludf.DUMMYFUNCTION("""COMPUTED_VALUE"""),0.0)</f>
        <v>0</v>
      </c>
      <c r="T715" s="99">
        <f>IFERROR(__xludf.DUMMYFUNCTION("""COMPUTED_VALUE"""),121000.0)</f>
        <v>121000</v>
      </c>
      <c r="U715" s="99">
        <f>IFERROR(__xludf.DUMMYFUNCTION("""COMPUTED_VALUE"""),0.0)</f>
        <v>0</v>
      </c>
      <c r="V715" s="99">
        <f>IFERROR(__xludf.DUMMYFUNCTION("""COMPUTED_VALUE"""),0.0)</f>
        <v>0</v>
      </c>
      <c r="W715" s="99">
        <f>IFERROR(__xludf.DUMMYFUNCTION("""COMPUTED_VALUE"""),0.0)</f>
        <v>0</v>
      </c>
    </row>
    <row r="716">
      <c r="N716" s="98">
        <f>IFERROR(__xludf.DUMMYFUNCTION("""COMPUTED_VALUE"""),44093.0)</f>
        <v>44093</v>
      </c>
      <c r="O716" s="96" t="str">
        <f>IFERROR(__xludf.DUMMYFUNCTION("""COMPUTED_VALUE"""),"SECURITY")</f>
        <v>SECURITY</v>
      </c>
      <c r="P716" s="96" t="str">
        <f>IFERROR(__xludf.DUMMYFUNCTION("""COMPUTED_VALUE"""),"salary")</f>
        <v>salary</v>
      </c>
      <c r="Q716" s="99">
        <f>IFERROR(__xludf.DUMMYFUNCTION("""COMPUTED_VALUE"""),20000.0)</f>
        <v>20000</v>
      </c>
      <c r="R716" s="96" t="str">
        <f>IFERROR(__xludf.DUMMYFUNCTION("""COMPUTED_VALUE"""),"General Expenses")</f>
        <v>General Expenses</v>
      </c>
      <c r="S716" s="99">
        <f>IFERROR(__xludf.DUMMYFUNCTION("""COMPUTED_VALUE"""),0.0)</f>
        <v>0</v>
      </c>
      <c r="T716" s="99">
        <f>IFERROR(__xludf.DUMMYFUNCTION("""COMPUTED_VALUE"""),20000.0)</f>
        <v>20000</v>
      </c>
      <c r="U716" s="99">
        <f>IFERROR(__xludf.DUMMYFUNCTION("""COMPUTED_VALUE"""),0.0)</f>
        <v>0</v>
      </c>
      <c r="V716" s="99">
        <f>IFERROR(__xludf.DUMMYFUNCTION("""COMPUTED_VALUE"""),0.0)</f>
        <v>0</v>
      </c>
      <c r="W716" s="99">
        <f>IFERROR(__xludf.DUMMYFUNCTION("""COMPUTED_VALUE"""),0.0)</f>
        <v>0</v>
      </c>
    </row>
    <row r="717">
      <c r="N717" s="98">
        <f>IFERROR(__xludf.DUMMYFUNCTION("""COMPUTED_VALUE"""),44093.0)</f>
        <v>44093</v>
      </c>
      <c r="O717" s="96" t="str">
        <f>IFERROR(__xludf.DUMMYFUNCTION("""COMPUTED_VALUE"""),"BLESSING CHAPMAN")</f>
        <v>BLESSING CHAPMAN</v>
      </c>
      <c r="P717" s="96" t="str">
        <f>IFERROR(__xludf.DUMMYFUNCTION("""COMPUTED_VALUE"""),"cash collected")</f>
        <v>cash collected</v>
      </c>
      <c r="Q717" s="99">
        <f>IFERROR(__xludf.DUMMYFUNCTION("""COMPUTED_VALUE"""),233800.0)</f>
        <v>233800</v>
      </c>
      <c r="R717" s="96" t="str">
        <f>IFERROR(__xludf.DUMMYFUNCTION("""COMPUTED_VALUE"""),"Petty Cash")</f>
        <v>Petty Cash</v>
      </c>
      <c r="S717" s="99">
        <f>IFERROR(__xludf.DUMMYFUNCTION("""COMPUTED_VALUE"""),0.0)</f>
        <v>0</v>
      </c>
      <c r="T717" s="99">
        <f>IFERROR(__xludf.DUMMYFUNCTION("""COMPUTED_VALUE"""),0.0)</f>
        <v>0</v>
      </c>
      <c r="U717" s="99">
        <f>IFERROR(__xludf.DUMMYFUNCTION("""COMPUTED_VALUE"""),0.0)</f>
        <v>0</v>
      </c>
      <c r="V717" s="99">
        <f>IFERROR(__xludf.DUMMYFUNCTION("""COMPUTED_VALUE"""),233800.0)</f>
        <v>233800</v>
      </c>
      <c r="W717" s="99">
        <f>IFERROR(__xludf.DUMMYFUNCTION("""COMPUTED_VALUE"""),0.0)</f>
        <v>0</v>
      </c>
    </row>
    <row r="718">
      <c r="N718" s="98">
        <f>IFERROR(__xludf.DUMMYFUNCTION("""COMPUTED_VALUE"""),44093.0)</f>
        <v>44093</v>
      </c>
      <c r="O718" s="96" t="str">
        <f>IFERROR(__xludf.DUMMYFUNCTION("""COMPUTED_VALUE"""),"DIRECTOR")</f>
        <v>DIRECTOR</v>
      </c>
      <c r="P718" s="96" t="str">
        <f>IFERROR(__xludf.DUMMYFUNCTION("""COMPUTED_VALUE"""),"advance transfered")</f>
        <v>advance transfered</v>
      </c>
      <c r="Q718" s="99">
        <f>IFERROR(__xludf.DUMMYFUNCTION("""COMPUTED_VALUE"""),50000.0)</f>
        <v>50000</v>
      </c>
      <c r="R718" s="96" t="str">
        <f>IFERROR(__xludf.DUMMYFUNCTION("""COMPUTED_VALUE"""),"From Bank")</f>
        <v>From Bank</v>
      </c>
      <c r="S718" s="99">
        <f>IFERROR(__xludf.DUMMYFUNCTION("""COMPUTED_VALUE"""),0.0)</f>
        <v>0</v>
      </c>
      <c r="T718" s="99">
        <f>IFERROR(__xludf.DUMMYFUNCTION("""COMPUTED_VALUE"""),0.0)</f>
        <v>0</v>
      </c>
      <c r="U718" s="99">
        <f>IFERROR(__xludf.DUMMYFUNCTION("""COMPUTED_VALUE"""),50000.0)</f>
        <v>50000</v>
      </c>
      <c r="V718" s="99">
        <f>IFERROR(__xludf.DUMMYFUNCTION("""COMPUTED_VALUE"""),0.0)</f>
        <v>0</v>
      </c>
      <c r="W718" s="99">
        <f>IFERROR(__xludf.DUMMYFUNCTION("""COMPUTED_VALUE"""),0.0)</f>
        <v>0</v>
      </c>
    </row>
    <row r="719">
      <c r="N719" s="98">
        <f>IFERROR(__xludf.DUMMYFUNCTION("""COMPUTED_VALUE"""),44095.0)</f>
        <v>44095</v>
      </c>
      <c r="O719" s="96" t="str">
        <f>IFERROR(__xludf.DUMMYFUNCTION("""COMPUTED_VALUE"""),"OSIM MARIAM")</f>
        <v>OSIM MARIAM</v>
      </c>
      <c r="P719" s="96" t="str">
        <f>IFERROR(__xludf.DUMMYFUNCTION("""COMPUTED_VALUE"""),"advance")</f>
        <v>advance</v>
      </c>
      <c r="Q719" s="99">
        <f>IFERROR(__xludf.DUMMYFUNCTION("""COMPUTED_VALUE"""),500000.0)</f>
        <v>500000</v>
      </c>
      <c r="R719" s="96" t="str">
        <f>IFERROR(__xludf.DUMMYFUNCTION("""COMPUTED_VALUE"""),"Prefinance")</f>
        <v>Prefinance</v>
      </c>
      <c r="S719" s="99">
        <f>IFERROR(__xludf.DUMMYFUNCTION("""COMPUTED_VALUE"""),0.0)</f>
        <v>0</v>
      </c>
      <c r="T719" s="99">
        <f>IFERROR(__xludf.DUMMYFUNCTION("""COMPUTED_VALUE"""),0.0)</f>
        <v>0</v>
      </c>
      <c r="U719" s="99">
        <f>IFERROR(__xludf.DUMMYFUNCTION("""COMPUTED_VALUE"""),0.0)</f>
        <v>0</v>
      </c>
      <c r="V719" s="99">
        <f>IFERROR(__xludf.DUMMYFUNCTION("""COMPUTED_VALUE"""),0.0)</f>
        <v>0</v>
      </c>
      <c r="W719" s="99">
        <f>IFERROR(__xludf.DUMMYFUNCTION("""COMPUTED_VALUE"""),0.0)</f>
        <v>0</v>
      </c>
    </row>
    <row r="720">
      <c r="N720" s="98">
        <f>IFERROR(__xludf.DUMMYFUNCTION("""COMPUTED_VALUE"""),44095.0)</f>
        <v>44095</v>
      </c>
      <c r="O720" s="96" t="str">
        <f>IFERROR(__xludf.DUMMYFUNCTION("""COMPUTED_VALUE"""),"EUGENE")</f>
        <v>EUGENE</v>
      </c>
      <c r="P720" s="96" t="str">
        <f>IFERROR(__xludf.DUMMYFUNCTION("""COMPUTED_VALUE"""),"advance")</f>
        <v>advance</v>
      </c>
      <c r="Q720" s="99">
        <f>IFERROR(__xludf.DUMMYFUNCTION("""COMPUTED_VALUE"""),600000.0)</f>
        <v>600000</v>
      </c>
      <c r="R720" s="96" t="str">
        <f>IFERROR(__xludf.DUMMYFUNCTION("""COMPUTED_VALUE"""),"Prefinance")</f>
        <v>Prefinance</v>
      </c>
      <c r="S720" s="99">
        <f>IFERROR(__xludf.DUMMYFUNCTION("""COMPUTED_VALUE"""),0.0)</f>
        <v>0</v>
      </c>
      <c r="T720" s="99">
        <f>IFERROR(__xludf.DUMMYFUNCTION("""COMPUTED_VALUE"""),0.0)</f>
        <v>0</v>
      </c>
      <c r="U720" s="99">
        <f>IFERROR(__xludf.DUMMYFUNCTION("""COMPUTED_VALUE"""),0.0)</f>
        <v>0</v>
      </c>
      <c r="V720" s="99">
        <f>IFERROR(__xludf.DUMMYFUNCTION("""COMPUTED_VALUE"""),0.0)</f>
        <v>0</v>
      </c>
      <c r="W720" s="99">
        <f>IFERROR(__xludf.DUMMYFUNCTION("""COMPUTED_VALUE"""),0.0)</f>
        <v>0</v>
      </c>
    </row>
    <row r="721">
      <c r="N721" s="98">
        <f>IFERROR(__xludf.DUMMYFUNCTION("""COMPUTED_VALUE"""),44095.0)</f>
        <v>44095</v>
      </c>
      <c r="O721" s="96" t="str">
        <f>IFERROR(__xludf.DUMMYFUNCTION("""COMPUTED_VALUE"""),"OTU KOKO KEIBO")</f>
        <v>OTU KOKO KEIBO</v>
      </c>
      <c r="P721" s="96" t="str">
        <f>IFERROR(__xludf.DUMMYFUNCTION("""COMPUTED_VALUE"""),"boat")</f>
        <v>boat</v>
      </c>
      <c r="Q721" s="99">
        <f>IFERROR(__xludf.DUMMYFUNCTION("""COMPUTED_VALUE"""),200000.0)</f>
        <v>200000</v>
      </c>
      <c r="R721" s="96" t="str">
        <f>IFERROR(__xludf.DUMMYFUNCTION("""COMPUTED_VALUE"""),"Prefinance")</f>
        <v>Prefinance</v>
      </c>
      <c r="S721" s="99">
        <f>IFERROR(__xludf.DUMMYFUNCTION("""COMPUTED_VALUE"""),0.0)</f>
        <v>0</v>
      </c>
      <c r="T721" s="99">
        <f>IFERROR(__xludf.DUMMYFUNCTION("""COMPUTED_VALUE"""),0.0)</f>
        <v>0</v>
      </c>
      <c r="U721" s="99">
        <f>IFERROR(__xludf.DUMMYFUNCTION("""COMPUTED_VALUE"""),0.0)</f>
        <v>0</v>
      </c>
      <c r="V721" s="99">
        <f>IFERROR(__xludf.DUMMYFUNCTION("""COMPUTED_VALUE"""),0.0)</f>
        <v>0</v>
      </c>
      <c r="W721" s="99">
        <f>IFERROR(__xludf.DUMMYFUNCTION("""COMPUTED_VALUE"""),0.0)</f>
        <v>0</v>
      </c>
    </row>
    <row r="722">
      <c r="N722" s="98">
        <f>IFERROR(__xludf.DUMMYFUNCTION("""COMPUTED_VALUE"""),44095.0)</f>
        <v>44095</v>
      </c>
      <c r="O722" s="96" t="str">
        <f>IFERROR(__xludf.DUMMYFUNCTION("""COMPUTED_VALUE"""),"EKOTEX")</f>
        <v>EKOTEX</v>
      </c>
      <c r="P722" s="96" t="str">
        <f>IFERROR(__xludf.DUMMYFUNCTION("""COMPUTED_VALUE"""),"haulage")</f>
        <v>haulage</v>
      </c>
      <c r="Q722" s="99">
        <f>IFERROR(__xludf.DUMMYFUNCTION("""COMPUTED_VALUE"""),16500.0)</f>
        <v>16500</v>
      </c>
      <c r="R722" s="96" t="str">
        <f>IFERROR(__xludf.DUMMYFUNCTION("""COMPUTED_VALUE"""),"General Expenses")</f>
        <v>General Expenses</v>
      </c>
      <c r="S722" s="99">
        <f>IFERROR(__xludf.DUMMYFUNCTION("""COMPUTED_VALUE"""),0.0)</f>
        <v>0</v>
      </c>
      <c r="T722" s="99">
        <f>IFERROR(__xludf.DUMMYFUNCTION("""COMPUTED_VALUE"""),16500.0)</f>
        <v>16500</v>
      </c>
      <c r="U722" s="99">
        <f>IFERROR(__xludf.DUMMYFUNCTION("""COMPUTED_VALUE"""),0.0)</f>
        <v>0</v>
      </c>
      <c r="V722" s="99">
        <f>IFERROR(__xludf.DUMMYFUNCTION("""COMPUTED_VALUE"""),0.0)</f>
        <v>0</v>
      </c>
      <c r="W722" s="99">
        <f>IFERROR(__xludf.DUMMYFUNCTION("""COMPUTED_VALUE"""),0.0)</f>
        <v>0</v>
      </c>
    </row>
    <row r="723">
      <c r="N723" s="98">
        <f>IFERROR(__xludf.DUMMYFUNCTION("""COMPUTED_VALUE"""),44095.0)</f>
        <v>44095</v>
      </c>
      <c r="O723" s="96" t="str">
        <f>IFERROR(__xludf.DUMMYFUNCTION("""COMPUTED_VALUE"""),"BLESSING CHAPMAN")</f>
        <v>BLESSING CHAPMAN</v>
      </c>
      <c r="P723" s="96" t="str">
        <f>IFERROR(__xludf.DUMMYFUNCTION("""COMPUTED_VALUE"""),"padlock")</f>
        <v>padlock</v>
      </c>
      <c r="Q723" s="99">
        <f>IFERROR(__xludf.DUMMYFUNCTION("""COMPUTED_VALUE"""),1200.0)</f>
        <v>1200</v>
      </c>
      <c r="R723" s="96" t="str">
        <f>IFERROR(__xludf.DUMMYFUNCTION("""COMPUTED_VALUE"""),"General Expenses")</f>
        <v>General Expenses</v>
      </c>
      <c r="S723" s="99">
        <f>IFERROR(__xludf.DUMMYFUNCTION("""COMPUTED_VALUE"""),0.0)</f>
        <v>0</v>
      </c>
      <c r="T723" s="99">
        <f>IFERROR(__xludf.DUMMYFUNCTION("""COMPUTED_VALUE"""),1200.0)</f>
        <v>1200</v>
      </c>
      <c r="U723" s="99">
        <f>IFERROR(__xludf.DUMMYFUNCTION("""COMPUTED_VALUE"""),0.0)</f>
        <v>0</v>
      </c>
      <c r="V723" s="99">
        <f>IFERROR(__xludf.DUMMYFUNCTION("""COMPUTED_VALUE"""),0.0)</f>
        <v>0</v>
      </c>
      <c r="W723" s="99">
        <f>IFERROR(__xludf.DUMMYFUNCTION("""COMPUTED_VALUE"""),0.0)</f>
        <v>0</v>
      </c>
    </row>
    <row r="724">
      <c r="N724" s="98">
        <f>IFERROR(__xludf.DUMMYFUNCTION("""COMPUTED_VALUE"""),44095.0)</f>
        <v>44095</v>
      </c>
      <c r="O724" s="96" t="str">
        <f>IFERROR(__xludf.DUMMYFUNCTION("""COMPUTED_VALUE"""),"CHINEDU")</f>
        <v>CHINEDU</v>
      </c>
      <c r="P724" s="96" t="str">
        <f>IFERROR(__xludf.DUMMYFUNCTION("""COMPUTED_VALUE"""),"fire extinguisher")</f>
        <v>fire extinguisher</v>
      </c>
      <c r="Q724" s="99">
        <f>IFERROR(__xludf.DUMMYFUNCTION("""COMPUTED_VALUE"""),4000.0)</f>
        <v>4000</v>
      </c>
      <c r="R724" s="96" t="str">
        <f>IFERROR(__xludf.DUMMYFUNCTION("""COMPUTED_VALUE"""),"General Expenses")</f>
        <v>General Expenses</v>
      </c>
      <c r="S724" s="99">
        <f>IFERROR(__xludf.DUMMYFUNCTION("""COMPUTED_VALUE"""),0.0)</f>
        <v>0</v>
      </c>
      <c r="T724" s="99">
        <f>IFERROR(__xludf.DUMMYFUNCTION("""COMPUTED_VALUE"""),4000.0)</f>
        <v>4000</v>
      </c>
      <c r="U724" s="99">
        <f>IFERROR(__xludf.DUMMYFUNCTION("""COMPUTED_VALUE"""),0.0)</f>
        <v>0</v>
      </c>
      <c r="V724" s="99">
        <f>IFERROR(__xludf.DUMMYFUNCTION("""COMPUTED_VALUE"""),0.0)</f>
        <v>0</v>
      </c>
      <c r="W724" s="99">
        <f>IFERROR(__xludf.DUMMYFUNCTION("""COMPUTED_VALUE"""),0.0)</f>
        <v>0</v>
      </c>
    </row>
    <row r="725">
      <c r="N725" s="98">
        <f>IFERROR(__xludf.DUMMYFUNCTION("""COMPUTED_VALUE"""),44095.0)</f>
        <v>44095</v>
      </c>
      <c r="O725" s="96" t="str">
        <f>IFERROR(__xludf.DUMMYFUNCTION("""COMPUTED_VALUE"""),"DORATHY")</f>
        <v>DORATHY</v>
      </c>
      <c r="P725" s="96" t="str">
        <f>IFERROR(__xludf.DUMMYFUNCTION("""COMPUTED_VALUE"""),"transport")</f>
        <v>transport</v>
      </c>
      <c r="Q725" s="99">
        <f>IFERROR(__xludf.DUMMYFUNCTION("""COMPUTED_VALUE"""),200.0)</f>
        <v>200</v>
      </c>
      <c r="R725" s="96" t="str">
        <f>IFERROR(__xludf.DUMMYFUNCTION("""COMPUTED_VALUE"""),"General Expenses")</f>
        <v>General Expenses</v>
      </c>
      <c r="S725" s="99">
        <f>IFERROR(__xludf.DUMMYFUNCTION("""COMPUTED_VALUE"""),0.0)</f>
        <v>0</v>
      </c>
      <c r="T725" s="99">
        <f>IFERROR(__xludf.DUMMYFUNCTION("""COMPUTED_VALUE"""),200.0)</f>
        <v>200</v>
      </c>
      <c r="U725" s="99">
        <f>IFERROR(__xludf.DUMMYFUNCTION("""COMPUTED_VALUE"""),0.0)</f>
        <v>0</v>
      </c>
      <c r="V725" s="99">
        <f>IFERROR(__xludf.DUMMYFUNCTION("""COMPUTED_VALUE"""),0.0)</f>
        <v>0</v>
      </c>
      <c r="W725" s="99">
        <f>IFERROR(__xludf.DUMMYFUNCTION("""COMPUTED_VALUE"""),0.0)</f>
        <v>0</v>
      </c>
    </row>
    <row r="726">
      <c r="N726" s="98">
        <f>IFERROR(__xludf.DUMMYFUNCTION("""COMPUTED_VALUE"""),44095.0)</f>
        <v>44095</v>
      </c>
      <c r="O726" s="96" t="str">
        <f>IFERROR(__xludf.DUMMYFUNCTION("""COMPUTED_VALUE"""),"CHINEDU")</f>
        <v>CHINEDU</v>
      </c>
      <c r="P726" s="96" t="str">
        <f>IFERROR(__xludf.DUMMYFUNCTION("""COMPUTED_VALUE"""),"transport")</f>
        <v>transport</v>
      </c>
      <c r="Q726" s="99">
        <f>IFERROR(__xludf.DUMMYFUNCTION("""COMPUTED_VALUE"""),200.0)</f>
        <v>200</v>
      </c>
      <c r="R726" s="96" t="str">
        <f>IFERROR(__xludf.DUMMYFUNCTION("""COMPUTED_VALUE"""),"General Expenses")</f>
        <v>General Expenses</v>
      </c>
      <c r="S726" s="99">
        <f>IFERROR(__xludf.DUMMYFUNCTION("""COMPUTED_VALUE"""),0.0)</f>
        <v>0</v>
      </c>
      <c r="T726" s="99">
        <f>IFERROR(__xludf.DUMMYFUNCTION("""COMPUTED_VALUE"""),200.0)</f>
        <v>200</v>
      </c>
      <c r="U726" s="99">
        <f>IFERROR(__xludf.DUMMYFUNCTION("""COMPUTED_VALUE"""),0.0)</f>
        <v>0</v>
      </c>
      <c r="V726" s="99">
        <f>IFERROR(__xludf.DUMMYFUNCTION("""COMPUTED_VALUE"""),0.0)</f>
        <v>0</v>
      </c>
      <c r="W726" s="99">
        <f>IFERROR(__xludf.DUMMYFUNCTION("""COMPUTED_VALUE"""),0.0)</f>
        <v>0</v>
      </c>
    </row>
    <row r="727">
      <c r="N727" s="98">
        <f>IFERROR(__xludf.DUMMYFUNCTION("""COMPUTED_VALUE"""),44095.0)</f>
        <v>44095</v>
      </c>
      <c r="O727" s="96" t="str">
        <f>IFERROR(__xludf.DUMMYFUNCTION("""COMPUTED_VALUE"""),"CHINEDU")</f>
        <v>CHINEDU</v>
      </c>
      <c r="P727" s="96" t="str">
        <f>IFERROR(__xludf.DUMMYFUNCTION("""COMPUTED_VALUE"""),"receipt advance")</f>
        <v>receipt advance</v>
      </c>
      <c r="Q727" s="99">
        <f>IFERROR(__xludf.DUMMYFUNCTION("""COMPUTED_VALUE"""),4000.0)</f>
        <v>4000</v>
      </c>
      <c r="R727" s="96" t="str">
        <f>IFERROR(__xludf.DUMMYFUNCTION("""COMPUTED_VALUE"""),"General Expenses")</f>
        <v>General Expenses</v>
      </c>
      <c r="S727" s="99">
        <f>IFERROR(__xludf.DUMMYFUNCTION("""COMPUTED_VALUE"""),0.0)</f>
        <v>0</v>
      </c>
      <c r="T727" s="99">
        <f>IFERROR(__xludf.DUMMYFUNCTION("""COMPUTED_VALUE"""),4000.0)</f>
        <v>4000</v>
      </c>
      <c r="U727" s="99">
        <f>IFERROR(__xludf.DUMMYFUNCTION("""COMPUTED_VALUE"""),0.0)</f>
        <v>0</v>
      </c>
      <c r="V727" s="99">
        <f>IFERROR(__xludf.DUMMYFUNCTION("""COMPUTED_VALUE"""),0.0)</f>
        <v>0</v>
      </c>
      <c r="W727" s="99">
        <f>IFERROR(__xludf.DUMMYFUNCTION("""COMPUTED_VALUE"""),0.0)</f>
        <v>0</v>
      </c>
    </row>
    <row r="728">
      <c r="N728" s="98">
        <f>IFERROR(__xludf.DUMMYFUNCTION("""COMPUTED_VALUE"""),44095.0)</f>
        <v>44095</v>
      </c>
      <c r="O728" s="96" t="str">
        <f>IFERROR(__xludf.DUMMYFUNCTION("""COMPUTED_VALUE"""),"BLESSING CHAPMAN")</f>
        <v>BLESSING CHAPMAN</v>
      </c>
      <c r="P728" s="96" t="str">
        <f>IFERROR(__xludf.DUMMYFUNCTION("""COMPUTED_VALUE"""),"chemical 4 grass")</f>
        <v>chemical 4 grass</v>
      </c>
      <c r="Q728" s="99">
        <f>IFERROR(__xludf.DUMMYFUNCTION("""COMPUTED_VALUE"""),1500.0)</f>
        <v>1500</v>
      </c>
      <c r="R728" s="96" t="str">
        <f>IFERROR(__xludf.DUMMYFUNCTION("""COMPUTED_VALUE"""),"General Expenses")</f>
        <v>General Expenses</v>
      </c>
      <c r="S728" s="99">
        <f>IFERROR(__xludf.DUMMYFUNCTION("""COMPUTED_VALUE"""),0.0)</f>
        <v>0</v>
      </c>
      <c r="T728" s="99">
        <f>IFERROR(__xludf.DUMMYFUNCTION("""COMPUTED_VALUE"""),1500.0)</f>
        <v>1500</v>
      </c>
      <c r="U728" s="99">
        <f>IFERROR(__xludf.DUMMYFUNCTION("""COMPUTED_VALUE"""),0.0)</f>
        <v>0</v>
      </c>
      <c r="V728" s="99">
        <f>IFERROR(__xludf.DUMMYFUNCTION("""COMPUTED_VALUE"""),0.0)</f>
        <v>0</v>
      </c>
      <c r="W728" s="99">
        <f>IFERROR(__xludf.DUMMYFUNCTION("""COMPUTED_VALUE"""),0.0)</f>
        <v>0</v>
      </c>
    </row>
    <row r="729">
      <c r="N729" s="98">
        <f>IFERROR(__xludf.DUMMYFUNCTION("""COMPUTED_VALUE"""),44095.0)</f>
        <v>44095</v>
      </c>
      <c r="O729" s="96" t="str">
        <f>IFERROR(__xludf.DUMMYFUNCTION("""COMPUTED_VALUE"""),"BLESSING CHAPMAN")</f>
        <v>BLESSING CHAPMAN</v>
      </c>
      <c r="P729" s="96" t="str">
        <f>IFERROR(__xludf.DUMMYFUNCTION("""COMPUTED_VALUE"""),"cash collected")</f>
        <v>cash collected</v>
      </c>
      <c r="Q729" s="99">
        <f>IFERROR(__xludf.DUMMYFUNCTION("""COMPUTED_VALUE"""),155900.0)</f>
        <v>155900</v>
      </c>
      <c r="R729" s="96" t="str">
        <f>IFERROR(__xludf.DUMMYFUNCTION("""COMPUTED_VALUE"""),"Petty Cash")</f>
        <v>Petty Cash</v>
      </c>
      <c r="S729" s="99">
        <f>IFERROR(__xludf.DUMMYFUNCTION("""COMPUTED_VALUE"""),0.0)</f>
        <v>0</v>
      </c>
      <c r="T729" s="99">
        <f>IFERROR(__xludf.DUMMYFUNCTION("""COMPUTED_VALUE"""),0.0)</f>
        <v>0</v>
      </c>
      <c r="U729" s="99">
        <f>IFERROR(__xludf.DUMMYFUNCTION("""COMPUTED_VALUE"""),0.0)</f>
        <v>0</v>
      </c>
      <c r="V729" s="99">
        <f>IFERROR(__xludf.DUMMYFUNCTION("""COMPUTED_VALUE"""),155900.0)</f>
        <v>155900</v>
      </c>
      <c r="W729" s="99">
        <f>IFERROR(__xludf.DUMMYFUNCTION("""COMPUTED_VALUE"""),0.0)</f>
        <v>0</v>
      </c>
    </row>
    <row r="730">
      <c r="N730" s="98">
        <f>IFERROR(__xludf.DUMMYFUNCTION("""COMPUTED_VALUE"""),44095.0)</f>
        <v>44095</v>
      </c>
      <c r="O730" s="96" t="str">
        <f>IFERROR(__xludf.DUMMYFUNCTION("""COMPUTED_VALUE"""),"DIRECTOR")</f>
        <v>DIRECTOR</v>
      </c>
      <c r="P730" s="96" t="str">
        <f>IFERROR(__xludf.DUMMYFUNCTION("""COMPUTED_VALUE"""),"payment")</f>
        <v>payment</v>
      </c>
      <c r="Q730" s="99">
        <f>IFERROR(__xludf.DUMMYFUNCTION("""COMPUTED_VALUE"""),119500.0)</f>
        <v>119500</v>
      </c>
      <c r="R730" s="96" t="str">
        <f>IFERROR(__xludf.DUMMYFUNCTION("""COMPUTED_VALUE"""),"Petty Cash")</f>
        <v>Petty Cash</v>
      </c>
      <c r="S730" s="99">
        <f>IFERROR(__xludf.DUMMYFUNCTION("""COMPUTED_VALUE"""),0.0)</f>
        <v>0</v>
      </c>
      <c r="T730" s="99">
        <f>IFERROR(__xludf.DUMMYFUNCTION("""COMPUTED_VALUE"""),0.0)</f>
        <v>0</v>
      </c>
      <c r="U730" s="99">
        <f>IFERROR(__xludf.DUMMYFUNCTION("""COMPUTED_VALUE"""),0.0)</f>
        <v>0</v>
      </c>
      <c r="V730" s="99">
        <f>IFERROR(__xludf.DUMMYFUNCTION("""COMPUTED_VALUE"""),119500.0)</f>
        <v>119500</v>
      </c>
      <c r="W730" s="99">
        <f>IFERROR(__xludf.DUMMYFUNCTION("""COMPUTED_VALUE"""),0.0)</f>
        <v>0</v>
      </c>
    </row>
    <row r="731">
      <c r="N731" s="98">
        <f>IFERROR(__xludf.DUMMYFUNCTION("""COMPUTED_VALUE"""),44095.0)</f>
        <v>44095</v>
      </c>
      <c r="O731" s="96" t="str">
        <f>IFERROR(__xludf.DUMMYFUNCTION("""COMPUTED_VALUE"""),"MANAGER")</f>
        <v>MANAGER</v>
      </c>
      <c r="P731" s="96" t="str">
        <f>IFERROR(__xludf.DUMMYFUNCTION("""COMPUTED_VALUE"""),"cash-in")</f>
        <v>cash-in</v>
      </c>
      <c r="Q731" s="99">
        <f>IFERROR(__xludf.DUMMYFUNCTION("""COMPUTED_VALUE"""),850000.0)</f>
        <v>850000</v>
      </c>
      <c r="R731" s="96" t="str">
        <f>IFERROR(__xludf.DUMMYFUNCTION("""COMPUTED_VALUE"""),"From Bank")</f>
        <v>From Bank</v>
      </c>
      <c r="S731" s="99">
        <f>IFERROR(__xludf.DUMMYFUNCTION("""COMPUTED_VALUE"""),0.0)</f>
        <v>0</v>
      </c>
      <c r="T731" s="99">
        <f>IFERROR(__xludf.DUMMYFUNCTION("""COMPUTED_VALUE"""),0.0)</f>
        <v>0</v>
      </c>
      <c r="U731" s="99">
        <f>IFERROR(__xludf.DUMMYFUNCTION("""COMPUTED_VALUE"""),850000.0)</f>
        <v>850000</v>
      </c>
      <c r="V731" s="99">
        <f>IFERROR(__xludf.DUMMYFUNCTION("""COMPUTED_VALUE"""),0.0)</f>
        <v>0</v>
      </c>
      <c r="W731" s="99">
        <f>IFERROR(__xludf.DUMMYFUNCTION("""COMPUTED_VALUE"""),0.0)</f>
        <v>0</v>
      </c>
    </row>
    <row r="732">
      <c r="N732" s="98">
        <f>IFERROR(__xludf.DUMMYFUNCTION("""COMPUTED_VALUE"""),44095.0)</f>
        <v>44095</v>
      </c>
      <c r="O732" s="96" t="str">
        <f>IFERROR(__xludf.DUMMYFUNCTION("""COMPUTED_VALUE"""),"DIRECTOR")</f>
        <v>DIRECTOR</v>
      </c>
      <c r="P732" s="96" t="str">
        <f>IFERROR(__xludf.DUMMYFUNCTION("""COMPUTED_VALUE"""),"payment")</f>
        <v>payment</v>
      </c>
      <c r="Q732" s="99">
        <f>IFERROR(__xludf.DUMMYFUNCTION("""COMPUTED_VALUE"""),119500.0)</f>
        <v>119500</v>
      </c>
      <c r="R732" s="96" t="str">
        <f>IFERROR(__xludf.DUMMYFUNCTION("""COMPUTED_VALUE"""),"From Bank")</f>
        <v>From Bank</v>
      </c>
      <c r="S732" s="99">
        <f>IFERROR(__xludf.DUMMYFUNCTION("""COMPUTED_VALUE"""),0.0)</f>
        <v>0</v>
      </c>
      <c r="T732" s="99">
        <f>IFERROR(__xludf.DUMMYFUNCTION("""COMPUTED_VALUE"""),0.0)</f>
        <v>0</v>
      </c>
      <c r="U732" s="99">
        <f>IFERROR(__xludf.DUMMYFUNCTION("""COMPUTED_VALUE"""),119500.0)</f>
        <v>119500</v>
      </c>
      <c r="V732" s="99">
        <f>IFERROR(__xludf.DUMMYFUNCTION("""COMPUTED_VALUE"""),0.0)</f>
        <v>0</v>
      </c>
      <c r="W732" s="99">
        <f>IFERROR(__xludf.DUMMYFUNCTION("""COMPUTED_VALUE"""),0.0)</f>
        <v>0</v>
      </c>
    </row>
    <row r="733">
      <c r="N733" s="98">
        <f>IFERROR(__xludf.DUMMYFUNCTION("""COMPUTED_VALUE"""),44096.0)</f>
        <v>44096</v>
      </c>
      <c r="O733" s="96" t="str">
        <f>IFERROR(__xludf.DUMMYFUNCTION("""COMPUTED_VALUE"""),"CONNECT")</f>
        <v>CONNECT</v>
      </c>
      <c r="P733" s="96" t="str">
        <f>IFERROR(__xludf.DUMMYFUNCTION("""COMPUTED_VALUE"""),"ADVANCE")</f>
        <v>ADVANCE</v>
      </c>
      <c r="Q733" s="99">
        <f>IFERROR(__xludf.DUMMYFUNCTION("""COMPUTED_VALUE"""),4000000.0)</f>
        <v>4000000</v>
      </c>
      <c r="R733" s="96" t="str">
        <f>IFERROR(__xludf.DUMMYFUNCTION("""COMPUTED_VALUE"""),"Prefinance")</f>
        <v>Prefinance</v>
      </c>
      <c r="S733" s="99">
        <f>IFERROR(__xludf.DUMMYFUNCTION("""COMPUTED_VALUE"""),0.0)</f>
        <v>0</v>
      </c>
      <c r="T733" s="99">
        <f>IFERROR(__xludf.DUMMYFUNCTION("""COMPUTED_VALUE"""),0.0)</f>
        <v>0</v>
      </c>
      <c r="U733" s="99">
        <f>IFERROR(__xludf.DUMMYFUNCTION("""COMPUTED_VALUE"""),0.0)</f>
        <v>0</v>
      </c>
      <c r="V733" s="99">
        <f>IFERROR(__xludf.DUMMYFUNCTION("""COMPUTED_VALUE"""),0.0)</f>
        <v>0</v>
      </c>
      <c r="W733" s="99">
        <f>IFERROR(__xludf.DUMMYFUNCTION("""COMPUTED_VALUE"""),0.0)</f>
        <v>0</v>
      </c>
    </row>
    <row r="734">
      <c r="N734" s="98">
        <f>IFERROR(__xludf.DUMMYFUNCTION("""COMPUTED_VALUE"""),44096.0)</f>
        <v>44096</v>
      </c>
      <c r="O734" s="96" t="str">
        <f>IFERROR(__xludf.DUMMYFUNCTION("""COMPUTED_VALUE"""),"COLLABS")</f>
        <v>COLLABS</v>
      </c>
      <c r="P734" s="96" t="str">
        <f>IFERROR(__xludf.DUMMYFUNCTION("""COMPUTED_VALUE"""),"ADVANCE")</f>
        <v>ADVANCE</v>
      </c>
      <c r="Q734" s="99">
        <f>IFERROR(__xludf.DUMMYFUNCTION("""COMPUTED_VALUE"""),200000.0)</f>
        <v>200000</v>
      </c>
      <c r="R734" s="96" t="str">
        <f>IFERROR(__xludf.DUMMYFUNCTION("""COMPUTED_VALUE"""),"Prefinance")</f>
        <v>Prefinance</v>
      </c>
      <c r="S734" s="99">
        <f>IFERROR(__xludf.DUMMYFUNCTION("""COMPUTED_VALUE"""),0.0)</f>
        <v>0</v>
      </c>
      <c r="T734" s="99">
        <f>IFERROR(__xludf.DUMMYFUNCTION("""COMPUTED_VALUE"""),0.0)</f>
        <v>0</v>
      </c>
      <c r="U734" s="99">
        <f>IFERROR(__xludf.DUMMYFUNCTION("""COMPUTED_VALUE"""),0.0)</f>
        <v>0</v>
      </c>
      <c r="V734" s="99">
        <f>IFERROR(__xludf.DUMMYFUNCTION("""COMPUTED_VALUE"""),0.0)</f>
        <v>0</v>
      </c>
      <c r="W734" s="99">
        <f>IFERROR(__xludf.DUMMYFUNCTION("""COMPUTED_VALUE"""),0.0)</f>
        <v>0</v>
      </c>
    </row>
    <row r="735">
      <c r="N735" s="98">
        <f>IFERROR(__xludf.DUMMYFUNCTION("""COMPUTED_VALUE"""),44096.0)</f>
        <v>44096</v>
      </c>
      <c r="O735" s="96" t="str">
        <f>IFERROR(__xludf.DUMMYFUNCTION("""COMPUTED_VALUE"""),"KARIEN EBAN")</f>
        <v>KARIEN EBAN</v>
      </c>
      <c r="P735" s="96" t="str">
        <f>IFERROR(__xludf.DUMMYFUNCTION("""COMPUTED_VALUE"""),"FUEL")</f>
        <v>FUEL</v>
      </c>
      <c r="Q735" s="99">
        <f>IFERROR(__xludf.DUMMYFUNCTION("""COMPUTED_VALUE"""),5000.0)</f>
        <v>5000</v>
      </c>
      <c r="R735" s="96" t="str">
        <f>IFERROR(__xludf.DUMMYFUNCTION("""COMPUTED_VALUE"""),"Prefinance")</f>
        <v>Prefinance</v>
      </c>
      <c r="S735" s="99">
        <f>IFERROR(__xludf.DUMMYFUNCTION("""COMPUTED_VALUE"""),0.0)</f>
        <v>0</v>
      </c>
      <c r="T735" s="99">
        <f>IFERROR(__xludf.DUMMYFUNCTION("""COMPUTED_VALUE"""),0.0)</f>
        <v>0</v>
      </c>
      <c r="U735" s="99">
        <f>IFERROR(__xludf.DUMMYFUNCTION("""COMPUTED_VALUE"""),0.0)</f>
        <v>0</v>
      </c>
      <c r="V735" s="99">
        <f>IFERROR(__xludf.DUMMYFUNCTION("""COMPUTED_VALUE"""),0.0)</f>
        <v>0</v>
      </c>
      <c r="W735" s="99">
        <f>IFERROR(__xludf.DUMMYFUNCTION("""COMPUTED_VALUE"""),0.0)</f>
        <v>0</v>
      </c>
    </row>
    <row r="736">
      <c r="N736" s="98">
        <f>IFERROR(__xludf.DUMMYFUNCTION("""COMPUTED_VALUE"""),44096.0)</f>
        <v>44096</v>
      </c>
      <c r="O736" s="96" t="str">
        <f>IFERROR(__xludf.DUMMYFUNCTION("""COMPUTED_VALUE"""),"NDOMA PRIN")</f>
        <v>NDOMA PRIN</v>
      </c>
      <c r="P736" s="96" t="str">
        <f>IFERROR(__xludf.DUMMYFUNCTION("""COMPUTED_VALUE"""),"ADVANCE")</f>
        <v>ADVANCE</v>
      </c>
      <c r="Q736" s="99">
        <f>IFERROR(__xludf.DUMMYFUNCTION("""COMPUTED_VALUE"""),456000.0)</f>
        <v>456000</v>
      </c>
      <c r="R736" s="96" t="str">
        <f>IFERROR(__xludf.DUMMYFUNCTION("""COMPUTED_VALUE"""),"Prefinance")</f>
        <v>Prefinance</v>
      </c>
      <c r="S736" s="99">
        <f>IFERROR(__xludf.DUMMYFUNCTION("""COMPUTED_VALUE"""),0.0)</f>
        <v>0</v>
      </c>
      <c r="T736" s="99">
        <f>IFERROR(__xludf.DUMMYFUNCTION("""COMPUTED_VALUE"""),0.0)</f>
        <v>0</v>
      </c>
      <c r="U736" s="99">
        <f>IFERROR(__xludf.DUMMYFUNCTION("""COMPUTED_VALUE"""),0.0)</f>
        <v>0</v>
      </c>
      <c r="V736" s="99">
        <f>IFERROR(__xludf.DUMMYFUNCTION("""COMPUTED_VALUE"""),0.0)</f>
        <v>0</v>
      </c>
      <c r="W736" s="99">
        <f>IFERROR(__xludf.DUMMYFUNCTION("""COMPUTED_VALUE"""),0.0)</f>
        <v>0</v>
      </c>
    </row>
    <row r="737">
      <c r="N737" s="98">
        <f>IFERROR(__xludf.DUMMYFUNCTION("""COMPUTED_VALUE"""),44096.0)</f>
        <v>44096</v>
      </c>
      <c r="O737" s="96" t="str">
        <f>IFERROR(__xludf.DUMMYFUNCTION("""COMPUTED_VALUE"""),"MAXWELL AGRO PRIN")</f>
        <v>MAXWELL AGRO PRIN</v>
      </c>
      <c r="P737" s="96" t="str">
        <f>IFERROR(__xludf.DUMMYFUNCTION("""COMPUTED_VALUE"""),"ADVANCE")</f>
        <v>ADVANCE</v>
      </c>
      <c r="Q737" s="99">
        <f>IFERROR(__xludf.DUMMYFUNCTION("""COMPUTED_VALUE"""),10000.0)</f>
        <v>10000</v>
      </c>
      <c r="R737" s="96" t="str">
        <f>IFERROR(__xludf.DUMMYFUNCTION("""COMPUTED_VALUE"""),"Prefinance")</f>
        <v>Prefinance</v>
      </c>
      <c r="S737" s="99">
        <f>IFERROR(__xludf.DUMMYFUNCTION("""COMPUTED_VALUE"""),0.0)</f>
        <v>0</v>
      </c>
      <c r="T737" s="99">
        <f>IFERROR(__xludf.DUMMYFUNCTION("""COMPUTED_VALUE"""),0.0)</f>
        <v>0</v>
      </c>
      <c r="U737" s="99">
        <f>IFERROR(__xludf.DUMMYFUNCTION("""COMPUTED_VALUE"""),0.0)</f>
        <v>0</v>
      </c>
      <c r="V737" s="99">
        <f>IFERROR(__xludf.DUMMYFUNCTION("""COMPUTED_VALUE"""),0.0)</f>
        <v>0</v>
      </c>
      <c r="W737" s="99">
        <f>IFERROR(__xludf.DUMMYFUNCTION("""COMPUTED_VALUE"""),0.0)</f>
        <v>0</v>
      </c>
    </row>
    <row r="738">
      <c r="N738" s="98">
        <f>IFERROR(__xludf.DUMMYFUNCTION("""COMPUTED_VALUE"""),44096.0)</f>
        <v>44096</v>
      </c>
      <c r="O738" s="96" t="str">
        <f>IFERROR(__xludf.DUMMYFUNCTION("""COMPUTED_VALUE"""),"LIVINUS")</f>
        <v>LIVINUS</v>
      </c>
      <c r="P738" s="96" t="str">
        <f>IFERROR(__xludf.DUMMYFUNCTION("""COMPUTED_VALUE"""),"ADVANCE")</f>
        <v>ADVANCE</v>
      </c>
      <c r="Q738" s="99">
        <f>IFERROR(__xludf.DUMMYFUNCTION("""COMPUTED_VALUE"""),367000.0)</f>
        <v>367000</v>
      </c>
      <c r="R738" s="96" t="str">
        <f>IFERROR(__xludf.DUMMYFUNCTION("""COMPUTED_VALUE"""),"Prefinance")</f>
        <v>Prefinance</v>
      </c>
      <c r="S738" s="99">
        <f>IFERROR(__xludf.DUMMYFUNCTION("""COMPUTED_VALUE"""),0.0)</f>
        <v>0</v>
      </c>
      <c r="T738" s="99">
        <f>IFERROR(__xludf.DUMMYFUNCTION("""COMPUTED_VALUE"""),0.0)</f>
        <v>0</v>
      </c>
      <c r="U738" s="99">
        <f>IFERROR(__xludf.DUMMYFUNCTION("""COMPUTED_VALUE"""),0.0)</f>
        <v>0</v>
      </c>
      <c r="V738" s="99">
        <f>IFERROR(__xludf.DUMMYFUNCTION("""COMPUTED_VALUE"""),0.0)</f>
        <v>0</v>
      </c>
      <c r="W738" s="99">
        <f>IFERROR(__xludf.DUMMYFUNCTION("""COMPUTED_VALUE"""),0.0)</f>
        <v>0</v>
      </c>
    </row>
    <row r="739">
      <c r="N739" s="98">
        <f>IFERROR(__xludf.DUMMYFUNCTION("""COMPUTED_VALUE"""),44096.0)</f>
        <v>44096</v>
      </c>
      <c r="O739" s="96" t="str">
        <f>IFERROR(__xludf.DUMMYFUNCTION("""COMPUTED_VALUE"""),"ETUK EFFI")</f>
        <v>ETUK EFFI</v>
      </c>
      <c r="P739" s="96" t="str">
        <f>IFERROR(__xludf.DUMMYFUNCTION("""COMPUTED_VALUE"""),"ADVANCE")</f>
        <v>ADVANCE</v>
      </c>
      <c r="Q739" s="99">
        <f>IFERROR(__xludf.DUMMYFUNCTION("""COMPUTED_VALUE"""),1500000.0)</f>
        <v>1500000</v>
      </c>
      <c r="R739" s="96" t="str">
        <f>IFERROR(__xludf.DUMMYFUNCTION("""COMPUTED_VALUE"""),"Prefinance")</f>
        <v>Prefinance</v>
      </c>
      <c r="S739" s="99">
        <f>IFERROR(__xludf.DUMMYFUNCTION("""COMPUTED_VALUE"""),0.0)</f>
        <v>0</v>
      </c>
      <c r="T739" s="99">
        <f>IFERROR(__xludf.DUMMYFUNCTION("""COMPUTED_VALUE"""),0.0)</f>
        <v>0</v>
      </c>
      <c r="U739" s="99">
        <f>IFERROR(__xludf.DUMMYFUNCTION("""COMPUTED_VALUE"""),0.0)</f>
        <v>0</v>
      </c>
      <c r="V739" s="99">
        <f>IFERROR(__xludf.DUMMYFUNCTION("""COMPUTED_VALUE"""),0.0)</f>
        <v>0</v>
      </c>
      <c r="W739" s="99">
        <f>IFERROR(__xludf.DUMMYFUNCTION("""COMPUTED_VALUE"""),0.0)</f>
        <v>0</v>
      </c>
    </row>
    <row r="740">
      <c r="N740" s="98">
        <f>IFERROR(__xludf.DUMMYFUNCTION("""COMPUTED_VALUE"""),44096.0)</f>
        <v>44096</v>
      </c>
      <c r="O740" s="96" t="str">
        <f>IFERROR(__xludf.DUMMYFUNCTION("""COMPUTED_VALUE"""),"NDOMA BODE I.D")</f>
        <v>NDOMA BODE I.D</v>
      </c>
      <c r="P740" s="96" t="str">
        <f>IFERROR(__xludf.DUMMYFUNCTION("""COMPUTED_VALUE"""),"ADVANCE")</f>
        <v>ADVANCE</v>
      </c>
      <c r="Q740" s="99">
        <f>IFERROR(__xludf.DUMMYFUNCTION("""COMPUTED_VALUE"""),500000.0)</f>
        <v>500000</v>
      </c>
      <c r="R740" s="96" t="str">
        <f>IFERROR(__xludf.DUMMYFUNCTION("""COMPUTED_VALUE"""),"Prefinance")</f>
        <v>Prefinance</v>
      </c>
      <c r="S740" s="99">
        <f>IFERROR(__xludf.DUMMYFUNCTION("""COMPUTED_VALUE"""),0.0)</f>
        <v>0</v>
      </c>
      <c r="T740" s="99">
        <f>IFERROR(__xludf.DUMMYFUNCTION("""COMPUTED_VALUE"""),0.0)</f>
        <v>0</v>
      </c>
      <c r="U740" s="99">
        <f>IFERROR(__xludf.DUMMYFUNCTION("""COMPUTED_VALUE"""),0.0)</f>
        <v>0</v>
      </c>
      <c r="V740" s="99">
        <f>IFERROR(__xludf.DUMMYFUNCTION("""COMPUTED_VALUE"""),0.0)</f>
        <v>0</v>
      </c>
      <c r="W740" s="99">
        <f>IFERROR(__xludf.DUMMYFUNCTION("""COMPUTED_VALUE"""),0.0)</f>
        <v>0</v>
      </c>
    </row>
    <row r="741">
      <c r="N741" s="98">
        <f>IFERROR(__xludf.DUMMYFUNCTION("""COMPUTED_VALUE"""),44096.0)</f>
        <v>44096</v>
      </c>
      <c r="O741" s="96" t="str">
        <f>IFERROR(__xludf.DUMMYFUNCTION("""COMPUTED_VALUE"""),"DIRECTOR")</f>
        <v>DIRECTOR</v>
      </c>
      <c r="P741" s="96" t="str">
        <f>IFERROR(__xludf.DUMMYFUNCTION("""COMPUTED_VALUE"""),"CASH-IN")</f>
        <v>CASH-IN</v>
      </c>
      <c r="Q741" s="99">
        <f>IFERROR(__xludf.DUMMYFUNCTION("""COMPUTED_VALUE"""),4200000.0)</f>
        <v>4200000</v>
      </c>
      <c r="R741" s="96" t="str">
        <f>IFERROR(__xludf.DUMMYFUNCTION("""COMPUTED_VALUE"""),"From Bank")</f>
        <v>From Bank</v>
      </c>
      <c r="S741" s="99">
        <f>IFERROR(__xludf.DUMMYFUNCTION("""COMPUTED_VALUE"""),0.0)</f>
        <v>0</v>
      </c>
      <c r="T741" s="99">
        <f>IFERROR(__xludf.DUMMYFUNCTION("""COMPUTED_VALUE"""),0.0)</f>
        <v>0</v>
      </c>
      <c r="U741" s="99">
        <f>IFERROR(__xludf.DUMMYFUNCTION("""COMPUTED_VALUE"""),4200000.0)</f>
        <v>4200000</v>
      </c>
      <c r="V741" s="99">
        <f>IFERROR(__xludf.DUMMYFUNCTION("""COMPUTED_VALUE"""),0.0)</f>
        <v>0</v>
      </c>
      <c r="W741" s="99">
        <f>IFERROR(__xludf.DUMMYFUNCTION("""COMPUTED_VALUE"""),0.0)</f>
        <v>0</v>
      </c>
    </row>
    <row r="742">
      <c r="N742" s="98">
        <f>IFERROR(__xludf.DUMMYFUNCTION("""COMPUTED_VALUE"""),44096.0)</f>
        <v>44096</v>
      </c>
      <c r="O742" s="96" t="str">
        <f>IFERROR(__xludf.DUMMYFUNCTION("""COMPUTED_VALUE"""),"MANAGER")</f>
        <v>MANAGER</v>
      </c>
      <c r="P742" s="96" t="str">
        <f>IFERROR(__xludf.DUMMYFUNCTION("""COMPUTED_VALUE"""),"CASH-IN")</f>
        <v>CASH-IN</v>
      </c>
      <c r="Q742" s="99">
        <f>IFERROR(__xludf.DUMMYFUNCTION("""COMPUTED_VALUE"""),2500000.0)</f>
        <v>2500000</v>
      </c>
      <c r="R742" s="96" t="str">
        <f>IFERROR(__xludf.DUMMYFUNCTION("""COMPUTED_VALUE"""),"From Bank")</f>
        <v>From Bank</v>
      </c>
      <c r="S742" s="99">
        <f>IFERROR(__xludf.DUMMYFUNCTION("""COMPUTED_VALUE"""),0.0)</f>
        <v>0</v>
      </c>
      <c r="T742" s="99">
        <f>IFERROR(__xludf.DUMMYFUNCTION("""COMPUTED_VALUE"""),0.0)</f>
        <v>0</v>
      </c>
      <c r="U742" s="99">
        <f>IFERROR(__xludf.DUMMYFUNCTION("""COMPUTED_VALUE"""),2500000.0)</f>
        <v>2500000</v>
      </c>
      <c r="V742" s="99">
        <f>IFERROR(__xludf.DUMMYFUNCTION("""COMPUTED_VALUE"""),0.0)</f>
        <v>0</v>
      </c>
      <c r="W742" s="99">
        <f>IFERROR(__xludf.DUMMYFUNCTION("""COMPUTED_VALUE"""),0.0)</f>
        <v>0</v>
      </c>
    </row>
    <row r="743">
      <c r="N743" s="98">
        <f>IFERROR(__xludf.DUMMYFUNCTION("""COMPUTED_VALUE"""),44096.0)</f>
        <v>44096</v>
      </c>
      <c r="O743" s="96" t="str">
        <f>IFERROR(__xludf.DUMMYFUNCTION("""COMPUTED_VALUE"""),"OBI-DRIVER")</f>
        <v>OBI-DRIVER</v>
      </c>
      <c r="P743" s="96" t="str">
        <f>IFERROR(__xludf.DUMMYFUNCTION("""COMPUTED_VALUE"""),"FUEL")</f>
        <v>FUEL</v>
      </c>
      <c r="Q743" s="99">
        <f>IFERROR(__xludf.DUMMYFUNCTION("""COMPUTED_VALUE"""),6000.0)</f>
        <v>6000</v>
      </c>
      <c r="R743" s="96" t="str">
        <f>IFERROR(__xludf.DUMMYFUNCTION("""COMPUTED_VALUE"""),"General Expenses")</f>
        <v>General Expenses</v>
      </c>
      <c r="S743" s="99">
        <f>IFERROR(__xludf.DUMMYFUNCTION("""COMPUTED_VALUE"""),0.0)</f>
        <v>0</v>
      </c>
      <c r="T743" s="99">
        <f>IFERROR(__xludf.DUMMYFUNCTION("""COMPUTED_VALUE"""),6000.0)</f>
        <v>6000</v>
      </c>
      <c r="U743" s="99">
        <f>IFERROR(__xludf.DUMMYFUNCTION("""COMPUTED_VALUE"""),0.0)</f>
        <v>0</v>
      </c>
      <c r="V743" s="99">
        <f>IFERROR(__xludf.DUMMYFUNCTION("""COMPUTED_VALUE"""),0.0)</f>
        <v>0</v>
      </c>
      <c r="W743" s="99">
        <f>IFERROR(__xludf.DUMMYFUNCTION("""COMPUTED_VALUE"""),0.0)</f>
        <v>0</v>
      </c>
    </row>
    <row r="744">
      <c r="N744" s="98">
        <f>IFERROR(__xludf.DUMMYFUNCTION("""COMPUTED_VALUE"""),44096.0)</f>
        <v>44096</v>
      </c>
      <c r="O744" s="96" t="str">
        <f>IFERROR(__xludf.DUMMYFUNCTION("""COMPUTED_VALUE"""),"ANDY")</f>
        <v>ANDY</v>
      </c>
      <c r="P744" s="96" t="str">
        <f>IFERROR(__xludf.DUMMYFUNCTION("""COMPUTED_VALUE"""),"DIRECTORS ORDER")</f>
        <v>DIRECTORS ORDER</v>
      </c>
      <c r="Q744" s="99">
        <f>IFERROR(__xludf.DUMMYFUNCTION("""COMPUTED_VALUE"""),17500.0)</f>
        <v>17500</v>
      </c>
      <c r="R744" s="96" t="str">
        <f>IFERROR(__xludf.DUMMYFUNCTION("""COMPUTED_VALUE"""),"General Expenses")</f>
        <v>General Expenses</v>
      </c>
      <c r="S744" s="99">
        <f>IFERROR(__xludf.DUMMYFUNCTION("""COMPUTED_VALUE"""),0.0)</f>
        <v>0</v>
      </c>
      <c r="T744" s="99">
        <f>IFERROR(__xludf.DUMMYFUNCTION("""COMPUTED_VALUE"""),17500.0)</f>
        <v>17500</v>
      </c>
      <c r="U744" s="99">
        <f>IFERROR(__xludf.DUMMYFUNCTION("""COMPUTED_VALUE"""),0.0)</f>
        <v>0</v>
      </c>
      <c r="V744" s="99">
        <f>IFERROR(__xludf.DUMMYFUNCTION("""COMPUTED_VALUE"""),0.0)</f>
        <v>0</v>
      </c>
      <c r="W744" s="99">
        <f>IFERROR(__xludf.DUMMYFUNCTION("""COMPUTED_VALUE"""),0.0)</f>
        <v>0</v>
      </c>
    </row>
    <row r="745">
      <c r="N745" s="98">
        <f>IFERROR(__xludf.DUMMYFUNCTION("""COMPUTED_VALUE"""),44096.0)</f>
        <v>44096</v>
      </c>
      <c r="O745" s="96" t="str">
        <f>IFERROR(__xludf.DUMMYFUNCTION("""COMPUTED_VALUE"""),"LABOUR  BOY")</f>
        <v>LABOUR  BOY</v>
      </c>
      <c r="P745" s="96" t="str">
        <f>IFERROR(__xludf.DUMMYFUNCTION("""COMPUTED_VALUE"""),"WAGES ADVANCE")</f>
        <v>WAGES ADVANCE</v>
      </c>
      <c r="Q745" s="99">
        <f>IFERROR(__xludf.DUMMYFUNCTION("""COMPUTED_VALUE"""),4000.0)</f>
        <v>4000</v>
      </c>
      <c r="R745" s="96" t="str">
        <f>IFERROR(__xludf.DUMMYFUNCTION("""COMPUTED_VALUE"""),"General Expenses")</f>
        <v>General Expenses</v>
      </c>
      <c r="S745" s="99">
        <f>IFERROR(__xludf.DUMMYFUNCTION("""COMPUTED_VALUE"""),0.0)</f>
        <v>0</v>
      </c>
      <c r="T745" s="99">
        <f>IFERROR(__xludf.DUMMYFUNCTION("""COMPUTED_VALUE"""),4000.0)</f>
        <v>4000</v>
      </c>
      <c r="U745" s="99">
        <f>IFERROR(__xludf.DUMMYFUNCTION("""COMPUTED_VALUE"""),0.0)</f>
        <v>0</v>
      </c>
      <c r="V745" s="99">
        <f>IFERROR(__xludf.DUMMYFUNCTION("""COMPUTED_VALUE"""),0.0)</f>
        <v>0</v>
      </c>
      <c r="W745" s="99">
        <f>IFERROR(__xludf.DUMMYFUNCTION("""COMPUTED_VALUE"""),0.0)</f>
        <v>0</v>
      </c>
    </row>
    <row r="746">
      <c r="N746" s="98">
        <f>IFERROR(__xludf.DUMMYFUNCTION("""COMPUTED_VALUE"""),44096.0)</f>
        <v>44096</v>
      </c>
      <c r="O746" s="96" t="str">
        <f>IFERROR(__xludf.DUMMYFUNCTION("""COMPUTED_VALUE"""),"OBI-DRIVER")</f>
        <v>OBI-DRIVER</v>
      </c>
      <c r="P746" s="96" t="str">
        <f>IFERROR(__xludf.DUMMYFUNCTION("""COMPUTED_VALUE"""),"FUEL")</f>
        <v>FUEL</v>
      </c>
      <c r="Q746" s="99">
        <f>IFERROR(__xludf.DUMMYFUNCTION("""COMPUTED_VALUE"""),7000.0)</f>
        <v>7000</v>
      </c>
      <c r="R746" s="96" t="str">
        <f>IFERROR(__xludf.DUMMYFUNCTION("""COMPUTED_VALUE"""),"General Expenses")</f>
        <v>General Expenses</v>
      </c>
      <c r="S746" s="99">
        <f>IFERROR(__xludf.DUMMYFUNCTION("""COMPUTED_VALUE"""),0.0)</f>
        <v>0</v>
      </c>
      <c r="T746" s="99">
        <f>IFERROR(__xludf.DUMMYFUNCTION("""COMPUTED_VALUE"""),7000.0)</f>
        <v>7000</v>
      </c>
      <c r="U746" s="99">
        <f>IFERROR(__xludf.DUMMYFUNCTION("""COMPUTED_VALUE"""),0.0)</f>
        <v>0</v>
      </c>
      <c r="V746" s="99">
        <f>IFERROR(__xludf.DUMMYFUNCTION("""COMPUTED_VALUE"""),0.0)</f>
        <v>0</v>
      </c>
      <c r="W746" s="99">
        <f>IFERROR(__xludf.DUMMYFUNCTION("""COMPUTED_VALUE"""),0.0)</f>
        <v>0</v>
      </c>
    </row>
    <row r="747">
      <c r="N747" s="98">
        <f>IFERROR(__xludf.DUMMYFUNCTION("""COMPUTED_VALUE"""),44096.0)</f>
        <v>44096</v>
      </c>
      <c r="O747" s="96" t="str">
        <f>IFERROR(__xludf.DUMMYFUNCTION("""COMPUTED_VALUE"""),"CHINEDU")</f>
        <v>CHINEDU</v>
      </c>
      <c r="P747" s="96" t="str">
        <f>IFERROR(__xludf.DUMMYFUNCTION("""COMPUTED_VALUE"""),"RECEIPT BAL.")</f>
        <v>RECEIPT BAL.</v>
      </c>
      <c r="Q747" s="99">
        <f>IFERROR(__xludf.DUMMYFUNCTION("""COMPUTED_VALUE"""),7000.0)</f>
        <v>7000</v>
      </c>
      <c r="R747" s="96" t="str">
        <f>IFERROR(__xludf.DUMMYFUNCTION("""COMPUTED_VALUE"""),"General Expenses")</f>
        <v>General Expenses</v>
      </c>
      <c r="S747" s="99">
        <f>IFERROR(__xludf.DUMMYFUNCTION("""COMPUTED_VALUE"""),0.0)</f>
        <v>0</v>
      </c>
      <c r="T747" s="99">
        <f>IFERROR(__xludf.DUMMYFUNCTION("""COMPUTED_VALUE"""),7000.0)</f>
        <v>7000</v>
      </c>
      <c r="U747" s="99">
        <f>IFERROR(__xludf.DUMMYFUNCTION("""COMPUTED_VALUE"""),0.0)</f>
        <v>0</v>
      </c>
      <c r="V747" s="99">
        <f>IFERROR(__xludf.DUMMYFUNCTION("""COMPUTED_VALUE"""),0.0)</f>
        <v>0</v>
      </c>
      <c r="W747" s="99">
        <f>IFERROR(__xludf.DUMMYFUNCTION("""COMPUTED_VALUE"""),0.0)</f>
        <v>0</v>
      </c>
    </row>
    <row r="748">
      <c r="N748" s="98">
        <f>IFERROR(__xludf.DUMMYFUNCTION("""COMPUTED_VALUE"""),44096.0)</f>
        <v>44096</v>
      </c>
      <c r="O748" s="96" t="str">
        <f>IFERROR(__xludf.DUMMYFUNCTION("""COMPUTED_VALUE"""),"BLESSING CHAPMAN")</f>
        <v>BLESSING CHAPMAN</v>
      </c>
      <c r="P748" s="96" t="str">
        <f>IFERROR(__xludf.DUMMYFUNCTION("""COMPUTED_VALUE"""),"CASH COLLECTED")</f>
        <v>CASH COLLECTED</v>
      </c>
      <c r="Q748" s="99">
        <f>IFERROR(__xludf.DUMMYFUNCTION("""COMPUTED_VALUE"""),41500.0)</f>
        <v>41500</v>
      </c>
      <c r="R748" s="96" t="str">
        <f>IFERROR(__xludf.DUMMYFUNCTION("""COMPUTED_VALUE"""),"Petty Cash")</f>
        <v>Petty Cash</v>
      </c>
      <c r="S748" s="99">
        <f>IFERROR(__xludf.DUMMYFUNCTION("""COMPUTED_VALUE"""),0.0)</f>
        <v>0</v>
      </c>
      <c r="T748" s="99">
        <f>IFERROR(__xludf.DUMMYFUNCTION("""COMPUTED_VALUE"""),0.0)</f>
        <v>0</v>
      </c>
      <c r="U748" s="99">
        <f>IFERROR(__xludf.DUMMYFUNCTION("""COMPUTED_VALUE"""),0.0)</f>
        <v>0</v>
      </c>
      <c r="V748" s="99">
        <f>IFERROR(__xludf.DUMMYFUNCTION("""COMPUTED_VALUE"""),41500.0)</f>
        <v>41500</v>
      </c>
      <c r="W748" s="99">
        <f>IFERROR(__xludf.DUMMYFUNCTION("""COMPUTED_VALUE"""),0.0)</f>
        <v>0</v>
      </c>
    </row>
    <row r="749">
      <c r="N749" s="98">
        <f>IFERROR(__xludf.DUMMYFUNCTION("""COMPUTED_VALUE"""),44097.0)</f>
        <v>44097</v>
      </c>
      <c r="O749" s="96" t="str">
        <f>IFERROR(__xludf.DUMMYFUNCTION("""COMPUTED_VALUE"""),"DAMIAN NJIAN")</f>
        <v>DAMIAN NJIAN</v>
      </c>
      <c r="P749" s="96" t="str">
        <f>IFERROR(__xludf.DUMMYFUNCTION("""COMPUTED_VALUE"""),"DIRECTORS ORDER")</f>
        <v>DIRECTORS ORDER</v>
      </c>
      <c r="Q749" s="99">
        <f>IFERROR(__xludf.DUMMYFUNCTION("""COMPUTED_VALUE"""),10000.0)</f>
        <v>10000</v>
      </c>
      <c r="R749" s="96" t="str">
        <f>IFERROR(__xludf.DUMMYFUNCTION("""COMPUTED_VALUE"""),"General Expenses")</f>
        <v>General Expenses</v>
      </c>
      <c r="S749" s="99">
        <f>IFERROR(__xludf.DUMMYFUNCTION("""COMPUTED_VALUE"""),0.0)</f>
        <v>0</v>
      </c>
      <c r="T749" s="99">
        <f>IFERROR(__xludf.DUMMYFUNCTION("""COMPUTED_VALUE"""),10000.0)</f>
        <v>10000</v>
      </c>
      <c r="U749" s="99">
        <f>IFERROR(__xludf.DUMMYFUNCTION("""COMPUTED_VALUE"""),0.0)</f>
        <v>0</v>
      </c>
      <c r="V749" s="99">
        <f>IFERROR(__xludf.DUMMYFUNCTION("""COMPUTED_VALUE"""),0.0)</f>
        <v>0</v>
      </c>
      <c r="W749" s="99">
        <f>IFERROR(__xludf.DUMMYFUNCTION("""COMPUTED_VALUE"""),0.0)</f>
        <v>0</v>
      </c>
    </row>
    <row r="750">
      <c r="N750" s="98">
        <f>IFERROR(__xludf.DUMMYFUNCTION("""COMPUTED_VALUE"""),44097.0)</f>
        <v>44097</v>
      </c>
      <c r="O750" s="96" t="str">
        <f>IFERROR(__xludf.DUMMYFUNCTION("""COMPUTED_VALUE"""),"AYUK BLESSING")</f>
        <v>AYUK BLESSING</v>
      </c>
      <c r="P750" s="96" t="str">
        <f>IFERROR(__xludf.DUMMYFUNCTION("""COMPUTED_VALUE"""),"TRANSPORT")</f>
        <v>TRANSPORT</v>
      </c>
      <c r="Q750" s="99">
        <f>IFERROR(__xludf.DUMMYFUNCTION("""COMPUTED_VALUE"""),200.0)</f>
        <v>200</v>
      </c>
      <c r="R750" s="96" t="str">
        <f>IFERROR(__xludf.DUMMYFUNCTION("""COMPUTED_VALUE"""),"General Expenses")</f>
        <v>General Expenses</v>
      </c>
      <c r="S750" s="99">
        <f>IFERROR(__xludf.DUMMYFUNCTION("""COMPUTED_VALUE"""),0.0)</f>
        <v>0</v>
      </c>
      <c r="T750" s="99">
        <f>IFERROR(__xludf.DUMMYFUNCTION("""COMPUTED_VALUE"""),200.0)</f>
        <v>200</v>
      </c>
      <c r="U750" s="99">
        <f>IFERROR(__xludf.DUMMYFUNCTION("""COMPUTED_VALUE"""),0.0)</f>
        <v>0</v>
      </c>
      <c r="V750" s="99">
        <f>IFERROR(__xludf.DUMMYFUNCTION("""COMPUTED_VALUE"""),0.0)</f>
        <v>0</v>
      </c>
      <c r="W750" s="99">
        <f>IFERROR(__xludf.DUMMYFUNCTION("""COMPUTED_VALUE"""),0.0)</f>
        <v>0</v>
      </c>
    </row>
    <row r="751">
      <c r="N751" s="98">
        <f>IFERROR(__xludf.DUMMYFUNCTION("""COMPUTED_VALUE"""),44097.0)</f>
        <v>44097</v>
      </c>
      <c r="O751" s="96" t="str">
        <f>IFERROR(__xludf.DUMMYFUNCTION("""COMPUTED_VALUE"""),"BLESSING CHAPMAN")</f>
        <v>BLESSING CHAPMAN</v>
      </c>
      <c r="P751" s="96" t="str">
        <f>IFERROR(__xludf.DUMMYFUNCTION("""COMPUTED_VALUE"""),"TRANSPORT")</f>
        <v>TRANSPORT</v>
      </c>
      <c r="Q751" s="99">
        <f>IFERROR(__xludf.DUMMYFUNCTION("""COMPUTED_VALUE"""),200.0)</f>
        <v>200</v>
      </c>
      <c r="R751" s="96" t="str">
        <f>IFERROR(__xludf.DUMMYFUNCTION("""COMPUTED_VALUE"""),"General Expenses")</f>
        <v>General Expenses</v>
      </c>
      <c r="S751" s="99">
        <f>IFERROR(__xludf.DUMMYFUNCTION("""COMPUTED_VALUE"""),0.0)</f>
        <v>0</v>
      </c>
      <c r="T751" s="99">
        <f>IFERROR(__xludf.DUMMYFUNCTION("""COMPUTED_VALUE"""),200.0)</f>
        <v>200</v>
      </c>
      <c r="U751" s="99">
        <f>IFERROR(__xludf.DUMMYFUNCTION("""COMPUTED_VALUE"""),0.0)</f>
        <v>0</v>
      </c>
      <c r="V751" s="99">
        <f>IFERROR(__xludf.DUMMYFUNCTION("""COMPUTED_VALUE"""),0.0)</f>
        <v>0</v>
      </c>
      <c r="W751" s="99">
        <f>IFERROR(__xludf.DUMMYFUNCTION("""COMPUTED_VALUE"""),0.0)</f>
        <v>0</v>
      </c>
    </row>
    <row r="752">
      <c r="N752" s="98">
        <f>IFERROR(__xludf.DUMMYFUNCTION("""COMPUTED_VALUE"""),44097.0)</f>
        <v>44097</v>
      </c>
      <c r="O752" s="96" t="str">
        <f>IFERROR(__xludf.DUMMYFUNCTION("""COMPUTED_VALUE"""),"LABOUR  BOY")</f>
        <v>LABOUR  BOY</v>
      </c>
      <c r="P752" s="96" t="str">
        <f>IFERROR(__xludf.DUMMYFUNCTION("""COMPUTED_VALUE"""),"WAGES ADVANCE")</f>
        <v>WAGES ADVANCE</v>
      </c>
      <c r="Q752" s="99">
        <f>IFERROR(__xludf.DUMMYFUNCTION("""COMPUTED_VALUE"""),3500.0)</f>
        <v>3500</v>
      </c>
      <c r="R752" s="96" t="str">
        <f>IFERROR(__xludf.DUMMYFUNCTION("""COMPUTED_VALUE"""),"General Expenses")</f>
        <v>General Expenses</v>
      </c>
      <c r="S752" s="99">
        <f>IFERROR(__xludf.DUMMYFUNCTION("""COMPUTED_VALUE"""),0.0)</f>
        <v>0</v>
      </c>
      <c r="T752" s="99">
        <f>IFERROR(__xludf.DUMMYFUNCTION("""COMPUTED_VALUE"""),3500.0)</f>
        <v>3500</v>
      </c>
      <c r="U752" s="99">
        <f>IFERROR(__xludf.DUMMYFUNCTION("""COMPUTED_VALUE"""),0.0)</f>
        <v>0</v>
      </c>
      <c r="V752" s="99">
        <f>IFERROR(__xludf.DUMMYFUNCTION("""COMPUTED_VALUE"""),0.0)</f>
        <v>0</v>
      </c>
      <c r="W752" s="99">
        <f>IFERROR(__xludf.DUMMYFUNCTION("""COMPUTED_VALUE"""),0.0)</f>
        <v>0</v>
      </c>
    </row>
    <row r="753">
      <c r="N753" s="98">
        <f>IFERROR(__xludf.DUMMYFUNCTION("""COMPUTED_VALUE"""),44097.0)</f>
        <v>44097</v>
      </c>
      <c r="O753" s="96" t="str">
        <f>IFERROR(__xludf.DUMMYFUNCTION("""COMPUTED_VALUE"""),"BLESSING CHAPMAN")</f>
        <v>BLESSING CHAPMAN</v>
      </c>
      <c r="P753" s="96" t="str">
        <f>IFERROR(__xludf.DUMMYFUNCTION("""COMPUTED_VALUE"""),"PAPER")</f>
        <v>PAPER</v>
      </c>
      <c r="Q753" s="99">
        <f>IFERROR(__xludf.DUMMYFUNCTION("""COMPUTED_VALUE"""),100.0)</f>
        <v>100</v>
      </c>
      <c r="R753" s="96" t="str">
        <f>IFERROR(__xludf.DUMMYFUNCTION("""COMPUTED_VALUE"""),"General Expenses")</f>
        <v>General Expenses</v>
      </c>
      <c r="S753" s="99">
        <f>IFERROR(__xludf.DUMMYFUNCTION("""COMPUTED_VALUE"""),0.0)</f>
        <v>0</v>
      </c>
      <c r="T753" s="99">
        <f>IFERROR(__xludf.DUMMYFUNCTION("""COMPUTED_VALUE"""),100.0)</f>
        <v>100</v>
      </c>
      <c r="U753" s="99">
        <f>IFERROR(__xludf.DUMMYFUNCTION("""COMPUTED_VALUE"""),0.0)</f>
        <v>0</v>
      </c>
      <c r="V753" s="99">
        <f>IFERROR(__xludf.DUMMYFUNCTION("""COMPUTED_VALUE"""),0.0)</f>
        <v>0</v>
      </c>
      <c r="W753" s="99">
        <f>IFERROR(__xludf.DUMMYFUNCTION("""COMPUTED_VALUE"""),0.0)</f>
        <v>0</v>
      </c>
    </row>
    <row r="754">
      <c r="N754" s="98">
        <f>IFERROR(__xludf.DUMMYFUNCTION("""COMPUTED_VALUE"""),44097.0)</f>
        <v>44097</v>
      </c>
      <c r="O754" s="96" t="str">
        <f>IFERROR(__xludf.DUMMYFUNCTION("""COMPUTED_VALUE"""),"A. D. FREDERICK")</f>
        <v>A. D. FREDERICK</v>
      </c>
      <c r="P754" s="96" t="str">
        <f>IFERROR(__xludf.DUMMYFUNCTION("""COMPUTED_VALUE"""),"ADVANCE")</f>
        <v>ADVANCE</v>
      </c>
      <c r="Q754" s="99">
        <f>IFERROR(__xludf.DUMMYFUNCTION("""COMPUTED_VALUE"""),1824000.0)</f>
        <v>1824000</v>
      </c>
      <c r="R754" s="96" t="str">
        <f>IFERROR(__xludf.DUMMYFUNCTION("""COMPUTED_VALUE"""),"Prefinance")</f>
        <v>Prefinance</v>
      </c>
      <c r="S754" s="99">
        <f>IFERROR(__xludf.DUMMYFUNCTION("""COMPUTED_VALUE"""),0.0)</f>
        <v>0</v>
      </c>
      <c r="T754" s="99">
        <f>IFERROR(__xludf.DUMMYFUNCTION("""COMPUTED_VALUE"""),0.0)</f>
        <v>0</v>
      </c>
      <c r="U754" s="99">
        <f>IFERROR(__xludf.DUMMYFUNCTION("""COMPUTED_VALUE"""),0.0)</f>
        <v>0</v>
      </c>
      <c r="V754" s="99">
        <f>IFERROR(__xludf.DUMMYFUNCTION("""COMPUTED_VALUE"""),0.0)</f>
        <v>0</v>
      </c>
      <c r="W754" s="99">
        <f>IFERROR(__xludf.DUMMYFUNCTION("""COMPUTED_VALUE"""),0.0)</f>
        <v>0</v>
      </c>
    </row>
    <row r="755">
      <c r="N755" s="98">
        <f>IFERROR(__xludf.DUMMYFUNCTION("""COMPUTED_VALUE"""),44097.0)</f>
        <v>44097</v>
      </c>
      <c r="O755" s="96" t="str">
        <f>IFERROR(__xludf.DUMMYFUNCTION("""COMPUTED_VALUE"""),"MATIAT LOVE")</f>
        <v>MATIAT LOVE</v>
      </c>
      <c r="P755" s="96" t="str">
        <f>IFERROR(__xludf.DUMMYFUNCTION("""COMPUTED_VALUE"""),"ADVANCE")</f>
        <v>ADVANCE</v>
      </c>
      <c r="Q755" s="99">
        <f>IFERROR(__xludf.DUMMYFUNCTION("""COMPUTED_VALUE"""),20000.0)</f>
        <v>20000</v>
      </c>
      <c r="R755" s="96" t="str">
        <f>IFERROR(__xludf.DUMMYFUNCTION("""COMPUTED_VALUE"""),"Prefinance")</f>
        <v>Prefinance</v>
      </c>
      <c r="S755" s="99">
        <f>IFERROR(__xludf.DUMMYFUNCTION("""COMPUTED_VALUE"""),0.0)</f>
        <v>0</v>
      </c>
      <c r="T755" s="99">
        <f>IFERROR(__xludf.DUMMYFUNCTION("""COMPUTED_VALUE"""),0.0)</f>
        <v>0</v>
      </c>
      <c r="U755" s="99">
        <f>IFERROR(__xludf.DUMMYFUNCTION("""COMPUTED_VALUE"""),0.0)</f>
        <v>0</v>
      </c>
      <c r="V755" s="99">
        <f>IFERROR(__xludf.DUMMYFUNCTION("""COMPUTED_VALUE"""),0.0)</f>
        <v>0</v>
      </c>
      <c r="W755" s="99">
        <f>IFERROR(__xludf.DUMMYFUNCTION("""COMPUTED_VALUE"""),0.0)</f>
        <v>0</v>
      </c>
    </row>
    <row r="756">
      <c r="N756" s="98">
        <f>IFERROR(__xludf.DUMMYFUNCTION("""COMPUTED_VALUE"""),44097.0)</f>
        <v>44097</v>
      </c>
      <c r="O756" s="96" t="str">
        <f>IFERROR(__xludf.DUMMYFUNCTION("""COMPUTED_VALUE"""),"DIRECTOR")</f>
        <v>DIRECTOR</v>
      </c>
      <c r="P756" s="96" t="str">
        <f>IFERROR(__xludf.DUMMYFUNCTION("""COMPUTED_VALUE"""),"TRANSFERED A.D. FREDERICK")</f>
        <v>TRANSFERED A.D. FREDERICK</v>
      </c>
      <c r="Q756" s="99">
        <f>IFERROR(__xludf.DUMMYFUNCTION("""COMPUTED_VALUE"""),424000.0)</f>
        <v>424000</v>
      </c>
      <c r="R756" s="96" t="str">
        <f>IFERROR(__xludf.DUMMYFUNCTION("""COMPUTED_VALUE"""),"From Bank")</f>
        <v>From Bank</v>
      </c>
      <c r="S756" s="99">
        <f>IFERROR(__xludf.DUMMYFUNCTION("""COMPUTED_VALUE"""),0.0)</f>
        <v>0</v>
      </c>
      <c r="T756" s="99">
        <f>IFERROR(__xludf.DUMMYFUNCTION("""COMPUTED_VALUE"""),0.0)</f>
        <v>0</v>
      </c>
      <c r="U756" s="99">
        <f>IFERROR(__xludf.DUMMYFUNCTION("""COMPUTED_VALUE"""),424000.0)</f>
        <v>424000</v>
      </c>
      <c r="V756" s="99">
        <f>IFERROR(__xludf.DUMMYFUNCTION("""COMPUTED_VALUE"""),0.0)</f>
        <v>0</v>
      </c>
      <c r="W756" s="99">
        <f>IFERROR(__xludf.DUMMYFUNCTION("""COMPUTED_VALUE"""),0.0)</f>
        <v>0</v>
      </c>
    </row>
    <row r="757">
      <c r="N757" s="98">
        <f>IFERROR(__xludf.DUMMYFUNCTION("""COMPUTED_VALUE"""),44097.0)</f>
        <v>44097</v>
      </c>
      <c r="O757" s="96" t="str">
        <f>IFERROR(__xludf.DUMMYFUNCTION("""COMPUTED_VALUE"""),"OTU KOKO KEIBO")</f>
        <v>OTU KOKO KEIBO</v>
      </c>
      <c r="P757" s="96" t="str">
        <f>IFERROR(__xludf.DUMMYFUNCTION("""COMPUTED_VALUE"""),"TRANSPORT")</f>
        <v>TRANSPORT</v>
      </c>
      <c r="Q757" s="99">
        <f>IFERROR(__xludf.DUMMYFUNCTION("""COMPUTED_VALUE"""),1600000.0)</f>
        <v>1600000</v>
      </c>
      <c r="R757" s="96" t="str">
        <f>IFERROR(__xludf.DUMMYFUNCTION("""COMPUTED_VALUE"""),"Prefinance")</f>
        <v>Prefinance</v>
      </c>
      <c r="S757" s="99">
        <f>IFERROR(__xludf.DUMMYFUNCTION("""COMPUTED_VALUE"""),0.0)</f>
        <v>0</v>
      </c>
      <c r="T757" s="99">
        <f>IFERROR(__xludf.DUMMYFUNCTION("""COMPUTED_VALUE"""),0.0)</f>
        <v>0</v>
      </c>
      <c r="U757" s="99">
        <f>IFERROR(__xludf.DUMMYFUNCTION("""COMPUTED_VALUE"""),0.0)</f>
        <v>0</v>
      </c>
      <c r="V757" s="99">
        <f>IFERROR(__xludf.DUMMYFUNCTION("""COMPUTED_VALUE"""),0.0)</f>
        <v>0</v>
      </c>
      <c r="W757" s="99">
        <f>IFERROR(__xludf.DUMMYFUNCTION("""COMPUTED_VALUE"""),0.0)</f>
        <v>0</v>
      </c>
    </row>
    <row r="758">
      <c r="N758" s="98">
        <f>IFERROR(__xludf.DUMMYFUNCTION("""COMPUTED_VALUE"""),44097.0)</f>
        <v>44097</v>
      </c>
      <c r="O758" s="96" t="str">
        <f>IFERROR(__xludf.DUMMYFUNCTION("""COMPUTED_VALUE"""),"DIRECTOR")</f>
        <v>DIRECTOR</v>
      </c>
      <c r="P758" s="96" t="str">
        <f>IFERROR(__xludf.DUMMYFUNCTION("""COMPUTED_VALUE"""),"CASH-IN")</f>
        <v>CASH-IN</v>
      </c>
      <c r="Q758" s="99">
        <f>IFERROR(__xludf.DUMMYFUNCTION("""COMPUTED_VALUE"""),3000000.0)</f>
        <v>3000000</v>
      </c>
      <c r="R758" s="96" t="str">
        <f>IFERROR(__xludf.DUMMYFUNCTION("""COMPUTED_VALUE"""),"From Bank")</f>
        <v>From Bank</v>
      </c>
      <c r="S758" s="99">
        <f>IFERROR(__xludf.DUMMYFUNCTION("""COMPUTED_VALUE"""),0.0)</f>
        <v>0</v>
      </c>
      <c r="T758" s="99">
        <f>IFERROR(__xludf.DUMMYFUNCTION("""COMPUTED_VALUE"""),0.0)</f>
        <v>0</v>
      </c>
      <c r="U758" s="99">
        <f>IFERROR(__xludf.DUMMYFUNCTION("""COMPUTED_VALUE"""),3000000.0)</f>
        <v>3000000</v>
      </c>
      <c r="V758" s="99">
        <f>IFERROR(__xludf.DUMMYFUNCTION("""COMPUTED_VALUE"""),0.0)</f>
        <v>0</v>
      </c>
      <c r="W758" s="99">
        <f>IFERROR(__xludf.DUMMYFUNCTION("""COMPUTED_VALUE"""),0.0)</f>
        <v>0</v>
      </c>
    </row>
    <row r="759">
      <c r="N759" s="98">
        <f>IFERROR(__xludf.DUMMYFUNCTION("""COMPUTED_VALUE"""),44097.0)</f>
        <v>44097</v>
      </c>
      <c r="O759" s="96" t="str">
        <f>IFERROR(__xludf.DUMMYFUNCTION("""COMPUTED_VALUE"""),"BLESSING CHAPMAN")</f>
        <v>BLESSING CHAPMAN</v>
      </c>
      <c r="P759" s="96" t="str">
        <f>IFERROR(__xludf.DUMMYFUNCTION("""COMPUTED_VALUE"""),"CASH COLLECTED")</f>
        <v>CASH COLLECTED</v>
      </c>
      <c r="Q759" s="99">
        <f>IFERROR(__xludf.DUMMYFUNCTION("""COMPUTED_VALUE"""),14000.0)</f>
        <v>14000</v>
      </c>
      <c r="R759" s="96" t="str">
        <f>IFERROR(__xludf.DUMMYFUNCTION("""COMPUTED_VALUE"""),"Petty Cash")</f>
        <v>Petty Cash</v>
      </c>
      <c r="S759" s="99">
        <f>IFERROR(__xludf.DUMMYFUNCTION("""COMPUTED_VALUE"""),0.0)</f>
        <v>0</v>
      </c>
      <c r="T759" s="99">
        <f>IFERROR(__xludf.DUMMYFUNCTION("""COMPUTED_VALUE"""),0.0)</f>
        <v>0</v>
      </c>
      <c r="U759" s="99">
        <f>IFERROR(__xludf.DUMMYFUNCTION("""COMPUTED_VALUE"""),0.0)</f>
        <v>0</v>
      </c>
      <c r="V759" s="99">
        <f>IFERROR(__xludf.DUMMYFUNCTION("""COMPUTED_VALUE"""),14000.0)</f>
        <v>14000</v>
      </c>
      <c r="W759" s="99">
        <f>IFERROR(__xludf.DUMMYFUNCTION("""COMPUTED_VALUE"""),0.0)</f>
        <v>0</v>
      </c>
    </row>
    <row r="760">
      <c r="N760" s="98">
        <f>IFERROR(__xludf.DUMMYFUNCTION("""COMPUTED_VALUE"""),44098.0)</f>
        <v>44098</v>
      </c>
      <c r="O760" s="96" t="str">
        <f>IFERROR(__xludf.DUMMYFUNCTION("""COMPUTED_VALUE"""),"BLESSING CHAPMAN")</f>
        <v>BLESSING CHAPMAN</v>
      </c>
      <c r="P760" s="96" t="str">
        <f>IFERROR(__xludf.DUMMYFUNCTION("""COMPUTED_VALUE"""),"DIRECTOR'S CARD")</f>
        <v>DIRECTOR'S CARD</v>
      </c>
      <c r="Q760" s="99">
        <f>IFERROR(__xludf.DUMMYFUNCTION("""COMPUTED_VALUE"""),500.0)</f>
        <v>500</v>
      </c>
      <c r="R760" s="96" t="str">
        <f>IFERROR(__xludf.DUMMYFUNCTION("""COMPUTED_VALUE"""),"General Expenses")</f>
        <v>General Expenses</v>
      </c>
      <c r="S760" s="99">
        <f>IFERROR(__xludf.DUMMYFUNCTION("""COMPUTED_VALUE"""),0.0)</f>
        <v>0</v>
      </c>
      <c r="T760" s="99">
        <f>IFERROR(__xludf.DUMMYFUNCTION("""COMPUTED_VALUE"""),500.0)</f>
        <v>500</v>
      </c>
      <c r="U760" s="99">
        <f>IFERROR(__xludf.DUMMYFUNCTION("""COMPUTED_VALUE"""),0.0)</f>
        <v>0</v>
      </c>
      <c r="V760" s="99">
        <f>IFERROR(__xludf.DUMMYFUNCTION("""COMPUTED_VALUE"""),0.0)</f>
        <v>0</v>
      </c>
      <c r="W760" s="99">
        <f>IFERROR(__xludf.DUMMYFUNCTION("""COMPUTED_VALUE"""),0.0)</f>
        <v>0</v>
      </c>
    </row>
    <row r="761">
      <c r="N761" s="98">
        <f>IFERROR(__xludf.DUMMYFUNCTION("""COMPUTED_VALUE"""),44098.0)</f>
        <v>44098</v>
      </c>
      <c r="O761" s="96" t="str">
        <f>IFERROR(__xludf.DUMMYFUNCTION("""COMPUTED_VALUE"""),"LABOUR  BOY")</f>
        <v>LABOUR  BOY</v>
      </c>
      <c r="P761" s="96" t="str">
        <f>IFERROR(__xludf.DUMMYFUNCTION("""COMPUTED_VALUE"""),"WAGES ADVANCE")</f>
        <v>WAGES ADVANCE</v>
      </c>
      <c r="Q761" s="99">
        <f>IFERROR(__xludf.DUMMYFUNCTION("""COMPUTED_VALUE"""),4000.0)</f>
        <v>4000</v>
      </c>
      <c r="R761" s="96" t="str">
        <f>IFERROR(__xludf.DUMMYFUNCTION("""COMPUTED_VALUE"""),"General Expenses")</f>
        <v>General Expenses</v>
      </c>
      <c r="S761" s="99">
        <f>IFERROR(__xludf.DUMMYFUNCTION("""COMPUTED_VALUE"""),0.0)</f>
        <v>0</v>
      </c>
      <c r="T761" s="99">
        <f>IFERROR(__xludf.DUMMYFUNCTION("""COMPUTED_VALUE"""),4000.0)</f>
        <v>4000</v>
      </c>
      <c r="U761" s="99">
        <f>IFERROR(__xludf.DUMMYFUNCTION("""COMPUTED_VALUE"""),0.0)</f>
        <v>0</v>
      </c>
      <c r="V761" s="99">
        <f>IFERROR(__xludf.DUMMYFUNCTION("""COMPUTED_VALUE"""),0.0)</f>
        <v>0</v>
      </c>
      <c r="W761" s="99">
        <f>IFERROR(__xludf.DUMMYFUNCTION("""COMPUTED_VALUE"""),0.0)</f>
        <v>0</v>
      </c>
    </row>
    <row r="762">
      <c r="N762" s="98">
        <f>IFERROR(__xludf.DUMMYFUNCTION("""COMPUTED_VALUE"""),44098.0)</f>
        <v>44098</v>
      </c>
      <c r="O762" s="96" t="str">
        <f>IFERROR(__xludf.DUMMYFUNCTION("""COMPUTED_VALUE"""),"MANAGER")</f>
        <v>MANAGER</v>
      </c>
      <c r="P762" s="96" t="str">
        <f>IFERROR(__xludf.DUMMYFUNCTION("""COMPUTED_VALUE"""),"SALARY ADVANCE")</f>
        <v>SALARY ADVANCE</v>
      </c>
      <c r="Q762" s="99">
        <f>IFERROR(__xludf.DUMMYFUNCTION("""COMPUTED_VALUE"""),7000.0)</f>
        <v>7000</v>
      </c>
      <c r="R762" s="96" t="str">
        <f>IFERROR(__xludf.DUMMYFUNCTION("""COMPUTED_VALUE"""),"General Expenses")</f>
        <v>General Expenses</v>
      </c>
      <c r="S762" s="99">
        <f>IFERROR(__xludf.DUMMYFUNCTION("""COMPUTED_VALUE"""),0.0)</f>
        <v>0</v>
      </c>
      <c r="T762" s="99">
        <f>IFERROR(__xludf.DUMMYFUNCTION("""COMPUTED_VALUE"""),7000.0)</f>
        <v>7000</v>
      </c>
      <c r="U762" s="99">
        <f>IFERROR(__xludf.DUMMYFUNCTION("""COMPUTED_VALUE"""),0.0)</f>
        <v>0</v>
      </c>
      <c r="V762" s="99">
        <f>IFERROR(__xludf.DUMMYFUNCTION("""COMPUTED_VALUE"""),0.0)</f>
        <v>0</v>
      </c>
      <c r="W762" s="99">
        <f>IFERROR(__xludf.DUMMYFUNCTION("""COMPUTED_VALUE"""),0.0)</f>
        <v>0</v>
      </c>
    </row>
    <row r="763">
      <c r="N763" s="98">
        <f>IFERROR(__xludf.DUMMYFUNCTION("""COMPUTED_VALUE"""),44098.0)</f>
        <v>44098</v>
      </c>
      <c r="O763" s="96" t="str">
        <f>IFERROR(__xludf.DUMMYFUNCTION("""COMPUTED_VALUE"""),"BLESSING CHAPMAN")</f>
        <v>BLESSING CHAPMAN</v>
      </c>
      <c r="P763" s="96" t="str">
        <f>IFERROR(__xludf.DUMMYFUNCTION("""COMPUTED_VALUE"""),"CASH COLLECTED")</f>
        <v>CASH COLLECTED</v>
      </c>
      <c r="Q763" s="99">
        <f>IFERROR(__xludf.DUMMYFUNCTION("""COMPUTED_VALUE"""),11500.0)</f>
        <v>11500</v>
      </c>
      <c r="R763" s="96" t="str">
        <f>IFERROR(__xludf.DUMMYFUNCTION("""COMPUTED_VALUE"""),"Petty Cash")</f>
        <v>Petty Cash</v>
      </c>
      <c r="S763" s="99">
        <f>IFERROR(__xludf.DUMMYFUNCTION("""COMPUTED_VALUE"""),0.0)</f>
        <v>0</v>
      </c>
      <c r="T763" s="99">
        <f>IFERROR(__xludf.DUMMYFUNCTION("""COMPUTED_VALUE"""),0.0)</f>
        <v>0</v>
      </c>
      <c r="U763" s="99">
        <f>IFERROR(__xludf.DUMMYFUNCTION("""COMPUTED_VALUE"""),0.0)</f>
        <v>0</v>
      </c>
      <c r="V763" s="99">
        <f>IFERROR(__xludf.DUMMYFUNCTION("""COMPUTED_VALUE"""),11500.0)</f>
        <v>11500</v>
      </c>
      <c r="W763" s="99">
        <f>IFERROR(__xludf.DUMMYFUNCTION("""COMPUTED_VALUE"""),0.0)</f>
        <v>0</v>
      </c>
    </row>
    <row r="764">
      <c r="N764" s="98">
        <f>IFERROR(__xludf.DUMMYFUNCTION("""COMPUTED_VALUE"""),44099.0)</f>
        <v>44099</v>
      </c>
      <c r="O764" s="96" t="str">
        <f>IFERROR(__xludf.DUMMYFUNCTION("""COMPUTED_VALUE"""),"DIRECTOR")</f>
        <v>DIRECTOR</v>
      </c>
      <c r="P764" s="96" t="str">
        <f>IFERROR(__xludf.DUMMYFUNCTION("""COMPUTED_VALUE"""),"PAYMENT")</f>
        <v>PAYMENT</v>
      </c>
      <c r="Q764" s="99">
        <f>IFERROR(__xludf.DUMMYFUNCTION("""COMPUTED_VALUE"""),391500.0)</f>
        <v>391500</v>
      </c>
      <c r="R764" s="96" t="str">
        <f>IFERROR(__xludf.DUMMYFUNCTION("""COMPUTED_VALUE"""),"From Bank")</f>
        <v>From Bank</v>
      </c>
      <c r="S764" s="99">
        <f>IFERROR(__xludf.DUMMYFUNCTION("""COMPUTED_VALUE"""),0.0)</f>
        <v>0</v>
      </c>
      <c r="T764" s="99">
        <f>IFERROR(__xludf.DUMMYFUNCTION("""COMPUTED_VALUE"""),0.0)</f>
        <v>0</v>
      </c>
      <c r="U764" s="99">
        <f>IFERROR(__xludf.DUMMYFUNCTION("""COMPUTED_VALUE"""),391500.0)</f>
        <v>391500</v>
      </c>
      <c r="V764" s="99">
        <f>IFERROR(__xludf.DUMMYFUNCTION("""COMPUTED_VALUE"""),0.0)</f>
        <v>0</v>
      </c>
      <c r="W764" s="99">
        <f>IFERROR(__xludf.DUMMYFUNCTION("""COMPUTED_VALUE"""),0.0)</f>
        <v>0</v>
      </c>
    </row>
    <row r="765">
      <c r="N765" s="98">
        <f>IFERROR(__xludf.DUMMYFUNCTION("""COMPUTED_VALUE"""),44099.0)</f>
        <v>44099</v>
      </c>
      <c r="O765" s="96" t="str">
        <f>IFERROR(__xludf.DUMMYFUNCTION("""COMPUTED_VALUE"""),"DIRECTOR")</f>
        <v>DIRECTOR</v>
      </c>
      <c r="P765" s="96" t="str">
        <f>IFERROR(__xludf.DUMMYFUNCTION("""COMPUTED_VALUE"""),"PAYMENT")</f>
        <v>PAYMENT</v>
      </c>
      <c r="Q765" s="99">
        <f>IFERROR(__xludf.DUMMYFUNCTION("""COMPUTED_VALUE"""),391500.0)</f>
        <v>391500</v>
      </c>
      <c r="R765" s="96" t="str">
        <f>IFERROR(__xludf.DUMMYFUNCTION("""COMPUTED_VALUE"""),"Petty Cash")</f>
        <v>Petty Cash</v>
      </c>
      <c r="S765" s="99">
        <f>IFERROR(__xludf.DUMMYFUNCTION("""COMPUTED_VALUE"""),0.0)</f>
        <v>0</v>
      </c>
      <c r="T765" s="99">
        <f>IFERROR(__xludf.DUMMYFUNCTION("""COMPUTED_VALUE"""),0.0)</f>
        <v>0</v>
      </c>
      <c r="U765" s="99">
        <f>IFERROR(__xludf.DUMMYFUNCTION("""COMPUTED_VALUE"""),0.0)</f>
        <v>0</v>
      </c>
      <c r="V765" s="99">
        <f>IFERROR(__xludf.DUMMYFUNCTION("""COMPUTED_VALUE"""),391500.0)</f>
        <v>391500</v>
      </c>
      <c r="W765" s="99">
        <f>IFERROR(__xludf.DUMMYFUNCTION("""COMPUTED_VALUE"""),0.0)</f>
        <v>0</v>
      </c>
    </row>
    <row r="766">
      <c r="N766" s="98">
        <f>IFERROR(__xludf.DUMMYFUNCTION("""COMPUTED_VALUE"""),44099.0)</f>
        <v>44099</v>
      </c>
      <c r="O766" s="96" t="str">
        <f>IFERROR(__xludf.DUMMYFUNCTION("""COMPUTED_VALUE"""),"LABOUR  BOY")</f>
        <v>LABOUR  BOY</v>
      </c>
      <c r="P766" s="96" t="str">
        <f>IFERROR(__xludf.DUMMYFUNCTION("""COMPUTED_VALUE"""),"WAGES ADVANCE")</f>
        <v>WAGES ADVANCE</v>
      </c>
      <c r="Q766" s="99">
        <f>IFERROR(__xludf.DUMMYFUNCTION("""COMPUTED_VALUE"""),8000.0)</f>
        <v>8000</v>
      </c>
      <c r="R766" s="96" t="str">
        <f>IFERROR(__xludf.DUMMYFUNCTION("""COMPUTED_VALUE"""),"General Expenses")</f>
        <v>General Expenses</v>
      </c>
      <c r="S766" s="99">
        <f>IFERROR(__xludf.DUMMYFUNCTION("""COMPUTED_VALUE"""),0.0)</f>
        <v>0</v>
      </c>
      <c r="T766" s="99">
        <f>IFERROR(__xludf.DUMMYFUNCTION("""COMPUTED_VALUE"""),8000.0)</f>
        <v>8000</v>
      </c>
      <c r="U766" s="99">
        <f>IFERROR(__xludf.DUMMYFUNCTION("""COMPUTED_VALUE"""),0.0)</f>
        <v>0</v>
      </c>
      <c r="V766" s="99">
        <f>IFERROR(__xludf.DUMMYFUNCTION("""COMPUTED_VALUE"""),0.0)</f>
        <v>0</v>
      </c>
      <c r="W766" s="99">
        <f>IFERROR(__xludf.DUMMYFUNCTION("""COMPUTED_VALUE"""),0.0)</f>
        <v>0</v>
      </c>
    </row>
    <row r="767">
      <c r="N767" s="98">
        <f>IFERROR(__xludf.DUMMYFUNCTION("""COMPUTED_VALUE"""),44099.0)</f>
        <v>44099</v>
      </c>
      <c r="O767" s="96" t="str">
        <f>IFERROR(__xludf.DUMMYFUNCTION("""COMPUTED_VALUE"""),"ROBENSON")</f>
        <v>ROBENSON</v>
      </c>
      <c r="P767" s="96" t="str">
        <f>IFERROR(__xludf.DUMMYFUNCTION("""COMPUTED_VALUE"""),"DIRECTORS ORDER")</f>
        <v>DIRECTORS ORDER</v>
      </c>
      <c r="Q767" s="99">
        <f>IFERROR(__xludf.DUMMYFUNCTION("""COMPUTED_VALUE"""),20000.0)</f>
        <v>20000</v>
      </c>
      <c r="R767" s="96" t="str">
        <f>IFERROR(__xludf.DUMMYFUNCTION("""COMPUTED_VALUE"""),"General Expenses")</f>
        <v>General Expenses</v>
      </c>
      <c r="S767" s="99">
        <f>IFERROR(__xludf.DUMMYFUNCTION("""COMPUTED_VALUE"""),0.0)</f>
        <v>0</v>
      </c>
      <c r="T767" s="99">
        <f>IFERROR(__xludf.DUMMYFUNCTION("""COMPUTED_VALUE"""),20000.0)</f>
        <v>20000</v>
      </c>
      <c r="U767" s="99">
        <f>IFERROR(__xludf.DUMMYFUNCTION("""COMPUTED_VALUE"""),0.0)</f>
        <v>0</v>
      </c>
      <c r="V767" s="99">
        <f>IFERROR(__xludf.DUMMYFUNCTION("""COMPUTED_VALUE"""),0.0)</f>
        <v>0</v>
      </c>
      <c r="W767" s="99">
        <f>IFERROR(__xludf.DUMMYFUNCTION("""COMPUTED_VALUE"""),0.0)</f>
        <v>0</v>
      </c>
    </row>
    <row r="768">
      <c r="N768" s="98">
        <f>IFERROR(__xludf.DUMMYFUNCTION("""COMPUTED_VALUE"""),44099.0)</f>
        <v>44099</v>
      </c>
      <c r="O768" s="96" t="str">
        <f>IFERROR(__xludf.DUMMYFUNCTION("""COMPUTED_VALUE"""),"BLESSING CHAPMAN")</f>
        <v>BLESSING CHAPMAN</v>
      </c>
      <c r="P768" s="96" t="str">
        <f>IFERROR(__xludf.DUMMYFUNCTION("""COMPUTED_VALUE"""),"CASH COLLECTED")</f>
        <v>CASH COLLECTED</v>
      </c>
      <c r="Q768" s="99">
        <f>IFERROR(__xludf.DUMMYFUNCTION("""COMPUTED_VALUE"""),1068700.0)</f>
        <v>1068700</v>
      </c>
      <c r="R768" s="96" t="str">
        <f>IFERROR(__xludf.DUMMYFUNCTION("""COMPUTED_VALUE"""),"Petty Cash")</f>
        <v>Petty Cash</v>
      </c>
      <c r="S768" s="99">
        <f>IFERROR(__xludf.DUMMYFUNCTION("""COMPUTED_VALUE"""),0.0)</f>
        <v>0</v>
      </c>
      <c r="T768" s="99">
        <f>IFERROR(__xludf.DUMMYFUNCTION("""COMPUTED_VALUE"""),0.0)</f>
        <v>0</v>
      </c>
      <c r="U768" s="99">
        <f>IFERROR(__xludf.DUMMYFUNCTION("""COMPUTED_VALUE"""),0.0)</f>
        <v>0</v>
      </c>
      <c r="V768" s="99">
        <f>IFERROR(__xludf.DUMMYFUNCTION("""COMPUTED_VALUE"""),1068700.0)</f>
        <v>1068700</v>
      </c>
      <c r="W768" s="99">
        <f>IFERROR(__xludf.DUMMYFUNCTION("""COMPUTED_VALUE"""),0.0)</f>
        <v>0</v>
      </c>
    </row>
    <row r="769">
      <c r="N769" s="98">
        <f>IFERROR(__xludf.DUMMYFUNCTION("""COMPUTED_VALUE"""),44099.0)</f>
        <v>44099</v>
      </c>
      <c r="O769" s="96" t="str">
        <f>IFERROR(__xludf.DUMMYFUNCTION("""COMPUTED_VALUE"""),"BLESSING CHAPMAN")</f>
        <v>BLESSING CHAPMAN</v>
      </c>
      <c r="P769" s="96" t="str">
        <f>IFERROR(__xludf.DUMMYFUNCTION("""COMPUTED_VALUE"""),"REFUND")</f>
        <v>REFUND</v>
      </c>
      <c r="Q769" s="99">
        <f>IFERROR(__xludf.DUMMYFUNCTION("""COMPUTED_VALUE"""),1040700.0)</f>
        <v>1040700</v>
      </c>
      <c r="R769" s="96" t="str">
        <f>IFERROR(__xludf.DUMMYFUNCTION("""COMPUTED_VALUE"""),"CHAPMAN Refund")</f>
        <v>CHAPMAN Refund</v>
      </c>
      <c r="S769" s="99">
        <f>IFERROR(__xludf.DUMMYFUNCTION("""COMPUTED_VALUE"""),0.0)</f>
        <v>0</v>
      </c>
      <c r="T769" s="99">
        <f>IFERROR(__xludf.DUMMYFUNCTION("""COMPUTED_VALUE"""),0.0)</f>
        <v>0</v>
      </c>
      <c r="U769" s="99">
        <f>IFERROR(__xludf.DUMMYFUNCTION("""COMPUTED_VALUE"""),0.0)</f>
        <v>0</v>
      </c>
      <c r="V769" s="99">
        <f>IFERROR(__xludf.DUMMYFUNCTION("""COMPUTED_VALUE"""),0.0)</f>
        <v>0</v>
      </c>
      <c r="W769" s="99">
        <f>IFERROR(__xludf.DUMMYFUNCTION("""COMPUTED_VALUE"""),1040700.0)</f>
        <v>1040700</v>
      </c>
    </row>
    <row r="770">
      <c r="N770" s="98">
        <f>IFERROR(__xludf.DUMMYFUNCTION("""COMPUTED_VALUE"""),44099.0)</f>
        <v>44099</v>
      </c>
      <c r="O770" s="96" t="str">
        <f>IFERROR(__xludf.DUMMYFUNCTION("""COMPUTED_VALUE"""),"DIRECTOR")</f>
        <v>DIRECTOR</v>
      </c>
      <c r="P770" s="96" t="str">
        <f>IFERROR(__xludf.DUMMYFUNCTION("""COMPUTED_VALUE"""),"CASH-IN")</f>
        <v>CASH-IN</v>
      </c>
      <c r="Q770" s="99">
        <f>IFERROR(__xludf.DUMMYFUNCTION("""COMPUTED_VALUE"""),970000.0)</f>
        <v>970000</v>
      </c>
      <c r="R770" s="96" t="str">
        <f>IFERROR(__xludf.DUMMYFUNCTION("""COMPUTED_VALUE"""),"From Bank")</f>
        <v>From Bank</v>
      </c>
      <c r="S770" s="99">
        <f>IFERROR(__xludf.DUMMYFUNCTION("""COMPUTED_VALUE"""),0.0)</f>
        <v>0</v>
      </c>
      <c r="T770" s="99">
        <f>IFERROR(__xludf.DUMMYFUNCTION("""COMPUTED_VALUE"""),0.0)</f>
        <v>0</v>
      </c>
      <c r="U770" s="99">
        <f>IFERROR(__xludf.DUMMYFUNCTION("""COMPUTED_VALUE"""),970000.0)</f>
        <v>970000</v>
      </c>
      <c r="V770" s="99">
        <f>IFERROR(__xludf.DUMMYFUNCTION("""COMPUTED_VALUE"""),0.0)</f>
        <v>0</v>
      </c>
      <c r="W770" s="99">
        <f>IFERROR(__xludf.DUMMYFUNCTION("""COMPUTED_VALUE"""),0.0)</f>
        <v>0</v>
      </c>
    </row>
    <row r="771">
      <c r="N771" s="98">
        <f>IFERROR(__xludf.DUMMYFUNCTION("""COMPUTED_VALUE"""),44099.0)</f>
        <v>44099</v>
      </c>
      <c r="O771" s="96" t="str">
        <f>IFERROR(__xludf.DUMMYFUNCTION("""COMPUTED_VALUE"""),"ABANG. MOSES")</f>
        <v>ABANG. MOSES</v>
      </c>
      <c r="P771" s="96" t="str">
        <f>IFERROR(__xludf.DUMMYFUNCTION("""COMPUTED_VALUE"""),"ADVANCE")</f>
        <v>ADVANCE</v>
      </c>
      <c r="Q771" s="99">
        <f>IFERROR(__xludf.DUMMYFUNCTION("""COMPUTED_VALUE"""),1000000.0)</f>
        <v>1000000</v>
      </c>
      <c r="R771" s="96" t="str">
        <f>IFERROR(__xludf.DUMMYFUNCTION("""COMPUTED_VALUE"""),"Prefinance")</f>
        <v>Prefinance</v>
      </c>
      <c r="S771" s="99">
        <f>IFERROR(__xludf.DUMMYFUNCTION("""COMPUTED_VALUE"""),0.0)</f>
        <v>0</v>
      </c>
      <c r="T771" s="99">
        <f>IFERROR(__xludf.DUMMYFUNCTION("""COMPUTED_VALUE"""),0.0)</f>
        <v>0</v>
      </c>
      <c r="U771" s="99">
        <f>IFERROR(__xludf.DUMMYFUNCTION("""COMPUTED_VALUE"""),0.0)</f>
        <v>0</v>
      </c>
      <c r="V771" s="99">
        <f>IFERROR(__xludf.DUMMYFUNCTION("""COMPUTED_VALUE"""),0.0)</f>
        <v>0</v>
      </c>
      <c r="W771" s="99">
        <f>IFERROR(__xludf.DUMMYFUNCTION("""COMPUTED_VALUE"""),0.0)</f>
        <v>0</v>
      </c>
    </row>
    <row r="772">
      <c r="N772" s="98">
        <f>IFERROR(__xludf.DUMMYFUNCTION("""COMPUTED_VALUE"""),44099.0)</f>
        <v>44099</v>
      </c>
      <c r="O772" s="96" t="str">
        <f>IFERROR(__xludf.DUMMYFUNCTION("""COMPUTED_VALUE"""),"DIRECTOR")</f>
        <v>DIRECTOR</v>
      </c>
      <c r="P772" s="96" t="str">
        <f>IFERROR(__xludf.DUMMYFUNCTION("""COMPUTED_VALUE"""),"TRANSFERED")</f>
        <v>TRANSFERED</v>
      </c>
      <c r="Q772" s="99">
        <f>IFERROR(__xludf.DUMMYFUNCTION("""COMPUTED_VALUE"""),1000000.0)</f>
        <v>1000000</v>
      </c>
      <c r="R772" s="96" t="str">
        <f>IFERROR(__xludf.DUMMYFUNCTION("""COMPUTED_VALUE"""),"From Bank")</f>
        <v>From Bank</v>
      </c>
      <c r="S772" s="99">
        <f>IFERROR(__xludf.DUMMYFUNCTION("""COMPUTED_VALUE"""),0.0)</f>
        <v>0</v>
      </c>
      <c r="T772" s="99">
        <f>IFERROR(__xludf.DUMMYFUNCTION("""COMPUTED_VALUE"""),0.0)</f>
        <v>0</v>
      </c>
      <c r="U772" s="99">
        <f>IFERROR(__xludf.DUMMYFUNCTION("""COMPUTED_VALUE"""),1000000.0)</f>
        <v>1000000</v>
      </c>
      <c r="V772" s="99">
        <f>IFERROR(__xludf.DUMMYFUNCTION("""COMPUTED_VALUE"""),0.0)</f>
        <v>0</v>
      </c>
      <c r="W772" s="99">
        <f>IFERROR(__xludf.DUMMYFUNCTION("""COMPUTED_VALUE"""),0.0)</f>
        <v>0</v>
      </c>
    </row>
    <row r="773">
      <c r="N773" s="98">
        <f>IFERROR(__xludf.DUMMYFUNCTION("""COMPUTED_VALUE"""),44100.0)</f>
        <v>44100</v>
      </c>
      <c r="O773" s="96" t="str">
        <f>IFERROR(__xludf.DUMMYFUNCTION("""COMPUTED_VALUE""")," OP OCHICHIE")</f>
        <v> OP OCHICHIE</v>
      </c>
      <c r="P773" s="96" t="str">
        <f>IFERROR(__xludf.DUMMYFUNCTION("""COMPUTED_VALUE"""),"transport")</f>
        <v>transport</v>
      </c>
      <c r="Q773" s="99">
        <f>IFERROR(__xludf.DUMMYFUNCTION("""COMPUTED_VALUE"""),10000.0)</f>
        <v>10000</v>
      </c>
      <c r="R773" s="96" t="str">
        <f>IFERROR(__xludf.DUMMYFUNCTION("""COMPUTED_VALUE"""),"Prefinance")</f>
        <v>Prefinance</v>
      </c>
      <c r="S773" s="99">
        <f>IFERROR(__xludf.DUMMYFUNCTION("""COMPUTED_VALUE"""),0.0)</f>
        <v>0</v>
      </c>
      <c r="T773" s="99">
        <f>IFERROR(__xludf.DUMMYFUNCTION("""COMPUTED_VALUE"""),0.0)</f>
        <v>0</v>
      </c>
      <c r="U773" s="99">
        <f>IFERROR(__xludf.DUMMYFUNCTION("""COMPUTED_VALUE"""),0.0)</f>
        <v>0</v>
      </c>
      <c r="V773" s="99">
        <f>IFERROR(__xludf.DUMMYFUNCTION("""COMPUTED_VALUE"""),0.0)</f>
        <v>0</v>
      </c>
      <c r="W773" s="99">
        <f>IFERROR(__xludf.DUMMYFUNCTION("""COMPUTED_VALUE"""),0.0)</f>
        <v>0</v>
      </c>
    </row>
    <row r="774">
      <c r="N774" s="98">
        <f>IFERROR(__xludf.DUMMYFUNCTION("""COMPUTED_VALUE"""),44100.0)</f>
        <v>44100</v>
      </c>
      <c r="O774" s="96" t="str">
        <f>IFERROR(__xludf.DUMMYFUNCTION("""COMPUTED_VALUE"""),"R.  MAXWELL AGRO")</f>
        <v>R.  MAXWELL AGRO</v>
      </c>
      <c r="P774" s="96" t="str">
        <f>IFERROR(__xludf.DUMMYFUNCTION("""COMPUTED_VALUE"""),"advance")</f>
        <v>advance</v>
      </c>
      <c r="Q774" s="99">
        <f>IFERROR(__xludf.DUMMYFUNCTION("""COMPUTED_VALUE"""),7980000.0)</f>
        <v>7980000</v>
      </c>
      <c r="R774" s="96" t="str">
        <f>IFERROR(__xludf.DUMMYFUNCTION("""COMPUTED_VALUE"""),"Prefinance")</f>
        <v>Prefinance</v>
      </c>
      <c r="S774" s="99">
        <f>IFERROR(__xludf.DUMMYFUNCTION("""COMPUTED_VALUE"""),0.0)</f>
        <v>0</v>
      </c>
      <c r="T774" s="99">
        <f>IFERROR(__xludf.DUMMYFUNCTION("""COMPUTED_VALUE"""),0.0)</f>
        <v>0</v>
      </c>
      <c r="U774" s="99">
        <f>IFERROR(__xludf.DUMMYFUNCTION("""COMPUTED_VALUE"""),0.0)</f>
        <v>0</v>
      </c>
      <c r="V774" s="99">
        <f>IFERROR(__xludf.DUMMYFUNCTION("""COMPUTED_VALUE"""),0.0)</f>
        <v>0</v>
      </c>
      <c r="W774" s="99">
        <f>IFERROR(__xludf.DUMMYFUNCTION("""COMPUTED_VALUE"""),0.0)</f>
        <v>0</v>
      </c>
    </row>
    <row r="775">
      <c r="N775" s="98">
        <f>IFERROR(__xludf.DUMMYFUNCTION("""COMPUTED_VALUE"""),44100.0)</f>
        <v>44100</v>
      </c>
      <c r="O775" s="96" t="str">
        <f>IFERROR(__xludf.DUMMYFUNCTION("""COMPUTED_VALUE"""),"DIRECTOR")</f>
        <v>DIRECTOR</v>
      </c>
      <c r="P775" s="96" t="str">
        <f>IFERROR(__xludf.DUMMYFUNCTION("""COMPUTED_VALUE"""),"transfer")</f>
        <v>transfer</v>
      </c>
      <c r="Q775" s="99">
        <f>IFERROR(__xludf.DUMMYFUNCTION("""COMPUTED_VALUE"""),7990000.0)</f>
        <v>7990000</v>
      </c>
      <c r="R775" s="96" t="str">
        <f>IFERROR(__xludf.DUMMYFUNCTION("""COMPUTED_VALUE"""),"From Bank")</f>
        <v>From Bank</v>
      </c>
      <c r="S775" s="99">
        <f>IFERROR(__xludf.DUMMYFUNCTION("""COMPUTED_VALUE"""),0.0)</f>
        <v>0</v>
      </c>
      <c r="T775" s="99">
        <f>IFERROR(__xludf.DUMMYFUNCTION("""COMPUTED_VALUE"""),0.0)</f>
        <v>0</v>
      </c>
      <c r="U775" s="99">
        <f>IFERROR(__xludf.DUMMYFUNCTION("""COMPUTED_VALUE"""),7990000.0)</f>
        <v>7990000</v>
      </c>
      <c r="V775" s="99">
        <f>IFERROR(__xludf.DUMMYFUNCTION("""COMPUTED_VALUE"""),0.0)</f>
        <v>0</v>
      </c>
      <c r="W775" s="99">
        <f>IFERROR(__xludf.DUMMYFUNCTION("""COMPUTED_VALUE"""),0.0)</f>
        <v>0</v>
      </c>
    </row>
    <row r="776">
      <c r="N776" s="98">
        <f>IFERROR(__xludf.DUMMYFUNCTION("""COMPUTED_VALUE"""),44102.0)</f>
        <v>44102</v>
      </c>
      <c r="O776" s="96" t="str">
        <f>IFERROR(__xludf.DUMMYFUNCTION("""COMPUTED_VALUE"""),"EDWARD OKO")</f>
        <v>EDWARD OKO</v>
      </c>
      <c r="P776" s="96" t="str">
        <f>IFERROR(__xludf.DUMMYFUNCTION("""COMPUTED_VALUE"""),"ADVANCE (DIR)")</f>
        <v>ADVANCE (DIR)</v>
      </c>
      <c r="Q776" s="99">
        <f>IFERROR(__xludf.DUMMYFUNCTION("""COMPUTED_VALUE"""),3000000.0)</f>
        <v>3000000</v>
      </c>
      <c r="R776" s="96" t="str">
        <f>IFERROR(__xludf.DUMMYFUNCTION("""COMPUTED_VALUE"""),"Prefinance")</f>
        <v>Prefinance</v>
      </c>
      <c r="S776" s="99">
        <f>IFERROR(__xludf.DUMMYFUNCTION("""COMPUTED_VALUE"""),0.0)</f>
        <v>0</v>
      </c>
      <c r="T776" s="99">
        <f>IFERROR(__xludf.DUMMYFUNCTION("""COMPUTED_VALUE"""),0.0)</f>
        <v>0</v>
      </c>
      <c r="U776" s="99">
        <f>IFERROR(__xludf.DUMMYFUNCTION("""COMPUTED_VALUE"""),0.0)</f>
        <v>0</v>
      </c>
      <c r="V776" s="99">
        <f>IFERROR(__xludf.DUMMYFUNCTION("""COMPUTED_VALUE"""),0.0)</f>
        <v>0</v>
      </c>
      <c r="W776" s="99">
        <f>IFERROR(__xludf.DUMMYFUNCTION("""COMPUTED_VALUE"""),0.0)</f>
        <v>0</v>
      </c>
    </row>
    <row r="777">
      <c r="N777" s="98">
        <f>IFERROR(__xludf.DUMMYFUNCTION("""COMPUTED_VALUE"""),44102.0)</f>
        <v>44102</v>
      </c>
      <c r="O777" s="96" t="str">
        <f>IFERROR(__xludf.DUMMYFUNCTION("""COMPUTED_VALUE"""),"ANDRDEW GREAT")</f>
        <v>ANDRDEW GREAT</v>
      </c>
      <c r="P777" s="96" t="str">
        <f>IFERROR(__xludf.DUMMYFUNCTION("""COMPUTED_VALUE"""),"ADVANCE (DIR)")</f>
        <v>ADVANCE (DIR)</v>
      </c>
      <c r="Q777" s="99">
        <f>IFERROR(__xludf.DUMMYFUNCTION("""COMPUTED_VALUE"""),1050000.0)</f>
        <v>1050000</v>
      </c>
      <c r="R777" s="96" t="str">
        <f>IFERROR(__xludf.DUMMYFUNCTION("""COMPUTED_VALUE"""),"Prefinance")</f>
        <v>Prefinance</v>
      </c>
      <c r="S777" s="99">
        <f>IFERROR(__xludf.DUMMYFUNCTION("""COMPUTED_VALUE"""),0.0)</f>
        <v>0</v>
      </c>
      <c r="T777" s="99">
        <f>IFERROR(__xludf.DUMMYFUNCTION("""COMPUTED_VALUE"""),0.0)</f>
        <v>0</v>
      </c>
      <c r="U777" s="99">
        <f>IFERROR(__xludf.DUMMYFUNCTION("""COMPUTED_VALUE"""),0.0)</f>
        <v>0</v>
      </c>
      <c r="V777" s="99">
        <f>IFERROR(__xludf.DUMMYFUNCTION("""COMPUTED_VALUE"""),0.0)</f>
        <v>0</v>
      </c>
      <c r="W777" s="99">
        <f>IFERROR(__xludf.DUMMYFUNCTION("""COMPUTED_VALUE"""),0.0)</f>
        <v>0</v>
      </c>
    </row>
    <row r="778">
      <c r="N778" s="98">
        <f>IFERROR(__xludf.DUMMYFUNCTION("""COMPUTED_VALUE"""),44102.0)</f>
        <v>44102</v>
      </c>
      <c r="O778" s="96" t="str">
        <f>IFERROR(__xludf.DUMMYFUNCTION("""COMPUTED_VALUE"""),"ANDRDEW GREAT")</f>
        <v>ANDRDEW GREAT</v>
      </c>
      <c r="P778" s="96" t="str">
        <f>IFERROR(__xludf.DUMMYFUNCTION("""COMPUTED_VALUE"""),"PAYMENT (DIR)")</f>
        <v>PAYMENT (DIR)</v>
      </c>
      <c r="Q778" s="99">
        <f>IFERROR(__xludf.DUMMYFUNCTION("""COMPUTED_VALUE"""),1553250.0)</f>
        <v>1553250</v>
      </c>
      <c r="R778" s="96" t="str">
        <f>IFERROR(__xludf.DUMMYFUNCTION("""COMPUTED_VALUE"""),"Prefinance")</f>
        <v>Prefinance</v>
      </c>
      <c r="S778" s="99">
        <f>IFERROR(__xludf.DUMMYFUNCTION("""COMPUTED_VALUE"""),0.0)</f>
        <v>0</v>
      </c>
      <c r="T778" s="99">
        <f>IFERROR(__xludf.DUMMYFUNCTION("""COMPUTED_VALUE"""),0.0)</f>
        <v>0</v>
      </c>
      <c r="U778" s="99">
        <f>IFERROR(__xludf.DUMMYFUNCTION("""COMPUTED_VALUE"""),0.0)</f>
        <v>0</v>
      </c>
      <c r="V778" s="99">
        <f>IFERROR(__xludf.DUMMYFUNCTION("""COMPUTED_VALUE"""),0.0)</f>
        <v>0</v>
      </c>
      <c r="W778" s="99">
        <f>IFERROR(__xludf.DUMMYFUNCTION("""COMPUTED_VALUE"""),0.0)</f>
        <v>0</v>
      </c>
    </row>
    <row r="779">
      <c r="N779" s="98">
        <f>IFERROR(__xludf.DUMMYFUNCTION("""COMPUTED_VALUE"""),44102.0)</f>
        <v>44102</v>
      </c>
      <c r="O779" s="96" t="str">
        <f>IFERROR(__xludf.DUMMYFUNCTION("""COMPUTED_VALUE"""),"BOSURU  BOSURU")</f>
        <v>BOSURU  BOSURU</v>
      </c>
      <c r="P779" s="96" t="str">
        <f>IFERROR(__xludf.DUMMYFUNCTION("""COMPUTED_VALUE"""),"ADVANCE (DIR)")</f>
        <v>ADVANCE (DIR)</v>
      </c>
      <c r="Q779" s="99">
        <f>IFERROR(__xludf.DUMMYFUNCTION("""COMPUTED_VALUE"""),500000.0)</f>
        <v>500000</v>
      </c>
      <c r="R779" s="96" t="str">
        <f>IFERROR(__xludf.DUMMYFUNCTION("""COMPUTED_VALUE"""),"Prefinance")</f>
        <v>Prefinance</v>
      </c>
      <c r="S779" s="99">
        <f>IFERROR(__xludf.DUMMYFUNCTION("""COMPUTED_VALUE"""),0.0)</f>
        <v>0</v>
      </c>
      <c r="T779" s="99">
        <f>IFERROR(__xludf.DUMMYFUNCTION("""COMPUTED_VALUE"""),0.0)</f>
        <v>0</v>
      </c>
      <c r="U779" s="99">
        <f>IFERROR(__xludf.DUMMYFUNCTION("""COMPUTED_VALUE"""),0.0)</f>
        <v>0</v>
      </c>
      <c r="V779" s="99">
        <f>IFERROR(__xludf.DUMMYFUNCTION("""COMPUTED_VALUE"""),0.0)</f>
        <v>0</v>
      </c>
      <c r="W779" s="99">
        <f>IFERROR(__xludf.DUMMYFUNCTION("""COMPUTED_VALUE"""),0.0)</f>
        <v>0</v>
      </c>
    </row>
    <row r="780">
      <c r="N780" s="98">
        <f>IFERROR(__xludf.DUMMYFUNCTION("""COMPUTED_VALUE"""),44102.0)</f>
        <v>44102</v>
      </c>
      <c r="O780" s="96" t="str">
        <f>IFERROR(__xludf.DUMMYFUNCTION("""COMPUTED_VALUE"""),"R.  MAXWELL AGRO")</f>
        <v>R.  MAXWELL AGRO</v>
      </c>
      <c r="P780" s="96" t="str">
        <f>IFERROR(__xludf.DUMMYFUNCTION("""COMPUTED_VALUE"""),"ADVANCE (DIR)")</f>
        <v>ADVANCE (DIR)</v>
      </c>
      <c r="Q780" s="99">
        <f>IFERROR(__xludf.DUMMYFUNCTION("""COMPUTED_VALUE"""),1.17E7)</f>
        <v>11700000</v>
      </c>
      <c r="R780" s="96" t="str">
        <f>IFERROR(__xludf.DUMMYFUNCTION("""COMPUTED_VALUE"""),"Prefinance")</f>
        <v>Prefinance</v>
      </c>
      <c r="S780" s="99">
        <f>IFERROR(__xludf.DUMMYFUNCTION("""COMPUTED_VALUE"""),0.0)</f>
        <v>0</v>
      </c>
      <c r="T780" s="99">
        <f>IFERROR(__xludf.DUMMYFUNCTION("""COMPUTED_VALUE"""),0.0)</f>
        <v>0</v>
      </c>
      <c r="U780" s="99">
        <f>IFERROR(__xludf.DUMMYFUNCTION("""COMPUTED_VALUE"""),0.0)</f>
        <v>0</v>
      </c>
      <c r="V780" s="99">
        <f>IFERROR(__xludf.DUMMYFUNCTION("""COMPUTED_VALUE"""),0.0)</f>
        <v>0</v>
      </c>
      <c r="W780" s="99">
        <f>IFERROR(__xludf.DUMMYFUNCTION("""COMPUTED_VALUE"""),0.0)</f>
        <v>0</v>
      </c>
    </row>
    <row r="781">
      <c r="N781" s="98">
        <f>IFERROR(__xludf.DUMMYFUNCTION("""COMPUTED_VALUE"""),44102.0)</f>
        <v>44102</v>
      </c>
      <c r="O781" s="96" t="str">
        <f>IFERROR(__xludf.DUMMYFUNCTION("""COMPUTED_VALUE"""),"DIRECTOR")</f>
        <v>DIRECTOR</v>
      </c>
      <c r="P781" s="96" t="str">
        <f>IFERROR(__xludf.DUMMYFUNCTION("""COMPUTED_VALUE"""),"TRANSFER")</f>
        <v>TRANSFER</v>
      </c>
      <c r="Q781" s="99">
        <f>IFERROR(__xludf.DUMMYFUNCTION("""COMPUTED_VALUE"""),1.780325E7)</f>
        <v>17803250</v>
      </c>
      <c r="R781" s="96" t="str">
        <f>IFERROR(__xludf.DUMMYFUNCTION("""COMPUTED_VALUE"""),"From Bank")</f>
        <v>From Bank</v>
      </c>
      <c r="S781" s="99">
        <f>IFERROR(__xludf.DUMMYFUNCTION("""COMPUTED_VALUE"""),0.0)</f>
        <v>0</v>
      </c>
      <c r="T781" s="99">
        <f>IFERROR(__xludf.DUMMYFUNCTION("""COMPUTED_VALUE"""),0.0)</f>
        <v>0</v>
      </c>
      <c r="U781" s="99">
        <f>IFERROR(__xludf.DUMMYFUNCTION("""COMPUTED_VALUE"""),1.780325E7)</f>
        <v>17803250</v>
      </c>
      <c r="V781" s="99">
        <f>IFERROR(__xludf.DUMMYFUNCTION("""COMPUTED_VALUE"""),0.0)</f>
        <v>0</v>
      </c>
      <c r="W781" s="99">
        <f>IFERROR(__xludf.DUMMYFUNCTION("""COMPUTED_VALUE"""),0.0)</f>
        <v>0</v>
      </c>
    </row>
    <row r="782">
      <c r="N782" s="98">
        <f>IFERROR(__xludf.DUMMYFUNCTION("""COMPUTED_VALUE"""),44102.0)</f>
        <v>44102</v>
      </c>
      <c r="O782" s="96" t="str">
        <f>IFERROR(__xludf.DUMMYFUNCTION("""COMPUTED_VALUE"""),"PRIN M. BOSURU")</f>
        <v>PRIN M. BOSURU</v>
      </c>
      <c r="P782" s="96" t="str">
        <f>IFERROR(__xludf.DUMMYFUNCTION("""COMPUTED_VALUE"""),"ADVANCE (NEW)")</f>
        <v>ADVANCE (NEW)</v>
      </c>
      <c r="Q782" s="99">
        <f>IFERROR(__xludf.DUMMYFUNCTION("""COMPUTED_VALUE"""),1120000.0)</f>
        <v>1120000</v>
      </c>
      <c r="R782" s="96" t="str">
        <f>IFERROR(__xludf.DUMMYFUNCTION("""COMPUTED_VALUE"""),"Prefinance")</f>
        <v>Prefinance</v>
      </c>
      <c r="S782" s="99">
        <f>IFERROR(__xludf.DUMMYFUNCTION("""COMPUTED_VALUE"""),0.0)</f>
        <v>0</v>
      </c>
      <c r="T782" s="99">
        <f>IFERROR(__xludf.DUMMYFUNCTION("""COMPUTED_VALUE"""),0.0)</f>
        <v>0</v>
      </c>
      <c r="U782" s="99">
        <f>IFERROR(__xludf.DUMMYFUNCTION("""COMPUTED_VALUE"""),0.0)</f>
        <v>0</v>
      </c>
      <c r="V782" s="99">
        <f>IFERROR(__xludf.DUMMYFUNCTION("""COMPUTED_VALUE"""),0.0)</f>
        <v>0</v>
      </c>
      <c r="W782" s="99">
        <f>IFERROR(__xludf.DUMMYFUNCTION("""COMPUTED_VALUE"""),0.0)</f>
        <v>0</v>
      </c>
    </row>
    <row r="783">
      <c r="N783" s="98">
        <f>IFERROR(__xludf.DUMMYFUNCTION("""COMPUTED_VALUE"""),44102.0)</f>
        <v>44102</v>
      </c>
      <c r="O783" s="96" t="str">
        <f>IFERROR(__xludf.DUMMYFUNCTION("""COMPUTED_VALUE"""),"DIRECTOR")</f>
        <v>DIRECTOR</v>
      </c>
      <c r="P783" s="96" t="str">
        <f>IFERROR(__xludf.DUMMYFUNCTION("""COMPUTED_VALUE"""),"PERSONAL USE")</f>
        <v>PERSONAL USE</v>
      </c>
      <c r="Q783" s="99">
        <f>IFERROR(__xludf.DUMMYFUNCTION("""COMPUTED_VALUE"""),50000.0)</f>
        <v>50000</v>
      </c>
      <c r="R783" s="96" t="str">
        <f>IFERROR(__xludf.DUMMYFUNCTION("""COMPUTED_VALUE"""),"General Expenses")</f>
        <v>General Expenses</v>
      </c>
      <c r="S783" s="99">
        <f>IFERROR(__xludf.DUMMYFUNCTION("""COMPUTED_VALUE"""),0.0)</f>
        <v>0</v>
      </c>
      <c r="T783" s="99">
        <f>IFERROR(__xludf.DUMMYFUNCTION("""COMPUTED_VALUE"""),50000.0)</f>
        <v>50000</v>
      </c>
      <c r="U783" s="99">
        <f>IFERROR(__xludf.DUMMYFUNCTION("""COMPUTED_VALUE"""),0.0)</f>
        <v>0</v>
      </c>
      <c r="V783" s="99">
        <f>IFERROR(__xludf.DUMMYFUNCTION("""COMPUTED_VALUE"""),0.0)</f>
        <v>0</v>
      </c>
      <c r="W783" s="99">
        <f>IFERROR(__xludf.DUMMYFUNCTION("""COMPUTED_VALUE"""),0.0)</f>
        <v>0</v>
      </c>
    </row>
    <row r="784">
      <c r="N784" s="98">
        <f>IFERROR(__xludf.DUMMYFUNCTION("""COMPUTED_VALUE"""),44102.0)</f>
        <v>44102</v>
      </c>
      <c r="O784" s="96" t="str">
        <f>IFERROR(__xludf.DUMMYFUNCTION("""COMPUTED_VALUE"""),"DIESEL BOY")</f>
        <v>DIESEL BOY</v>
      </c>
      <c r="P784" s="96" t="str">
        <f>IFERROR(__xludf.DUMMYFUNCTION("""COMPUTED_VALUE"""),"DIESEL")</f>
        <v>DIESEL</v>
      </c>
      <c r="Q784" s="99">
        <f>IFERROR(__xludf.DUMMYFUNCTION("""COMPUTED_VALUE"""),35000.0)</f>
        <v>35000</v>
      </c>
      <c r="R784" s="96" t="str">
        <f>IFERROR(__xludf.DUMMYFUNCTION("""COMPUTED_VALUE"""),"General Expenses")</f>
        <v>General Expenses</v>
      </c>
      <c r="S784" s="99">
        <f>IFERROR(__xludf.DUMMYFUNCTION("""COMPUTED_VALUE"""),0.0)</f>
        <v>0</v>
      </c>
      <c r="T784" s="99">
        <f>IFERROR(__xludf.DUMMYFUNCTION("""COMPUTED_VALUE"""),35000.0)</f>
        <v>35000</v>
      </c>
      <c r="U784" s="99">
        <f>IFERROR(__xludf.DUMMYFUNCTION("""COMPUTED_VALUE"""),0.0)</f>
        <v>0</v>
      </c>
      <c r="V784" s="99">
        <f>IFERROR(__xludf.DUMMYFUNCTION("""COMPUTED_VALUE"""),0.0)</f>
        <v>0</v>
      </c>
      <c r="W784" s="99">
        <f>IFERROR(__xludf.DUMMYFUNCTION("""COMPUTED_VALUE"""),0.0)</f>
        <v>0</v>
      </c>
    </row>
    <row r="785">
      <c r="N785" s="98">
        <f>IFERROR(__xludf.DUMMYFUNCTION("""COMPUTED_VALUE"""),44102.0)</f>
        <v>44102</v>
      </c>
      <c r="O785" s="96" t="str">
        <f>IFERROR(__xludf.DUMMYFUNCTION("""COMPUTED_VALUE"""),"DAHIRU")</f>
        <v>DAHIRU</v>
      </c>
      <c r="P785" s="96" t="str">
        <f>IFERROR(__xludf.DUMMYFUNCTION("""COMPUTED_VALUE"""),"FEE")</f>
        <v>FEE</v>
      </c>
      <c r="Q785" s="99">
        <f>IFERROR(__xludf.DUMMYFUNCTION("""COMPUTED_VALUE"""),200000.0)</f>
        <v>200000</v>
      </c>
      <c r="R785" s="96" t="str">
        <f>IFERROR(__xludf.DUMMYFUNCTION("""COMPUTED_VALUE"""),"General Expenses")</f>
        <v>General Expenses</v>
      </c>
      <c r="S785" s="99">
        <f>IFERROR(__xludf.DUMMYFUNCTION("""COMPUTED_VALUE"""),0.0)</f>
        <v>0</v>
      </c>
      <c r="T785" s="99">
        <f>IFERROR(__xludf.DUMMYFUNCTION("""COMPUTED_VALUE"""),200000.0)</f>
        <v>200000</v>
      </c>
      <c r="U785" s="99">
        <f>IFERROR(__xludf.DUMMYFUNCTION("""COMPUTED_VALUE"""),0.0)</f>
        <v>0</v>
      </c>
      <c r="V785" s="99">
        <f>IFERROR(__xludf.DUMMYFUNCTION("""COMPUTED_VALUE"""),0.0)</f>
        <v>0</v>
      </c>
      <c r="W785" s="99">
        <f>IFERROR(__xludf.DUMMYFUNCTION("""COMPUTED_VALUE"""),0.0)</f>
        <v>0</v>
      </c>
    </row>
    <row r="786">
      <c r="N786" s="98">
        <f>IFERROR(__xludf.DUMMYFUNCTION("""COMPUTED_VALUE"""),44102.0)</f>
        <v>44102</v>
      </c>
      <c r="O786" s="96" t="str">
        <f>IFERROR(__xludf.DUMMYFUNCTION("""COMPUTED_VALUE"""),"BODES ESCORT")</f>
        <v>BODES ESCORT</v>
      </c>
      <c r="P786" s="96" t="str">
        <f>IFERROR(__xludf.DUMMYFUNCTION("""COMPUTED_VALUE"""),"ESCORT FEE")</f>
        <v>ESCORT FEE</v>
      </c>
      <c r="Q786" s="99">
        <f>IFERROR(__xludf.DUMMYFUNCTION("""COMPUTED_VALUE"""),70000.0)</f>
        <v>70000</v>
      </c>
      <c r="R786" s="96" t="str">
        <f>IFERROR(__xludf.DUMMYFUNCTION("""COMPUTED_VALUE"""),"General Expenses")</f>
        <v>General Expenses</v>
      </c>
      <c r="S786" s="99">
        <f>IFERROR(__xludf.DUMMYFUNCTION("""COMPUTED_VALUE"""),0.0)</f>
        <v>0</v>
      </c>
      <c r="T786" s="99">
        <f>IFERROR(__xludf.DUMMYFUNCTION("""COMPUTED_VALUE"""),70000.0)</f>
        <v>70000</v>
      </c>
      <c r="U786" s="99">
        <f>IFERROR(__xludf.DUMMYFUNCTION("""COMPUTED_VALUE"""),0.0)</f>
        <v>0</v>
      </c>
      <c r="V786" s="99">
        <f>IFERROR(__xludf.DUMMYFUNCTION("""COMPUTED_VALUE"""),0.0)</f>
        <v>0</v>
      </c>
      <c r="W786" s="99">
        <f>IFERROR(__xludf.DUMMYFUNCTION("""COMPUTED_VALUE"""),0.0)</f>
        <v>0</v>
      </c>
    </row>
    <row r="787">
      <c r="N787" s="98">
        <f>IFERROR(__xludf.DUMMYFUNCTION("""COMPUTED_VALUE"""),44102.0)</f>
        <v>44102</v>
      </c>
      <c r="O787" s="96" t="str">
        <f>IFERROR(__xludf.DUMMYFUNCTION("""COMPUTED_VALUE"""),"EDWARD OKO")</f>
        <v>EDWARD OKO</v>
      </c>
      <c r="P787" s="96" t="str">
        <f>IFERROR(__xludf.DUMMYFUNCTION("""COMPUTED_VALUE"""),"TRANSPORT")</f>
        <v>TRANSPORT</v>
      </c>
      <c r="Q787" s="99">
        <f>IFERROR(__xludf.DUMMYFUNCTION("""COMPUTED_VALUE"""),8300.0)</f>
        <v>8300</v>
      </c>
      <c r="R787" s="96" t="str">
        <f>IFERROR(__xludf.DUMMYFUNCTION("""COMPUTED_VALUE"""),"General Expenses")</f>
        <v>General Expenses</v>
      </c>
      <c r="S787" s="99">
        <f>IFERROR(__xludf.DUMMYFUNCTION("""COMPUTED_VALUE"""),0.0)</f>
        <v>0</v>
      </c>
      <c r="T787" s="99">
        <f>IFERROR(__xludf.DUMMYFUNCTION("""COMPUTED_VALUE"""),8300.0)</f>
        <v>8300</v>
      </c>
      <c r="U787" s="99">
        <f>IFERROR(__xludf.DUMMYFUNCTION("""COMPUTED_VALUE"""),0.0)</f>
        <v>0</v>
      </c>
      <c r="V787" s="99">
        <f>IFERROR(__xludf.DUMMYFUNCTION("""COMPUTED_VALUE"""),0.0)</f>
        <v>0</v>
      </c>
      <c r="W787" s="99">
        <f>IFERROR(__xludf.DUMMYFUNCTION("""COMPUTED_VALUE"""),0.0)</f>
        <v>0</v>
      </c>
    </row>
    <row r="788">
      <c r="N788" s="98">
        <f>IFERROR(__xludf.DUMMYFUNCTION("""COMPUTED_VALUE"""),44102.0)</f>
        <v>44102</v>
      </c>
      <c r="O788" s="96" t="str">
        <f>IFERROR(__xludf.DUMMYFUNCTION("""COMPUTED_VALUE"""),"AYUK BLESSING")</f>
        <v>AYUK BLESSING</v>
      </c>
      <c r="P788" s="96" t="str">
        <f>IFERROR(__xludf.DUMMYFUNCTION("""COMPUTED_VALUE"""),"CASH COLLECTED")</f>
        <v>CASH COLLECTED</v>
      </c>
      <c r="Q788" s="99">
        <f>IFERROR(__xludf.DUMMYFUNCTION("""COMPUTED_VALUE"""),1229100.0)</f>
        <v>1229100</v>
      </c>
      <c r="R788" s="96" t="str">
        <f>IFERROR(__xludf.DUMMYFUNCTION("""COMPUTED_VALUE"""),"Petty Cash")</f>
        <v>Petty Cash</v>
      </c>
      <c r="S788" s="99">
        <f>IFERROR(__xludf.DUMMYFUNCTION("""COMPUTED_VALUE"""),0.0)</f>
        <v>0</v>
      </c>
      <c r="T788" s="99">
        <f>IFERROR(__xludf.DUMMYFUNCTION("""COMPUTED_VALUE"""),0.0)</f>
        <v>0</v>
      </c>
      <c r="U788" s="99">
        <f>IFERROR(__xludf.DUMMYFUNCTION("""COMPUTED_VALUE"""),0.0)</f>
        <v>0</v>
      </c>
      <c r="V788" s="99">
        <f>IFERROR(__xludf.DUMMYFUNCTION("""COMPUTED_VALUE"""),1229100.0)</f>
        <v>1229100</v>
      </c>
      <c r="W788" s="99">
        <f>IFERROR(__xludf.DUMMYFUNCTION("""COMPUTED_VALUE"""),0.0)</f>
        <v>0</v>
      </c>
    </row>
    <row r="789">
      <c r="N789" s="98">
        <f>IFERROR(__xludf.DUMMYFUNCTION("""COMPUTED_VALUE"""),44102.0)</f>
        <v>44102</v>
      </c>
      <c r="O789" s="96" t="str">
        <f>IFERROR(__xludf.DUMMYFUNCTION("""COMPUTED_VALUE"""),"DIRECTOR")</f>
        <v>DIRECTOR</v>
      </c>
      <c r="P789" s="96" t="str">
        <f>IFERROR(__xludf.DUMMYFUNCTION("""COMPUTED_VALUE"""),"CASH-IN")</f>
        <v>CASH-IN</v>
      </c>
      <c r="Q789" s="99">
        <f>IFERROR(__xludf.DUMMYFUNCTION("""COMPUTED_VALUE"""),2550000.0)</f>
        <v>2550000</v>
      </c>
      <c r="R789" s="96" t="str">
        <f>IFERROR(__xludf.DUMMYFUNCTION("""COMPUTED_VALUE"""),"From Bank")</f>
        <v>From Bank</v>
      </c>
      <c r="S789" s="99">
        <f>IFERROR(__xludf.DUMMYFUNCTION("""COMPUTED_VALUE"""),0.0)</f>
        <v>0</v>
      </c>
      <c r="T789" s="99">
        <f>IFERROR(__xludf.DUMMYFUNCTION("""COMPUTED_VALUE"""),0.0)</f>
        <v>0</v>
      </c>
      <c r="U789" s="99">
        <f>IFERROR(__xludf.DUMMYFUNCTION("""COMPUTED_VALUE"""),2550000.0)</f>
        <v>2550000</v>
      </c>
      <c r="V789" s="99">
        <f>IFERROR(__xludf.DUMMYFUNCTION("""COMPUTED_VALUE"""),0.0)</f>
        <v>0</v>
      </c>
      <c r="W789" s="99">
        <f>IFERROR(__xludf.DUMMYFUNCTION("""COMPUTED_VALUE"""),0.0)</f>
        <v>0</v>
      </c>
    </row>
    <row r="790">
      <c r="N790" s="98">
        <f>IFERROR(__xludf.DUMMYFUNCTION("""COMPUTED_VALUE"""),44099.0)</f>
        <v>44099</v>
      </c>
      <c r="O790" s="96" t="str">
        <f>IFERROR(__xludf.DUMMYFUNCTION("""COMPUTED_VALUE"""),"BLESSING CHAPMAN")</f>
        <v>BLESSING CHAPMAN</v>
      </c>
      <c r="P790" s="96" t="str">
        <f>IFERROR(__xludf.DUMMYFUNCTION("""COMPUTED_VALUE"""),"REFUND")</f>
        <v>REFUND</v>
      </c>
      <c r="Q790" s="99">
        <f>IFERROR(__xludf.DUMMYFUNCTION("""COMPUTED_VALUE"""),-1040700.0)</f>
        <v>-1040700</v>
      </c>
      <c r="R790" s="96" t="str">
        <f>IFERROR(__xludf.DUMMYFUNCTION("""COMPUTED_VALUE"""),"CHAPMAN Refund")</f>
        <v>CHAPMAN Refund</v>
      </c>
      <c r="S790" s="99">
        <f>IFERROR(__xludf.DUMMYFUNCTION("""COMPUTED_VALUE"""),0.0)</f>
        <v>0</v>
      </c>
      <c r="T790" s="99">
        <f>IFERROR(__xludf.DUMMYFUNCTION("""COMPUTED_VALUE"""),0.0)</f>
        <v>0</v>
      </c>
      <c r="U790" s="99">
        <f>IFERROR(__xludf.DUMMYFUNCTION("""COMPUTED_VALUE"""),0.0)</f>
        <v>0</v>
      </c>
      <c r="V790" s="99">
        <f>IFERROR(__xludf.DUMMYFUNCTION("""COMPUTED_VALUE"""),0.0)</f>
        <v>0</v>
      </c>
      <c r="W790" s="99">
        <f>IFERROR(__xludf.DUMMYFUNCTION("""COMPUTED_VALUE"""),-1040700.0)</f>
        <v>-1040700</v>
      </c>
    </row>
    <row r="791">
      <c r="N791" s="98">
        <f>IFERROR(__xludf.DUMMYFUNCTION("""COMPUTED_VALUE"""),44100.0)</f>
        <v>44100</v>
      </c>
      <c r="O791" s="96" t="str">
        <f>IFERROR(__xludf.DUMMYFUNCTION("""COMPUTED_VALUE"""),"DIRECTOR")</f>
        <v>DIRECTOR</v>
      </c>
      <c r="P791" s="96" t="str">
        <f>IFERROR(__xludf.DUMMYFUNCTION("""COMPUTED_VALUE"""),"REFUND BY BLESSING")</f>
        <v>REFUND BY BLESSING</v>
      </c>
      <c r="Q791" s="99">
        <f>IFERROR(__xludf.DUMMYFUNCTION("""COMPUTED_VALUE"""),1040700.0)</f>
        <v>1040700</v>
      </c>
      <c r="R791" s="96" t="str">
        <f>IFERROR(__xludf.DUMMYFUNCTION("""COMPUTED_VALUE"""),"General Expenses")</f>
        <v>General Expenses</v>
      </c>
      <c r="S791" s="99">
        <f>IFERROR(__xludf.DUMMYFUNCTION("""COMPUTED_VALUE"""),0.0)</f>
        <v>0</v>
      </c>
      <c r="T791" s="99">
        <f>IFERROR(__xludf.DUMMYFUNCTION("""COMPUTED_VALUE"""),1040700.0)</f>
        <v>1040700</v>
      </c>
      <c r="U791" s="99">
        <f>IFERROR(__xludf.DUMMYFUNCTION("""COMPUTED_VALUE"""),0.0)</f>
        <v>0</v>
      </c>
      <c r="V791" s="99">
        <f>IFERROR(__xludf.DUMMYFUNCTION("""COMPUTED_VALUE"""),0.0)</f>
        <v>0</v>
      </c>
      <c r="W791" s="99">
        <f>IFERROR(__xludf.DUMMYFUNCTION("""COMPUTED_VALUE"""),0.0)</f>
        <v>0</v>
      </c>
    </row>
    <row r="792">
      <c r="N792" s="98">
        <f>IFERROR(__xludf.DUMMYFUNCTION("""COMPUTED_VALUE"""),44100.0)</f>
        <v>44100</v>
      </c>
      <c r="O792" s="96" t="str">
        <f>IFERROR(__xludf.DUMMYFUNCTION("""COMPUTED_VALUE"""),"BLESSING CHAPMAN")</f>
        <v>BLESSING CHAPMAN</v>
      </c>
      <c r="P792" s="96" t="str">
        <f>IFERROR(__xludf.DUMMYFUNCTION("""COMPUTED_VALUE"""),"REFUND TO DIRECTOR")</f>
        <v>REFUND TO DIRECTOR</v>
      </c>
      <c r="Q792" s="99">
        <f>IFERROR(__xludf.DUMMYFUNCTION("""COMPUTED_VALUE"""),1040700.0)</f>
        <v>1040700</v>
      </c>
      <c r="R792" s="96" t="str">
        <f>IFERROR(__xludf.DUMMYFUNCTION("""COMPUTED_VALUE"""),"Petty Cash")</f>
        <v>Petty Cash</v>
      </c>
      <c r="S792" s="99">
        <f>IFERROR(__xludf.DUMMYFUNCTION("""COMPUTED_VALUE"""),0.0)</f>
        <v>0</v>
      </c>
      <c r="T792" s="99">
        <f>IFERROR(__xludf.DUMMYFUNCTION("""COMPUTED_VALUE"""),0.0)</f>
        <v>0</v>
      </c>
      <c r="U792" s="99">
        <f>IFERROR(__xludf.DUMMYFUNCTION("""COMPUTED_VALUE"""),0.0)</f>
        <v>0</v>
      </c>
      <c r="V792" s="99">
        <f>IFERROR(__xludf.DUMMYFUNCTION("""COMPUTED_VALUE"""),1040700.0)</f>
        <v>1040700</v>
      </c>
      <c r="W792" s="99">
        <f>IFERROR(__xludf.DUMMYFUNCTION("""COMPUTED_VALUE"""),0.0)</f>
        <v>0</v>
      </c>
    </row>
    <row r="793">
      <c r="N793" s="98">
        <f>IFERROR(__xludf.DUMMYFUNCTION("""COMPUTED_VALUE"""),44103.0)</f>
        <v>44103</v>
      </c>
      <c r="O793" s="96" t="str">
        <f>IFERROR(__xludf.DUMMYFUNCTION("""COMPUTED_VALUE"""),"DIRECTOR")</f>
        <v>DIRECTOR</v>
      </c>
      <c r="P793" s="96" t="str">
        <f>IFERROR(__xludf.DUMMYFUNCTION("""COMPUTED_VALUE"""),"TRANSPORT")</f>
        <v>TRANSPORT</v>
      </c>
      <c r="Q793" s="99">
        <f>IFERROR(__xludf.DUMMYFUNCTION("""COMPUTED_VALUE"""),200.0)</f>
        <v>200</v>
      </c>
      <c r="R793" s="96" t="str">
        <f>IFERROR(__xludf.DUMMYFUNCTION("""COMPUTED_VALUE"""),"General Expenses")</f>
        <v>General Expenses</v>
      </c>
      <c r="S793" s="99">
        <f>IFERROR(__xludf.DUMMYFUNCTION("""COMPUTED_VALUE"""),0.0)</f>
        <v>0</v>
      </c>
      <c r="T793" s="99">
        <f>IFERROR(__xludf.DUMMYFUNCTION("""COMPUTED_VALUE"""),200.0)</f>
        <v>200</v>
      </c>
      <c r="U793" s="99">
        <f>IFERROR(__xludf.DUMMYFUNCTION("""COMPUTED_VALUE"""),0.0)</f>
        <v>0</v>
      </c>
      <c r="V793" s="99">
        <f>IFERROR(__xludf.DUMMYFUNCTION("""COMPUTED_VALUE"""),0.0)</f>
        <v>0</v>
      </c>
      <c r="W793" s="99">
        <f>IFERROR(__xludf.DUMMYFUNCTION("""COMPUTED_VALUE"""),0.0)</f>
        <v>0</v>
      </c>
    </row>
    <row r="794">
      <c r="N794" s="98">
        <f>IFERROR(__xludf.DUMMYFUNCTION("""COMPUTED_VALUE"""),44103.0)</f>
        <v>44103</v>
      </c>
      <c r="O794" s="96" t="str">
        <f>IFERROR(__xludf.DUMMYFUNCTION("""COMPUTED_VALUE"""),"TULIP DRIVERS")</f>
        <v>TULIP DRIVERS</v>
      </c>
      <c r="P794" s="96" t="str">
        <f>IFERROR(__xludf.DUMMYFUNCTION("""COMPUTED_VALUE"""),"FEE")</f>
        <v>FEE</v>
      </c>
      <c r="Q794" s="99">
        <f>IFERROR(__xludf.DUMMYFUNCTION("""COMPUTED_VALUE"""),2000.0)</f>
        <v>2000</v>
      </c>
      <c r="R794" s="96" t="str">
        <f>IFERROR(__xludf.DUMMYFUNCTION("""COMPUTED_VALUE"""),"General Expenses")</f>
        <v>General Expenses</v>
      </c>
      <c r="S794" s="99">
        <f>IFERROR(__xludf.DUMMYFUNCTION("""COMPUTED_VALUE"""),0.0)</f>
        <v>0</v>
      </c>
      <c r="T794" s="99">
        <f>IFERROR(__xludf.DUMMYFUNCTION("""COMPUTED_VALUE"""),2000.0)</f>
        <v>2000</v>
      </c>
      <c r="U794" s="99">
        <f>IFERROR(__xludf.DUMMYFUNCTION("""COMPUTED_VALUE"""),0.0)</f>
        <v>0</v>
      </c>
      <c r="V794" s="99">
        <f>IFERROR(__xludf.DUMMYFUNCTION("""COMPUTED_VALUE"""),0.0)</f>
        <v>0</v>
      </c>
      <c r="W794" s="99">
        <f>IFERROR(__xludf.DUMMYFUNCTION("""COMPUTED_VALUE"""),0.0)</f>
        <v>0</v>
      </c>
    </row>
    <row r="795">
      <c r="N795" s="98">
        <f>IFERROR(__xludf.DUMMYFUNCTION("""COMPUTED_VALUE"""),44103.0)</f>
        <v>44103</v>
      </c>
      <c r="O795" s="96" t="str">
        <f>IFERROR(__xludf.DUMMYFUNCTION("""COMPUTED_VALUE"""),"HN")</f>
        <v>HN</v>
      </c>
      <c r="P795" s="96" t="str">
        <f>IFERROR(__xludf.DUMMYFUNCTION("""COMPUTED_VALUE"""),"CAMEROON TP")</f>
        <v>CAMEROON TP</v>
      </c>
      <c r="Q795" s="99">
        <f>IFERROR(__xludf.DUMMYFUNCTION("""COMPUTED_VALUE"""),500000.0)</f>
        <v>500000</v>
      </c>
      <c r="R795" s="96" t="str">
        <f>IFERROR(__xludf.DUMMYFUNCTION("""COMPUTED_VALUE"""),"General Expenses")</f>
        <v>General Expenses</v>
      </c>
      <c r="S795" s="99">
        <f>IFERROR(__xludf.DUMMYFUNCTION("""COMPUTED_VALUE"""),0.0)</f>
        <v>0</v>
      </c>
      <c r="T795" s="99">
        <f>IFERROR(__xludf.DUMMYFUNCTION("""COMPUTED_VALUE"""),500000.0)</f>
        <v>500000</v>
      </c>
      <c r="U795" s="99">
        <f>IFERROR(__xludf.DUMMYFUNCTION("""COMPUTED_VALUE"""),0.0)</f>
        <v>0</v>
      </c>
      <c r="V795" s="99">
        <f>IFERROR(__xludf.DUMMYFUNCTION("""COMPUTED_VALUE"""),0.0)</f>
        <v>0</v>
      </c>
      <c r="W795" s="99">
        <f>IFERROR(__xludf.DUMMYFUNCTION("""COMPUTED_VALUE"""),0.0)</f>
        <v>0</v>
      </c>
    </row>
    <row r="796">
      <c r="N796" s="98">
        <f>IFERROR(__xludf.DUMMYFUNCTION("""COMPUTED_VALUE"""),44103.0)</f>
        <v>44103</v>
      </c>
      <c r="O796" s="96" t="str">
        <f>IFERROR(__xludf.DUMMYFUNCTION("""COMPUTED_VALUE"""),"HONORABLE ")</f>
        <v>HONORABLE </v>
      </c>
      <c r="P796" s="96" t="str">
        <f>IFERROR(__xludf.DUMMYFUNCTION("""COMPUTED_VALUE"""),"PLUMBER FEE")</f>
        <v>PLUMBER FEE</v>
      </c>
      <c r="Q796" s="99">
        <f>IFERROR(__xludf.DUMMYFUNCTION("""COMPUTED_VALUE"""),252000.0)</f>
        <v>252000</v>
      </c>
      <c r="R796" s="96" t="str">
        <f>IFERROR(__xludf.DUMMYFUNCTION("""COMPUTED_VALUE"""),"General Expenses")</f>
        <v>General Expenses</v>
      </c>
      <c r="S796" s="99">
        <f>IFERROR(__xludf.DUMMYFUNCTION("""COMPUTED_VALUE"""),0.0)</f>
        <v>0</v>
      </c>
      <c r="T796" s="99">
        <f>IFERROR(__xludf.DUMMYFUNCTION("""COMPUTED_VALUE"""),252000.0)</f>
        <v>252000</v>
      </c>
      <c r="U796" s="99">
        <f>IFERROR(__xludf.DUMMYFUNCTION("""COMPUTED_VALUE"""),0.0)</f>
        <v>0</v>
      </c>
      <c r="V796" s="99">
        <f>IFERROR(__xludf.DUMMYFUNCTION("""COMPUTED_VALUE"""),0.0)</f>
        <v>0</v>
      </c>
      <c r="W796" s="99">
        <f>IFERROR(__xludf.DUMMYFUNCTION("""COMPUTED_VALUE"""),0.0)</f>
        <v>0</v>
      </c>
    </row>
    <row r="797">
      <c r="N797" s="98">
        <f>IFERROR(__xludf.DUMMYFUNCTION("""COMPUTED_VALUE"""),44103.0)</f>
        <v>44103</v>
      </c>
      <c r="O797" s="96" t="str">
        <f>IFERROR(__xludf.DUMMYFUNCTION("""COMPUTED_VALUE"""),"AMBA")</f>
        <v>AMBA</v>
      </c>
      <c r="P797" s="96" t="str">
        <f>IFERROR(__xludf.DUMMYFUNCTION("""COMPUTED_VALUE"""),"HAULAGE")</f>
        <v>HAULAGE</v>
      </c>
      <c r="Q797" s="99">
        <f>IFERROR(__xludf.DUMMYFUNCTION("""COMPUTED_VALUE"""),16600.0)</f>
        <v>16600</v>
      </c>
      <c r="R797" s="96" t="str">
        <f>IFERROR(__xludf.DUMMYFUNCTION("""COMPUTED_VALUE"""),"General Expenses")</f>
        <v>General Expenses</v>
      </c>
      <c r="S797" s="99">
        <f>IFERROR(__xludf.DUMMYFUNCTION("""COMPUTED_VALUE"""),0.0)</f>
        <v>0</v>
      </c>
      <c r="T797" s="99">
        <f>IFERROR(__xludf.DUMMYFUNCTION("""COMPUTED_VALUE"""),16600.0)</f>
        <v>16600</v>
      </c>
      <c r="U797" s="99">
        <f>IFERROR(__xludf.DUMMYFUNCTION("""COMPUTED_VALUE"""),0.0)</f>
        <v>0</v>
      </c>
      <c r="V797" s="99">
        <f>IFERROR(__xludf.DUMMYFUNCTION("""COMPUTED_VALUE"""),0.0)</f>
        <v>0</v>
      </c>
      <c r="W797" s="99">
        <f>IFERROR(__xludf.DUMMYFUNCTION("""COMPUTED_VALUE"""),0.0)</f>
        <v>0</v>
      </c>
    </row>
    <row r="798">
      <c r="N798" s="98">
        <f>IFERROR(__xludf.DUMMYFUNCTION("""COMPUTED_VALUE"""),44103.0)</f>
        <v>44103</v>
      </c>
      <c r="O798" s="96" t="str">
        <f>IFERROR(__xludf.DUMMYFUNCTION("""COMPUTED_VALUE"""),"QUEEN")</f>
        <v>QUEEN</v>
      </c>
      <c r="P798" s="96" t="str">
        <f>IFERROR(__xludf.DUMMYFUNCTION("""COMPUTED_VALUE"""),"TRANSPORT")</f>
        <v>TRANSPORT</v>
      </c>
      <c r="Q798" s="99">
        <f>IFERROR(__xludf.DUMMYFUNCTION("""COMPUTED_VALUE"""),100.0)</f>
        <v>100</v>
      </c>
      <c r="R798" s="96" t="str">
        <f>IFERROR(__xludf.DUMMYFUNCTION("""COMPUTED_VALUE"""),"General Expenses")</f>
        <v>General Expenses</v>
      </c>
      <c r="S798" s="99">
        <f>IFERROR(__xludf.DUMMYFUNCTION("""COMPUTED_VALUE"""),0.0)</f>
        <v>0</v>
      </c>
      <c r="T798" s="99">
        <f>IFERROR(__xludf.DUMMYFUNCTION("""COMPUTED_VALUE"""),100.0)</f>
        <v>100</v>
      </c>
      <c r="U798" s="99">
        <f>IFERROR(__xludf.DUMMYFUNCTION("""COMPUTED_VALUE"""),0.0)</f>
        <v>0</v>
      </c>
      <c r="V798" s="99">
        <f>IFERROR(__xludf.DUMMYFUNCTION("""COMPUTED_VALUE"""),0.0)</f>
        <v>0</v>
      </c>
      <c r="W798" s="99">
        <f>IFERROR(__xludf.DUMMYFUNCTION("""COMPUTED_VALUE"""),0.0)</f>
        <v>0</v>
      </c>
    </row>
    <row r="799">
      <c r="N799" s="98">
        <f>IFERROR(__xludf.DUMMYFUNCTION("""COMPUTED_VALUE"""),44103.0)</f>
        <v>44103</v>
      </c>
      <c r="O799" s="96" t="str">
        <f>IFERROR(__xludf.DUMMYFUNCTION("""COMPUTED_VALUE"""),"EZU MECHANIC")</f>
        <v>EZU MECHANIC</v>
      </c>
      <c r="P799" s="96" t="str">
        <f>IFERROR(__xludf.DUMMYFUNCTION("""COMPUTED_VALUE"""),"REPAIRS")</f>
        <v>REPAIRS</v>
      </c>
      <c r="Q799" s="99">
        <f>IFERROR(__xludf.DUMMYFUNCTION("""COMPUTED_VALUE"""),4000.0)</f>
        <v>4000</v>
      </c>
      <c r="R799" s="96" t="str">
        <f>IFERROR(__xludf.DUMMYFUNCTION("""COMPUTED_VALUE"""),"General Expenses")</f>
        <v>General Expenses</v>
      </c>
      <c r="S799" s="99">
        <f>IFERROR(__xludf.DUMMYFUNCTION("""COMPUTED_VALUE"""),0.0)</f>
        <v>0</v>
      </c>
      <c r="T799" s="99">
        <f>IFERROR(__xludf.DUMMYFUNCTION("""COMPUTED_VALUE"""),4000.0)</f>
        <v>4000</v>
      </c>
      <c r="U799" s="99">
        <f>IFERROR(__xludf.DUMMYFUNCTION("""COMPUTED_VALUE"""),0.0)</f>
        <v>0</v>
      </c>
      <c r="V799" s="99">
        <f>IFERROR(__xludf.DUMMYFUNCTION("""COMPUTED_VALUE"""),0.0)</f>
        <v>0</v>
      </c>
      <c r="W799" s="99">
        <f>IFERROR(__xludf.DUMMYFUNCTION("""COMPUTED_VALUE"""),0.0)</f>
        <v>0</v>
      </c>
    </row>
    <row r="800">
      <c r="N800" s="98">
        <f>IFERROR(__xludf.DUMMYFUNCTION("""COMPUTED_VALUE"""),44103.0)</f>
        <v>44103</v>
      </c>
      <c r="O800" s="96" t="str">
        <f>IFERROR(__xludf.DUMMYFUNCTION("""COMPUTED_VALUE"""),"PRODUCE MAN")</f>
        <v>PRODUCE MAN</v>
      </c>
      <c r="P800" s="96" t="str">
        <f>IFERROR(__xludf.DUMMYFUNCTION("""COMPUTED_VALUE"""),"GRADING")</f>
        <v>GRADING</v>
      </c>
      <c r="Q800" s="99">
        <f>IFERROR(__xludf.DUMMYFUNCTION("""COMPUTED_VALUE"""),3000.0)</f>
        <v>3000</v>
      </c>
      <c r="R800" s="96" t="str">
        <f>IFERROR(__xludf.DUMMYFUNCTION("""COMPUTED_VALUE"""),"General Expenses")</f>
        <v>General Expenses</v>
      </c>
      <c r="S800" s="99">
        <f>IFERROR(__xludf.DUMMYFUNCTION("""COMPUTED_VALUE"""),0.0)</f>
        <v>0</v>
      </c>
      <c r="T800" s="99">
        <f>IFERROR(__xludf.DUMMYFUNCTION("""COMPUTED_VALUE"""),3000.0)</f>
        <v>3000</v>
      </c>
      <c r="U800" s="99">
        <f>IFERROR(__xludf.DUMMYFUNCTION("""COMPUTED_VALUE"""),0.0)</f>
        <v>0</v>
      </c>
      <c r="V800" s="99">
        <f>IFERROR(__xludf.DUMMYFUNCTION("""COMPUTED_VALUE"""),0.0)</f>
        <v>0</v>
      </c>
      <c r="W800" s="99">
        <f>IFERROR(__xludf.DUMMYFUNCTION("""COMPUTED_VALUE"""),0.0)</f>
        <v>0</v>
      </c>
    </row>
    <row r="801">
      <c r="N801" s="98">
        <f>IFERROR(__xludf.DUMMYFUNCTION("""COMPUTED_VALUE"""),44103.0)</f>
        <v>44103</v>
      </c>
      <c r="O801" s="96" t="str">
        <f>IFERROR(__xludf.DUMMYFUNCTION("""COMPUTED_VALUE"""),"MANAGER")</f>
        <v>MANAGER</v>
      </c>
      <c r="P801" s="96" t="str">
        <f>IFERROR(__xludf.DUMMYFUNCTION("""COMPUTED_VALUE"""),"TRANSPORT")</f>
        <v>TRANSPORT</v>
      </c>
      <c r="Q801" s="99">
        <f>IFERROR(__xludf.DUMMYFUNCTION("""COMPUTED_VALUE"""),200.0)</f>
        <v>200</v>
      </c>
      <c r="R801" s="96" t="str">
        <f>IFERROR(__xludf.DUMMYFUNCTION("""COMPUTED_VALUE"""),"General Expenses")</f>
        <v>General Expenses</v>
      </c>
      <c r="S801" s="99">
        <f>IFERROR(__xludf.DUMMYFUNCTION("""COMPUTED_VALUE"""),0.0)</f>
        <v>0</v>
      </c>
      <c r="T801" s="99">
        <f>IFERROR(__xludf.DUMMYFUNCTION("""COMPUTED_VALUE"""),200.0)</f>
        <v>200</v>
      </c>
      <c r="U801" s="99">
        <f>IFERROR(__xludf.DUMMYFUNCTION("""COMPUTED_VALUE"""),0.0)</f>
        <v>0</v>
      </c>
      <c r="V801" s="99">
        <f>IFERROR(__xludf.DUMMYFUNCTION("""COMPUTED_VALUE"""),0.0)</f>
        <v>0</v>
      </c>
      <c r="W801" s="99">
        <f>IFERROR(__xludf.DUMMYFUNCTION("""COMPUTED_VALUE"""),0.0)</f>
        <v>0</v>
      </c>
    </row>
    <row r="802">
      <c r="N802" s="98">
        <f>IFERROR(__xludf.DUMMYFUNCTION("""COMPUTED_VALUE"""),44103.0)</f>
        <v>44103</v>
      </c>
      <c r="O802" s="96" t="str">
        <f>IFERROR(__xludf.DUMMYFUNCTION("""COMPUTED_VALUE"""),"LABOUR  BOY")</f>
        <v>LABOUR  BOY</v>
      </c>
      <c r="P802" s="96" t="str">
        <f>IFERROR(__xludf.DUMMYFUNCTION("""COMPUTED_VALUE"""),"WAGES ADVANCE")</f>
        <v>WAGES ADVANCE</v>
      </c>
      <c r="Q802" s="99">
        <f>IFERROR(__xludf.DUMMYFUNCTION("""COMPUTED_VALUE"""),1000.0)</f>
        <v>1000</v>
      </c>
      <c r="R802" s="96" t="str">
        <f>IFERROR(__xludf.DUMMYFUNCTION("""COMPUTED_VALUE"""),"General Expenses")</f>
        <v>General Expenses</v>
      </c>
      <c r="S802" s="99">
        <f>IFERROR(__xludf.DUMMYFUNCTION("""COMPUTED_VALUE"""),0.0)</f>
        <v>0</v>
      </c>
      <c r="T802" s="99">
        <f>IFERROR(__xludf.DUMMYFUNCTION("""COMPUTED_VALUE"""),1000.0)</f>
        <v>1000</v>
      </c>
      <c r="U802" s="99">
        <f>IFERROR(__xludf.DUMMYFUNCTION("""COMPUTED_VALUE"""),0.0)</f>
        <v>0</v>
      </c>
      <c r="V802" s="99">
        <f>IFERROR(__xludf.DUMMYFUNCTION("""COMPUTED_VALUE"""),0.0)</f>
        <v>0</v>
      </c>
      <c r="W802" s="99">
        <f>IFERROR(__xludf.DUMMYFUNCTION("""COMPUTED_VALUE"""),0.0)</f>
        <v>0</v>
      </c>
    </row>
    <row r="803">
      <c r="N803" s="98">
        <f>IFERROR(__xludf.DUMMYFUNCTION("""COMPUTED_VALUE"""),44103.0)</f>
        <v>44103</v>
      </c>
      <c r="O803" s="96" t="str">
        <f>IFERROR(__xludf.DUMMYFUNCTION("""COMPUTED_VALUE"""),"OBI-DRIVER")</f>
        <v>OBI-DRIVER</v>
      </c>
      <c r="P803" s="96" t="str">
        <f>IFERROR(__xludf.DUMMYFUNCTION("""COMPUTED_VALUE"""),"FUEL")</f>
        <v>FUEL</v>
      </c>
      <c r="Q803" s="99">
        <f>IFERROR(__xludf.DUMMYFUNCTION("""COMPUTED_VALUE"""),5000.0)</f>
        <v>5000</v>
      </c>
      <c r="R803" s="96" t="str">
        <f>IFERROR(__xludf.DUMMYFUNCTION("""COMPUTED_VALUE"""),"General Expenses")</f>
        <v>General Expenses</v>
      </c>
      <c r="S803" s="99">
        <f>IFERROR(__xludf.DUMMYFUNCTION("""COMPUTED_VALUE"""),0.0)</f>
        <v>0</v>
      </c>
      <c r="T803" s="99">
        <f>IFERROR(__xludf.DUMMYFUNCTION("""COMPUTED_VALUE"""),5000.0)</f>
        <v>5000</v>
      </c>
      <c r="U803" s="99">
        <f>IFERROR(__xludf.DUMMYFUNCTION("""COMPUTED_VALUE"""),0.0)</f>
        <v>0</v>
      </c>
      <c r="V803" s="99">
        <f>IFERROR(__xludf.DUMMYFUNCTION("""COMPUTED_VALUE"""),0.0)</f>
        <v>0</v>
      </c>
      <c r="W803" s="99">
        <f>IFERROR(__xludf.DUMMYFUNCTION("""COMPUTED_VALUE"""),0.0)</f>
        <v>0</v>
      </c>
    </row>
    <row r="804">
      <c r="N804" s="98">
        <f>IFERROR(__xludf.DUMMYFUNCTION("""COMPUTED_VALUE"""),44103.0)</f>
        <v>44103</v>
      </c>
      <c r="O804" s="96" t="str">
        <f>IFERROR(__xludf.DUMMYFUNCTION("""COMPUTED_VALUE"""),"MANAGER")</f>
        <v>MANAGER</v>
      </c>
      <c r="P804" s="96" t="str">
        <f>IFERROR(__xludf.DUMMYFUNCTION("""COMPUTED_VALUE"""),"GAS")</f>
        <v>GAS</v>
      </c>
      <c r="Q804" s="99">
        <f>IFERROR(__xludf.DUMMYFUNCTION("""COMPUTED_VALUE"""),20000.0)</f>
        <v>20000</v>
      </c>
      <c r="R804" s="96" t="str">
        <f>IFERROR(__xludf.DUMMYFUNCTION("""COMPUTED_VALUE"""),"General Expenses")</f>
        <v>General Expenses</v>
      </c>
      <c r="S804" s="99">
        <f>IFERROR(__xludf.DUMMYFUNCTION("""COMPUTED_VALUE"""),0.0)</f>
        <v>0</v>
      </c>
      <c r="T804" s="99">
        <f>IFERROR(__xludf.DUMMYFUNCTION("""COMPUTED_VALUE"""),20000.0)</f>
        <v>20000</v>
      </c>
      <c r="U804" s="99">
        <f>IFERROR(__xludf.DUMMYFUNCTION("""COMPUTED_VALUE"""),0.0)</f>
        <v>0</v>
      </c>
      <c r="V804" s="99">
        <f>IFERROR(__xludf.DUMMYFUNCTION("""COMPUTED_VALUE"""),0.0)</f>
        <v>0</v>
      </c>
      <c r="W804" s="99">
        <f>IFERROR(__xludf.DUMMYFUNCTION("""COMPUTED_VALUE"""),0.0)</f>
        <v>0</v>
      </c>
    </row>
    <row r="805">
      <c r="N805" s="98">
        <f>IFERROR(__xludf.DUMMYFUNCTION("""COMPUTED_VALUE"""),44103.0)</f>
        <v>44103</v>
      </c>
      <c r="O805" s="96" t="str">
        <f>IFERROR(__xludf.DUMMYFUNCTION("""COMPUTED_VALUE"""),"CHINWE CHIDI")</f>
        <v>CHINWE CHIDI</v>
      </c>
      <c r="P805" s="96" t="str">
        <f>IFERROR(__xludf.DUMMYFUNCTION("""COMPUTED_VALUE"""),"ADVANCE")</f>
        <v>ADVANCE</v>
      </c>
      <c r="Q805" s="99">
        <f>IFERROR(__xludf.DUMMYFUNCTION("""COMPUTED_VALUE"""),200000.0)</f>
        <v>200000</v>
      </c>
      <c r="R805" s="96" t="str">
        <f>IFERROR(__xludf.DUMMYFUNCTION("""COMPUTED_VALUE"""),"Prefinance")</f>
        <v>Prefinance</v>
      </c>
      <c r="S805" s="99">
        <f>IFERROR(__xludf.DUMMYFUNCTION("""COMPUTED_VALUE"""),0.0)</f>
        <v>0</v>
      </c>
      <c r="T805" s="99">
        <f>IFERROR(__xludf.DUMMYFUNCTION("""COMPUTED_VALUE"""),0.0)</f>
        <v>0</v>
      </c>
      <c r="U805" s="99">
        <f>IFERROR(__xludf.DUMMYFUNCTION("""COMPUTED_VALUE"""),0.0)</f>
        <v>0</v>
      </c>
      <c r="V805" s="99">
        <f>IFERROR(__xludf.DUMMYFUNCTION("""COMPUTED_VALUE"""),0.0)</f>
        <v>0</v>
      </c>
      <c r="W805" s="99">
        <f>IFERROR(__xludf.DUMMYFUNCTION("""COMPUTED_VALUE"""),0.0)</f>
        <v>0</v>
      </c>
    </row>
    <row r="806">
      <c r="N806" s="98">
        <f>IFERROR(__xludf.DUMMYFUNCTION("""COMPUTED_VALUE"""),44103.0)</f>
        <v>44103</v>
      </c>
      <c r="O806" s="96" t="str">
        <f>IFERROR(__xludf.DUMMYFUNCTION("""COMPUTED_VALUE"""),"CONFIDENCE")</f>
        <v>CONFIDENCE</v>
      </c>
      <c r="P806" s="96" t="str">
        <f>IFERROR(__xludf.DUMMYFUNCTION("""COMPUTED_VALUE"""),"ADVANCE")</f>
        <v>ADVANCE</v>
      </c>
      <c r="Q806" s="99">
        <f>IFERROR(__xludf.DUMMYFUNCTION("""COMPUTED_VALUE"""),150000.0)</f>
        <v>150000</v>
      </c>
      <c r="R806" s="96" t="str">
        <f>IFERROR(__xludf.DUMMYFUNCTION("""COMPUTED_VALUE"""),"Prefinance")</f>
        <v>Prefinance</v>
      </c>
      <c r="S806" s="99">
        <f>IFERROR(__xludf.DUMMYFUNCTION("""COMPUTED_VALUE"""),0.0)</f>
        <v>0</v>
      </c>
      <c r="T806" s="99">
        <f>IFERROR(__xludf.DUMMYFUNCTION("""COMPUTED_VALUE"""),0.0)</f>
        <v>0</v>
      </c>
      <c r="U806" s="99">
        <f>IFERROR(__xludf.DUMMYFUNCTION("""COMPUTED_VALUE"""),0.0)</f>
        <v>0</v>
      </c>
      <c r="V806" s="99">
        <f>IFERROR(__xludf.DUMMYFUNCTION("""COMPUTED_VALUE"""),0.0)</f>
        <v>0</v>
      </c>
      <c r="W806" s="99">
        <f>IFERROR(__xludf.DUMMYFUNCTION("""COMPUTED_VALUE"""),0.0)</f>
        <v>0</v>
      </c>
    </row>
    <row r="807">
      <c r="N807" s="98">
        <f>IFERROR(__xludf.DUMMYFUNCTION("""COMPUTED_VALUE"""),44103.0)</f>
        <v>44103</v>
      </c>
      <c r="O807" s="96" t="str">
        <f>IFERROR(__xludf.DUMMYFUNCTION("""COMPUTED_VALUE"""),"EMMANUEL OKO ")</f>
        <v>EMMANUEL OKO </v>
      </c>
      <c r="P807" s="96" t="str">
        <f>IFERROR(__xludf.DUMMYFUNCTION("""COMPUTED_VALUE"""),"ADVANCE")</f>
        <v>ADVANCE</v>
      </c>
      <c r="Q807" s="99">
        <f>IFERROR(__xludf.DUMMYFUNCTION("""COMPUTED_VALUE"""),50000.0)</f>
        <v>50000</v>
      </c>
      <c r="R807" s="96" t="str">
        <f>IFERROR(__xludf.DUMMYFUNCTION("""COMPUTED_VALUE"""),"Prefinance")</f>
        <v>Prefinance</v>
      </c>
      <c r="S807" s="99">
        <f>IFERROR(__xludf.DUMMYFUNCTION("""COMPUTED_VALUE"""),0.0)</f>
        <v>0</v>
      </c>
      <c r="T807" s="99">
        <f>IFERROR(__xludf.DUMMYFUNCTION("""COMPUTED_VALUE"""),0.0)</f>
        <v>0</v>
      </c>
      <c r="U807" s="99">
        <f>IFERROR(__xludf.DUMMYFUNCTION("""COMPUTED_VALUE"""),0.0)</f>
        <v>0</v>
      </c>
      <c r="V807" s="99">
        <f>IFERROR(__xludf.DUMMYFUNCTION("""COMPUTED_VALUE"""),0.0)</f>
        <v>0</v>
      </c>
      <c r="W807" s="99">
        <f>IFERROR(__xludf.DUMMYFUNCTION("""COMPUTED_VALUE"""),0.0)</f>
        <v>0</v>
      </c>
    </row>
    <row r="808">
      <c r="N808" s="98">
        <f>IFERROR(__xludf.DUMMYFUNCTION("""COMPUTED_VALUE"""),44103.0)</f>
        <v>44103</v>
      </c>
      <c r="O808" s="96" t="str">
        <f>IFERROR(__xludf.DUMMYFUNCTION("""COMPUTED_VALUE""")," MAXWELL AGRO")</f>
        <v> MAXWELL AGRO</v>
      </c>
      <c r="P808" s="96" t="str">
        <f>IFERROR(__xludf.DUMMYFUNCTION("""COMPUTED_VALUE"""),"ADVANCE")</f>
        <v>ADVANCE</v>
      </c>
      <c r="Q808" s="99">
        <f>IFERROR(__xludf.DUMMYFUNCTION("""COMPUTED_VALUE"""),100000.0)</f>
        <v>100000</v>
      </c>
      <c r="R808" s="96" t="str">
        <f>IFERROR(__xludf.DUMMYFUNCTION("""COMPUTED_VALUE"""),"Prefinance")</f>
        <v>Prefinance</v>
      </c>
      <c r="S808" s="99">
        <f>IFERROR(__xludf.DUMMYFUNCTION("""COMPUTED_VALUE"""),0.0)</f>
        <v>0</v>
      </c>
      <c r="T808" s="99">
        <f>IFERROR(__xludf.DUMMYFUNCTION("""COMPUTED_VALUE"""),0.0)</f>
        <v>0</v>
      </c>
      <c r="U808" s="99">
        <f>IFERROR(__xludf.DUMMYFUNCTION("""COMPUTED_VALUE"""),0.0)</f>
        <v>0</v>
      </c>
      <c r="V808" s="99">
        <f>IFERROR(__xludf.DUMMYFUNCTION("""COMPUTED_VALUE"""),0.0)</f>
        <v>0</v>
      </c>
      <c r="W808" s="99">
        <f>IFERROR(__xludf.DUMMYFUNCTION("""COMPUTED_VALUE"""),0.0)</f>
        <v>0</v>
      </c>
    </row>
    <row r="809">
      <c r="N809" s="98">
        <f>IFERROR(__xludf.DUMMYFUNCTION("""COMPUTED_VALUE"""),44103.0)</f>
        <v>44103</v>
      </c>
      <c r="O809" s="96" t="str">
        <f>IFERROR(__xludf.DUMMYFUNCTION("""COMPUTED_VALUE"""),"UNCLE BIGGIE")</f>
        <v>UNCLE BIGGIE</v>
      </c>
      <c r="P809" s="96" t="str">
        <f>IFERROR(__xludf.DUMMYFUNCTION("""COMPUTED_VALUE"""),"TRANSPORT")</f>
        <v>TRANSPORT</v>
      </c>
      <c r="Q809" s="99">
        <f>IFERROR(__xludf.DUMMYFUNCTION("""COMPUTED_VALUE"""),40000.0)</f>
        <v>40000</v>
      </c>
      <c r="R809" s="96" t="str">
        <f>IFERROR(__xludf.DUMMYFUNCTION("""COMPUTED_VALUE"""),"Prefinance")</f>
        <v>Prefinance</v>
      </c>
      <c r="S809" s="99">
        <f>IFERROR(__xludf.DUMMYFUNCTION("""COMPUTED_VALUE"""),0.0)</f>
        <v>0</v>
      </c>
      <c r="T809" s="99">
        <f>IFERROR(__xludf.DUMMYFUNCTION("""COMPUTED_VALUE"""),0.0)</f>
        <v>0</v>
      </c>
      <c r="U809" s="99">
        <f>IFERROR(__xludf.DUMMYFUNCTION("""COMPUTED_VALUE"""),0.0)</f>
        <v>0</v>
      </c>
      <c r="V809" s="99">
        <f>IFERROR(__xludf.DUMMYFUNCTION("""COMPUTED_VALUE"""),0.0)</f>
        <v>0</v>
      </c>
      <c r="W809" s="99">
        <f>IFERROR(__xludf.DUMMYFUNCTION("""COMPUTED_VALUE"""),0.0)</f>
        <v>0</v>
      </c>
    </row>
    <row r="810">
      <c r="N810" s="98">
        <f>IFERROR(__xludf.DUMMYFUNCTION("""COMPUTED_VALUE"""),44103.0)</f>
        <v>44103</v>
      </c>
      <c r="O810" s="96" t="str">
        <f>IFERROR(__xludf.DUMMYFUNCTION("""COMPUTED_VALUE"""),"AYUK BLESSING")</f>
        <v>AYUK BLESSING</v>
      </c>
      <c r="P810" s="96" t="str">
        <f>IFERROR(__xludf.DUMMYFUNCTION("""COMPUTED_VALUE"""),"CASH COLLECTED")</f>
        <v>CASH COLLECTED</v>
      </c>
      <c r="Q810" s="99">
        <f>IFERROR(__xludf.DUMMYFUNCTION("""COMPUTED_VALUE"""),1085700.0)</f>
        <v>1085700</v>
      </c>
      <c r="R810" s="96" t="str">
        <f>IFERROR(__xludf.DUMMYFUNCTION("""COMPUTED_VALUE"""),"Petty Cash")</f>
        <v>Petty Cash</v>
      </c>
      <c r="S810" s="99">
        <f>IFERROR(__xludf.DUMMYFUNCTION("""COMPUTED_VALUE"""),0.0)</f>
        <v>0</v>
      </c>
      <c r="T810" s="99">
        <f>IFERROR(__xludf.DUMMYFUNCTION("""COMPUTED_VALUE"""),0.0)</f>
        <v>0</v>
      </c>
      <c r="U810" s="99">
        <f>IFERROR(__xludf.DUMMYFUNCTION("""COMPUTED_VALUE"""),0.0)</f>
        <v>0</v>
      </c>
      <c r="V810" s="99">
        <f>IFERROR(__xludf.DUMMYFUNCTION("""COMPUTED_VALUE"""),1085700.0)</f>
        <v>1085700</v>
      </c>
      <c r="W810" s="99">
        <f>IFERROR(__xludf.DUMMYFUNCTION("""COMPUTED_VALUE"""),0.0)</f>
        <v>0</v>
      </c>
    </row>
    <row r="811">
      <c r="N811" s="98">
        <f>IFERROR(__xludf.DUMMYFUNCTION("""COMPUTED_VALUE"""),44103.0)</f>
        <v>44103</v>
      </c>
      <c r="O811" s="96" t="str">
        <f>IFERROR(__xludf.DUMMYFUNCTION("""COMPUTED_VALUE"""),"MANAGER")</f>
        <v>MANAGER</v>
      </c>
      <c r="P811" s="96" t="str">
        <f>IFERROR(__xludf.DUMMYFUNCTION("""COMPUTED_VALUE"""),"CASH-IN")</f>
        <v>CASH-IN</v>
      </c>
      <c r="Q811" s="99">
        <f>IFERROR(__xludf.DUMMYFUNCTION("""COMPUTED_VALUE"""),1500000.0)</f>
        <v>1500000</v>
      </c>
      <c r="R811" s="96" t="str">
        <f>IFERROR(__xludf.DUMMYFUNCTION("""COMPUTED_VALUE"""),"From Bank")</f>
        <v>From Bank</v>
      </c>
      <c r="S811" s="99">
        <f>IFERROR(__xludf.DUMMYFUNCTION("""COMPUTED_VALUE"""),0.0)</f>
        <v>0</v>
      </c>
      <c r="T811" s="99">
        <f>IFERROR(__xludf.DUMMYFUNCTION("""COMPUTED_VALUE"""),0.0)</f>
        <v>0</v>
      </c>
      <c r="U811" s="99">
        <f>IFERROR(__xludf.DUMMYFUNCTION("""COMPUTED_VALUE"""),1500000.0)</f>
        <v>1500000</v>
      </c>
      <c r="V811" s="99">
        <f>IFERROR(__xludf.DUMMYFUNCTION("""COMPUTED_VALUE"""),0.0)</f>
        <v>0</v>
      </c>
      <c r="W811" s="99">
        <f>IFERROR(__xludf.DUMMYFUNCTION("""COMPUTED_VALUE"""),0.0)</f>
        <v>0</v>
      </c>
    </row>
    <row r="812">
      <c r="N812" s="98">
        <f>IFERROR(__xludf.DUMMYFUNCTION("""COMPUTED_VALUE"""),44104.0)</f>
        <v>44104</v>
      </c>
      <c r="O812" s="96" t="str">
        <f>IFERROR(__xludf.DUMMYFUNCTION("""COMPUTED_VALUE"""),"ETUK EFFI")</f>
        <v>ETUK EFFI</v>
      </c>
      <c r="P812" s="96" t="str">
        <f>IFERROR(__xludf.DUMMYFUNCTION("""COMPUTED_VALUE"""),"TAPOLINE")</f>
        <v>TAPOLINE</v>
      </c>
      <c r="Q812" s="99">
        <f>IFERROR(__xludf.DUMMYFUNCTION("""COMPUTED_VALUE"""),100000.0)</f>
        <v>100000</v>
      </c>
      <c r="R812" s="96" t="str">
        <f>IFERROR(__xludf.DUMMYFUNCTION("""COMPUTED_VALUE"""),"Prefinance")</f>
        <v>Prefinance</v>
      </c>
      <c r="S812" s="99">
        <f>IFERROR(__xludf.DUMMYFUNCTION("""COMPUTED_VALUE"""),0.0)</f>
        <v>0</v>
      </c>
      <c r="T812" s="99">
        <f>IFERROR(__xludf.DUMMYFUNCTION("""COMPUTED_VALUE"""),0.0)</f>
        <v>0</v>
      </c>
      <c r="U812" s="99">
        <f>IFERROR(__xludf.DUMMYFUNCTION("""COMPUTED_VALUE"""),0.0)</f>
        <v>0</v>
      </c>
      <c r="V812" s="99">
        <f>IFERROR(__xludf.DUMMYFUNCTION("""COMPUTED_VALUE"""),0.0)</f>
        <v>0</v>
      </c>
      <c r="W812" s="99">
        <f>IFERROR(__xludf.DUMMYFUNCTION("""COMPUTED_VALUE"""),0.0)</f>
        <v>0</v>
      </c>
    </row>
    <row r="813">
      <c r="N813" s="98">
        <f>IFERROR(__xludf.DUMMYFUNCTION("""COMPUTED_VALUE"""),44104.0)</f>
        <v>44104</v>
      </c>
      <c r="O813" s="96" t="str">
        <f>IFERROR(__xludf.DUMMYFUNCTION("""COMPUTED_VALUE"""),"DIRECTOR")</f>
        <v>DIRECTOR</v>
      </c>
      <c r="P813" s="96" t="str">
        <f>IFERROR(__xludf.DUMMYFUNCTION("""COMPUTED_VALUE"""),"TRANSFERED")</f>
        <v>TRANSFERED</v>
      </c>
      <c r="Q813" s="99">
        <f>IFERROR(__xludf.DUMMYFUNCTION("""COMPUTED_VALUE"""),100000.0)</f>
        <v>100000</v>
      </c>
      <c r="R813" s="96" t="str">
        <f>IFERROR(__xludf.DUMMYFUNCTION("""COMPUTED_VALUE"""),"From Bank")</f>
        <v>From Bank</v>
      </c>
      <c r="S813" s="99">
        <f>IFERROR(__xludf.DUMMYFUNCTION("""COMPUTED_VALUE"""),0.0)</f>
        <v>0</v>
      </c>
      <c r="T813" s="99">
        <f>IFERROR(__xludf.DUMMYFUNCTION("""COMPUTED_VALUE"""),0.0)</f>
        <v>0</v>
      </c>
      <c r="U813" s="99">
        <f>IFERROR(__xludf.DUMMYFUNCTION("""COMPUTED_VALUE"""),100000.0)</f>
        <v>100000</v>
      </c>
      <c r="V813" s="99">
        <f>IFERROR(__xludf.DUMMYFUNCTION("""COMPUTED_VALUE"""),0.0)</f>
        <v>0</v>
      </c>
      <c r="W813" s="99">
        <f>IFERROR(__xludf.DUMMYFUNCTION("""COMPUTED_VALUE"""),0.0)</f>
        <v>0</v>
      </c>
    </row>
    <row r="814">
      <c r="N814" s="98">
        <f>IFERROR(__xludf.DUMMYFUNCTION("""COMPUTED_VALUE"""),44104.0)</f>
        <v>44104</v>
      </c>
      <c r="O814" s="96" t="str">
        <f>IFERROR(__xludf.DUMMYFUNCTION("""COMPUTED_VALUE"""),"ETUK EFFI")</f>
        <v>ETUK EFFI</v>
      </c>
      <c r="P814" s="96" t="str">
        <f>IFERROR(__xludf.DUMMYFUNCTION("""COMPUTED_VALUE"""),"ADVANCE")</f>
        <v>ADVANCE</v>
      </c>
      <c r="Q814" s="99">
        <f>IFERROR(__xludf.DUMMYFUNCTION("""COMPUTED_VALUE"""),304000.0)</f>
        <v>304000</v>
      </c>
      <c r="R814" s="96" t="str">
        <f>IFERROR(__xludf.DUMMYFUNCTION("""COMPUTED_VALUE"""),"Prefinance")</f>
        <v>Prefinance</v>
      </c>
      <c r="S814" s="99">
        <f>IFERROR(__xludf.DUMMYFUNCTION("""COMPUTED_VALUE"""),0.0)</f>
        <v>0</v>
      </c>
      <c r="T814" s="99">
        <f>IFERROR(__xludf.DUMMYFUNCTION("""COMPUTED_VALUE"""),0.0)</f>
        <v>0</v>
      </c>
      <c r="U814" s="99">
        <f>IFERROR(__xludf.DUMMYFUNCTION("""COMPUTED_VALUE"""),0.0)</f>
        <v>0</v>
      </c>
      <c r="V814" s="99">
        <f>IFERROR(__xludf.DUMMYFUNCTION("""COMPUTED_VALUE"""),0.0)</f>
        <v>0</v>
      </c>
      <c r="W814" s="99">
        <f>IFERROR(__xludf.DUMMYFUNCTION("""COMPUTED_VALUE"""),0.0)</f>
        <v>0</v>
      </c>
    </row>
    <row r="815">
      <c r="N815" s="98">
        <f>IFERROR(__xludf.DUMMYFUNCTION("""COMPUTED_VALUE"""),44104.0)</f>
        <v>44104</v>
      </c>
      <c r="O815" s="96" t="str">
        <f>IFERROR(__xludf.DUMMYFUNCTION("""COMPUTED_VALUE"""),"PRIN M. BOSURU")</f>
        <v>PRIN M. BOSURU</v>
      </c>
      <c r="P815" s="96" t="str">
        <f>IFERROR(__xludf.DUMMYFUNCTION("""COMPUTED_VALUE"""),"ADVANCE")</f>
        <v>ADVANCE</v>
      </c>
      <c r="Q815" s="99">
        <f>IFERROR(__xludf.DUMMYFUNCTION("""COMPUTED_VALUE"""),672000.0)</f>
        <v>672000</v>
      </c>
      <c r="R815" s="96" t="str">
        <f>IFERROR(__xludf.DUMMYFUNCTION("""COMPUTED_VALUE"""),"Prefinance")</f>
        <v>Prefinance</v>
      </c>
      <c r="S815" s="99">
        <f>IFERROR(__xludf.DUMMYFUNCTION("""COMPUTED_VALUE"""),0.0)</f>
        <v>0</v>
      </c>
      <c r="T815" s="99">
        <f>IFERROR(__xludf.DUMMYFUNCTION("""COMPUTED_VALUE"""),0.0)</f>
        <v>0</v>
      </c>
      <c r="U815" s="99">
        <f>IFERROR(__xludf.DUMMYFUNCTION("""COMPUTED_VALUE"""),0.0)</f>
        <v>0</v>
      </c>
      <c r="V815" s="99">
        <f>IFERROR(__xludf.DUMMYFUNCTION("""COMPUTED_VALUE"""),0.0)</f>
        <v>0</v>
      </c>
      <c r="W815" s="99">
        <f>IFERROR(__xludf.DUMMYFUNCTION("""COMPUTED_VALUE"""),0.0)</f>
        <v>0</v>
      </c>
    </row>
    <row r="816">
      <c r="N816" s="98">
        <f>IFERROR(__xludf.DUMMYFUNCTION("""COMPUTED_VALUE"""),44104.0)</f>
        <v>44104</v>
      </c>
      <c r="O816" s="96" t="str">
        <f>IFERROR(__xludf.DUMMYFUNCTION("""COMPUTED_VALUE"""),"CONFIDENCE")</f>
        <v>CONFIDENCE</v>
      </c>
      <c r="P816" s="96" t="str">
        <f>IFERROR(__xludf.DUMMYFUNCTION("""COMPUTED_VALUE"""),"PAYMENT")</f>
        <v>PAYMENT</v>
      </c>
      <c r="Q816" s="99">
        <f>IFERROR(__xludf.DUMMYFUNCTION("""COMPUTED_VALUE"""),302800.0)</f>
        <v>302800</v>
      </c>
      <c r="R816" s="96" t="str">
        <f>IFERROR(__xludf.DUMMYFUNCTION("""COMPUTED_VALUE"""),"Prefinance")</f>
        <v>Prefinance</v>
      </c>
      <c r="S816" s="99">
        <f>IFERROR(__xludf.DUMMYFUNCTION("""COMPUTED_VALUE"""),0.0)</f>
        <v>0</v>
      </c>
      <c r="T816" s="99">
        <f>IFERROR(__xludf.DUMMYFUNCTION("""COMPUTED_VALUE"""),0.0)</f>
        <v>0</v>
      </c>
      <c r="U816" s="99">
        <f>IFERROR(__xludf.DUMMYFUNCTION("""COMPUTED_VALUE"""),0.0)</f>
        <v>0</v>
      </c>
      <c r="V816" s="99">
        <f>IFERROR(__xludf.DUMMYFUNCTION("""COMPUTED_VALUE"""),0.0)</f>
        <v>0</v>
      </c>
      <c r="W816" s="99">
        <f>IFERROR(__xludf.DUMMYFUNCTION("""COMPUTED_VALUE"""),0.0)</f>
        <v>0</v>
      </c>
    </row>
    <row r="817">
      <c r="N817" s="98">
        <f>IFERROR(__xludf.DUMMYFUNCTION("""COMPUTED_VALUE"""),44104.0)</f>
        <v>44104</v>
      </c>
      <c r="O817" s="96" t="str">
        <f>IFERROR(__xludf.DUMMYFUNCTION("""COMPUTED_VALUE"""),"EMMANUEL OKO ")</f>
        <v>EMMANUEL OKO </v>
      </c>
      <c r="P817" s="96" t="str">
        <f>IFERROR(__xludf.DUMMYFUNCTION("""COMPUTED_VALUE"""),"ADVANCE")</f>
        <v>ADVANCE</v>
      </c>
      <c r="Q817" s="99">
        <f>IFERROR(__xludf.DUMMYFUNCTION("""COMPUTED_VALUE"""),450000.0)</f>
        <v>450000</v>
      </c>
      <c r="R817" s="96" t="str">
        <f>IFERROR(__xludf.DUMMYFUNCTION("""COMPUTED_VALUE"""),"Prefinance")</f>
        <v>Prefinance</v>
      </c>
      <c r="S817" s="99">
        <f>IFERROR(__xludf.DUMMYFUNCTION("""COMPUTED_VALUE"""),0.0)</f>
        <v>0</v>
      </c>
      <c r="T817" s="99">
        <f>IFERROR(__xludf.DUMMYFUNCTION("""COMPUTED_VALUE"""),0.0)</f>
        <v>0</v>
      </c>
      <c r="U817" s="99">
        <f>IFERROR(__xludf.DUMMYFUNCTION("""COMPUTED_VALUE"""),0.0)</f>
        <v>0</v>
      </c>
      <c r="V817" s="99">
        <f>IFERROR(__xludf.DUMMYFUNCTION("""COMPUTED_VALUE"""),0.0)</f>
        <v>0</v>
      </c>
      <c r="W817" s="99">
        <f>IFERROR(__xludf.DUMMYFUNCTION("""COMPUTED_VALUE"""),0.0)</f>
        <v>0</v>
      </c>
    </row>
    <row r="818">
      <c r="N818" s="98">
        <f>IFERROR(__xludf.DUMMYFUNCTION("""COMPUTED_VALUE"""),44104.0)</f>
        <v>44104</v>
      </c>
      <c r="O818" s="96" t="str">
        <f>IFERROR(__xludf.DUMMYFUNCTION("""COMPUTED_VALUE"""),"UNCLE BIGGIE")</f>
        <v>UNCLE BIGGIE</v>
      </c>
      <c r="P818" s="96" t="str">
        <f>IFERROR(__xludf.DUMMYFUNCTION("""COMPUTED_VALUE"""),"ADVANCE")</f>
        <v>ADVANCE</v>
      </c>
      <c r="Q818" s="99">
        <f>IFERROR(__xludf.DUMMYFUNCTION("""COMPUTED_VALUE"""),300000.0)</f>
        <v>300000</v>
      </c>
      <c r="R818" s="96" t="str">
        <f>IFERROR(__xludf.DUMMYFUNCTION("""COMPUTED_VALUE"""),"Prefinance")</f>
        <v>Prefinance</v>
      </c>
      <c r="S818" s="99">
        <f>IFERROR(__xludf.DUMMYFUNCTION("""COMPUTED_VALUE"""),0.0)</f>
        <v>0</v>
      </c>
      <c r="T818" s="99">
        <f>IFERROR(__xludf.DUMMYFUNCTION("""COMPUTED_VALUE"""),0.0)</f>
        <v>0</v>
      </c>
      <c r="U818" s="99">
        <f>IFERROR(__xludf.DUMMYFUNCTION("""COMPUTED_VALUE"""),0.0)</f>
        <v>0</v>
      </c>
      <c r="V818" s="99">
        <f>IFERROR(__xludf.DUMMYFUNCTION("""COMPUTED_VALUE"""),0.0)</f>
        <v>0</v>
      </c>
      <c r="W818" s="99">
        <f>IFERROR(__xludf.DUMMYFUNCTION("""COMPUTED_VALUE"""),0.0)</f>
        <v>0</v>
      </c>
    </row>
    <row r="819">
      <c r="N819" s="98">
        <f>IFERROR(__xludf.DUMMYFUNCTION("""COMPUTED_VALUE"""),44104.0)</f>
        <v>44104</v>
      </c>
      <c r="O819" s="96" t="str">
        <f>IFERROR(__xludf.DUMMYFUNCTION("""COMPUTED_VALUE"""),"CONNECT")</f>
        <v>CONNECT</v>
      </c>
      <c r="P819" s="96" t="str">
        <f>IFERROR(__xludf.DUMMYFUNCTION("""COMPUTED_VALUE"""),"PAYMENT")</f>
        <v>PAYMENT</v>
      </c>
      <c r="Q819" s="99">
        <f>IFERROR(__xludf.DUMMYFUNCTION("""COMPUTED_VALUE"""),432400.0)</f>
        <v>432400</v>
      </c>
      <c r="R819" s="96" t="str">
        <f>IFERROR(__xludf.DUMMYFUNCTION("""COMPUTED_VALUE"""),"Prefinance")</f>
        <v>Prefinance</v>
      </c>
      <c r="S819" s="99">
        <f>IFERROR(__xludf.DUMMYFUNCTION("""COMPUTED_VALUE"""),0.0)</f>
        <v>0</v>
      </c>
      <c r="T819" s="99">
        <f>IFERROR(__xludf.DUMMYFUNCTION("""COMPUTED_VALUE"""),0.0)</f>
        <v>0</v>
      </c>
      <c r="U819" s="99">
        <f>IFERROR(__xludf.DUMMYFUNCTION("""COMPUTED_VALUE"""),0.0)</f>
        <v>0</v>
      </c>
      <c r="V819" s="99">
        <f>IFERROR(__xludf.DUMMYFUNCTION("""COMPUTED_VALUE"""),0.0)</f>
        <v>0</v>
      </c>
      <c r="W819" s="99">
        <f>IFERROR(__xludf.DUMMYFUNCTION("""COMPUTED_VALUE"""),0.0)</f>
        <v>0</v>
      </c>
    </row>
    <row r="820">
      <c r="N820" s="98">
        <f>IFERROR(__xludf.DUMMYFUNCTION("""COMPUTED_VALUE"""),44104.0)</f>
        <v>44104</v>
      </c>
      <c r="O820" s="96" t="str">
        <f>IFERROR(__xludf.DUMMYFUNCTION("""COMPUTED_VALUE"""),"CAN")</f>
        <v>CAN</v>
      </c>
      <c r="P820" s="96" t="str">
        <f>IFERROR(__xludf.DUMMYFUNCTION("""COMPUTED_VALUE"""),"HAULAGE")</f>
        <v>HAULAGE</v>
      </c>
      <c r="Q820" s="99">
        <f>IFERROR(__xludf.DUMMYFUNCTION("""COMPUTED_VALUE"""),71000.0)</f>
        <v>71000</v>
      </c>
      <c r="R820" s="96" t="str">
        <f>IFERROR(__xludf.DUMMYFUNCTION("""COMPUTED_VALUE"""),"General Expenses")</f>
        <v>General Expenses</v>
      </c>
      <c r="S820" s="99">
        <f>IFERROR(__xludf.DUMMYFUNCTION("""COMPUTED_VALUE"""),0.0)</f>
        <v>0</v>
      </c>
      <c r="T820" s="99">
        <f>IFERROR(__xludf.DUMMYFUNCTION("""COMPUTED_VALUE"""),71000.0)</f>
        <v>71000</v>
      </c>
      <c r="U820" s="99">
        <f>IFERROR(__xludf.DUMMYFUNCTION("""COMPUTED_VALUE"""),0.0)</f>
        <v>0</v>
      </c>
      <c r="V820" s="99">
        <f>IFERROR(__xludf.DUMMYFUNCTION("""COMPUTED_VALUE"""),0.0)</f>
        <v>0</v>
      </c>
      <c r="W820" s="99">
        <f>IFERROR(__xludf.DUMMYFUNCTION("""COMPUTED_VALUE"""),0.0)</f>
        <v>0</v>
      </c>
    </row>
    <row r="821">
      <c r="N821" s="98">
        <f>IFERROR(__xludf.DUMMYFUNCTION("""COMPUTED_VALUE"""),44104.0)</f>
        <v>44104</v>
      </c>
      <c r="O821" s="96" t="str">
        <f>IFERROR(__xludf.DUMMYFUNCTION("""COMPUTED_VALUE"""),"AYUK BLESSING")</f>
        <v>AYUK BLESSING</v>
      </c>
      <c r="P821" s="96" t="str">
        <f>IFERROR(__xludf.DUMMYFUNCTION("""COMPUTED_VALUE"""),"STATIONERIES")</f>
        <v>STATIONERIES</v>
      </c>
      <c r="Q821" s="99">
        <f>IFERROR(__xludf.DUMMYFUNCTION("""COMPUTED_VALUE"""),3200.0)</f>
        <v>3200</v>
      </c>
      <c r="R821" s="96" t="str">
        <f>IFERROR(__xludf.DUMMYFUNCTION("""COMPUTED_VALUE"""),"General Expenses")</f>
        <v>General Expenses</v>
      </c>
      <c r="S821" s="99">
        <f>IFERROR(__xludf.DUMMYFUNCTION("""COMPUTED_VALUE"""),0.0)</f>
        <v>0</v>
      </c>
      <c r="T821" s="99">
        <f>IFERROR(__xludf.DUMMYFUNCTION("""COMPUTED_VALUE"""),3200.0)</f>
        <v>3200</v>
      </c>
      <c r="U821" s="99">
        <f>IFERROR(__xludf.DUMMYFUNCTION("""COMPUTED_VALUE"""),0.0)</f>
        <v>0</v>
      </c>
      <c r="V821" s="99">
        <f>IFERROR(__xludf.DUMMYFUNCTION("""COMPUTED_VALUE"""),0.0)</f>
        <v>0</v>
      </c>
      <c r="W821" s="99">
        <f>IFERROR(__xludf.DUMMYFUNCTION("""COMPUTED_VALUE"""),0.0)</f>
        <v>0</v>
      </c>
    </row>
    <row r="822">
      <c r="N822" s="98">
        <f>IFERROR(__xludf.DUMMYFUNCTION("""COMPUTED_VALUE"""),44104.0)</f>
        <v>44104</v>
      </c>
      <c r="O822" s="96" t="str">
        <f>IFERROR(__xludf.DUMMYFUNCTION("""COMPUTED_VALUE"""),"MATIAT")</f>
        <v>MATIAT</v>
      </c>
      <c r="P822" s="96" t="str">
        <f>IFERROR(__xludf.DUMMYFUNCTION("""COMPUTED_VALUE"""),"TAPOLINE")</f>
        <v>TAPOLINE</v>
      </c>
      <c r="Q822" s="99">
        <f>IFERROR(__xludf.DUMMYFUNCTION("""COMPUTED_VALUE"""),47000.0)</f>
        <v>47000</v>
      </c>
      <c r="R822" s="96" t="str">
        <f>IFERROR(__xludf.DUMMYFUNCTION("""COMPUTED_VALUE"""),"General Expenses")</f>
        <v>General Expenses</v>
      </c>
      <c r="S822" s="99">
        <f>IFERROR(__xludf.DUMMYFUNCTION("""COMPUTED_VALUE"""),0.0)</f>
        <v>0</v>
      </c>
      <c r="T822" s="99">
        <f>IFERROR(__xludf.DUMMYFUNCTION("""COMPUTED_VALUE"""),47000.0)</f>
        <v>47000</v>
      </c>
      <c r="U822" s="99">
        <f>IFERROR(__xludf.DUMMYFUNCTION("""COMPUTED_VALUE"""),0.0)</f>
        <v>0</v>
      </c>
      <c r="V822" s="99">
        <f>IFERROR(__xludf.DUMMYFUNCTION("""COMPUTED_VALUE"""),0.0)</f>
        <v>0</v>
      </c>
      <c r="W822" s="99">
        <f>IFERROR(__xludf.DUMMYFUNCTION("""COMPUTED_VALUE"""),0.0)</f>
        <v>0</v>
      </c>
    </row>
    <row r="823">
      <c r="N823" s="98">
        <f>IFERROR(__xludf.DUMMYFUNCTION("""COMPUTED_VALUE"""),44104.0)</f>
        <v>44104</v>
      </c>
      <c r="O823" s="96" t="str">
        <f>IFERROR(__xludf.DUMMYFUNCTION("""COMPUTED_VALUE"""),"CAN")</f>
        <v>CAN</v>
      </c>
      <c r="P823" s="96" t="str">
        <f>IFERROR(__xludf.DUMMYFUNCTION("""COMPUTED_VALUE"""),"HAULAGE")</f>
        <v>HAULAGE</v>
      </c>
      <c r="Q823" s="99">
        <f>IFERROR(__xludf.DUMMYFUNCTION("""COMPUTED_VALUE"""),69200.0)</f>
        <v>69200</v>
      </c>
      <c r="R823" s="96" t="str">
        <f>IFERROR(__xludf.DUMMYFUNCTION("""COMPUTED_VALUE"""),"General Expenses")</f>
        <v>General Expenses</v>
      </c>
      <c r="S823" s="99">
        <f>IFERROR(__xludf.DUMMYFUNCTION("""COMPUTED_VALUE"""),0.0)</f>
        <v>0</v>
      </c>
      <c r="T823" s="99">
        <f>IFERROR(__xludf.DUMMYFUNCTION("""COMPUTED_VALUE"""),69200.0)</f>
        <v>69200</v>
      </c>
      <c r="U823" s="99">
        <f>IFERROR(__xludf.DUMMYFUNCTION("""COMPUTED_VALUE"""),0.0)</f>
        <v>0</v>
      </c>
      <c r="V823" s="99">
        <f>IFERROR(__xludf.DUMMYFUNCTION("""COMPUTED_VALUE"""),0.0)</f>
        <v>0</v>
      </c>
      <c r="W823" s="99">
        <f>IFERROR(__xludf.DUMMYFUNCTION("""COMPUTED_VALUE"""),0.0)</f>
        <v>0</v>
      </c>
    </row>
    <row r="824">
      <c r="N824" s="98">
        <f>IFERROR(__xludf.DUMMYFUNCTION("""COMPUTED_VALUE"""),44104.0)</f>
        <v>44104</v>
      </c>
      <c r="O824" s="96" t="str">
        <f>IFERROR(__xludf.DUMMYFUNCTION("""COMPUTED_VALUE"""),"MANAGER")</f>
        <v>MANAGER</v>
      </c>
      <c r="P824" s="96" t="str">
        <f>IFERROR(__xludf.DUMMYFUNCTION("""COMPUTED_VALUE"""),"PERSONAL USE")</f>
        <v>PERSONAL USE</v>
      </c>
      <c r="Q824" s="99">
        <f>IFERROR(__xludf.DUMMYFUNCTION("""COMPUTED_VALUE"""),200.0)</f>
        <v>200</v>
      </c>
      <c r="R824" s="96" t="str">
        <f>IFERROR(__xludf.DUMMYFUNCTION("""COMPUTED_VALUE"""),"General Expenses")</f>
        <v>General Expenses</v>
      </c>
      <c r="S824" s="99">
        <f>IFERROR(__xludf.DUMMYFUNCTION("""COMPUTED_VALUE"""),0.0)</f>
        <v>0</v>
      </c>
      <c r="T824" s="99">
        <f>IFERROR(__xludf.DUMMYFUNCTION("""COMPUTED_VALUE"""),200.0)</f>
        <v>200</v>
      </c>
      <c r="U824" s="99">
        <f>IFERROR(__xludf.DUMMYFUNCTION("""COMPUTED_VALUE"""),0.0)</f>
        <v>0</v>
      </c>
      <c r="V824" s="99">
        <f>IFERROR(__xludf.DUMMYFUNCTION("""COMPUTED_VALUE"""),0.0)</f>
        <v>0</v>
      </c>
      <c r="W824" s="99">
        <f>IFERROR(__xludf.DUMMYFUNCTION("""COMPUTED_VALUE"""),0.0)</f>
        <v>0</v>
      </c>
    </row>
    <row r="825">
      <c r="N825" s="98">
        <f>IFERROR(__xludf.DUMMYFUNCTION("""COMPUTED_VALUE"""),44104.0)</f>
        <v>44104</v>
      </c>
      <c r="O825" s="96" t="str">
        <f>IFERROR(__xludf.DUMMYFUNCTION("""COMPUTED_VALUE"""),"OJ")</f>
        <v>OJ</v>
      </c>
      <c r="P825" s="96" t="str">
        <f>IFERROR(__xludf.DUMMYFUNCTION("""COMPUTED_VALUE"""),"TRANSPORT")</f>
        <v>TRANSPORT</v>
      </c>
      <c r="Q825" s="99">
        <f>IFERROR(__xludf.DUMMYFUNCTION("""COMPUTED_VALUE"""),125000.0)</f>
        <v>125000</v>
      </c>
      <c r="R825" s="96" t="str">
        <f>IFERROR(__xludf.DUMMYFUNCTION("""COMPUTED_VALUE"""),"General Expenses")</f>
        <v>General Expenses</v>
      </c>
      <c r="S825" s="99">
        <f>IFERROR(__xludf.DUMMYFUNCTION("""COMPUTED_VALUE"""),0.0)</f>
        <v>0</v>
      </c>
      <c r="T825" s="99">
        <f>IFERROR(__xludf.DUMMYFUNCTION("""COMPUTED_VALUE"""),125000.0)</f>
        <v>125000</v>
      </c>
      <c r="U825" s="99">
        <f>IFERROR(__xludf.DUMMYFUNCTION("""COMPUTED_VALUE"""),0.0)</f>
        <v>0</v>
      </c>
      <c r="V825" s="99">
        <f>IFERROR(__xludf.DUMMYFUNCTION("""COMPUTED_VALUE"""),0.0)</f>
        <v>0</v>
      </c>
      <c r="W825" s="99">
        <f>IFERROR(__xludf.DUMMYFUNCTION("""COMPUTED_VALUE"""),0.0)</f>
        <v>0</v>
      </c>
    </row>
    <row r="826">
      <c r="N826" s="98">
        <f>IFERROR(__xludf.DUMMYFUNCTION("""COMPUTED_VALUE"""),44104.0)</f>
        <v>44104</v>
      </c>
      <c r="O826" s="96" t="str">
        <f>IFERROR(__xludf.DUMMYFUNCTION("""COMPUTED_VALUE"""),"MANAGER")</f>
        <v>MANAGER</v>
      </c>
      <c r="P826" s="96" t="str">
        <f>IFERROR(__xludf.DUMMYFUNCTION("""COMPUTED_VALUE"""),"GRADING PAPER")</f>
        <v>GRADING PAPER</v>
      </c>
      <c r="Q826" s="99">
        <f>IFERROR(__xludf.DUMMYFUNCTION("""COMPUTED_VALUE"""),400000.0)</f>
        <v>400000</v>
      </c>
      <c r="R826" s="96" t="str">
        <f>IFERROR(__xludf.DUMMYFUNCTION("""COMPUTED_VALUE"""),"General Expenses")</f>
        <v>General Expenses</v>
      </c>
      <c r="S826" s="99">
        <f>IFERROR(__xludf.DUMMYFUNCTION("""COMPUTED_VALUE"""),0.0)</f>
        <v>0</v>
      </c>
      <c r="T826" s="99">
        <f>IFERROR(__xludf.DUMMYFUNCTION("""COMPUTED_VALUE"""),400000.0)</f>
        <v>400000</v>
      </c>
      <c r="U826" s="99">
        <f>IFERROR(__xludf.DUMMYFUNCTION("""COMPUTED_VALUE"""),0.0)</f>
        <v>0</v>
      </c>
      <c r="V826" s="99">
        <f>IFERROR(__xludf.DUMMYFUNCTION("""COMPUTED_VALUE"""),0.0)</f>
        <v>0</v>
      </c>
      <c r="W826" s="99">
        <f>IFERROR(__xludf.DUMMYFUNCTION("""COMPUTED_VALUE"""),0.0)</f>
        <v>0</v>
      </c>
    </row>
    <row r="827">
      <c r="N827" s="98">
        <f>IFERROR(__xludf.DUMMYFUNCTION("""COMPUTED_VALUE"""),44104.0)</f>
        <v>44104</v>
      </c>
      <c r="O827" s="96" t="str">
        <f>IFERROR(__xludf.DUMMYFUNCTION("""COMPUTED_VALUE"""),"QUEEN")</f>
        <v>QUEEN</v>
      </c>
      <c r="P827" s="96" t="str">
        <f>IFERROR(__xludf.DUMMYFUNCTION("""COMPUTED_VALUE"""),"TRANSPORT")</f>
        <v>TRANSPORT</v>
      </c>
      <c r="Q827" s="99">
        <f>IFERROR(__xludf.DUMMYFUNCTION("""COMPUTED_VALUE"""),100.0)</f>
        <v>100</v>
      </c>
      <c r="R827" s="96" t="str">
        <f>IFERROR(__xludf.DUMMYFUNCTION("""COMPUTED_VALUE"""),"General Expenses")</f>
        <v>General Expenses</v>
      </c>
      <c r="S827" s="99">
        <f>IFERROR(__xludf.DUMMYFUNCTION("""COMPUTED_VALUE"""),0.0)</f>
        <v>0</v>
      </c>
      <c r="T827" s="99">
        <f>IFERROR(__xludf.DUMMYFUNCTION("""COMPUTED_VALUE"""),100.0)</f>
        <v>100</v>
      </c>
      <c r="U827" s="99">
        <f>IFERROR(__xludf.DUMMYFUNCTION("""COMPUTED_VALUE"""),0.0)</f>
        <v>0</v>
      </c>
      <c r="V827" s="99">
        <f>IFERROR(__xludf.DUMMYFUNCTION("""COMPUTED_VALUE"""),0.0)</f>
        <v>0</v>
      </c>
      <c r="W827" s="99">
        <f>IFERROR(__xludf.DUMMYFUNCTION("""COMPUTED_VALUE"""),0.0)</f>
        <v>0</v>
      </c>
    </row>
    <row r="828">
      <c r="N828" s="98">
        <f>IFERROR(__xludf.DUMMYFUNCTION("""COMPUTED_VALUE"""),44104.0)</f>
        <v>44104</v>
      </c>
      <c r="O828" s="96" t="str">
        <f>IFERROR(__xludf.DUMMYFUNCTION("""COMPUTED_VALUE"""),"LABOUR  BOY")</f>
        <v>LABOUR  BOY</v>
      </c>
      <c r="P828" s="96" t="str">
        <f>IFERROR(__xludf.DUMMYFUNCTION("""COMPUTED_VALUE"""),"WAGES ADVANCE")</f>
        <v>WAGES ADVANCE</v>
      </c>
      <c r="Q828" s="99">
        <f>IFERROR(__xludf.DUMMYFUNCTION("""COMPUTED_VALUE"""),6500.0)</f>
        <v>6500</v>
      </c>
      <c r="R828" s="96" t="str">
        <f>IFERROR(__xludf.DUMMYFUNCTION("""COMPUTED_VALUE"""),"General Expenses")</f>
        <v>General Expenses</v>
      </c>
      <c r="S828" s="99">
        <f>IFERROR(__xludf.DUMMYFUNCTION("""COMPUTED_VALUE"""),0.0)</f>
        <v>0</v>
      </c>
      <c r="T828" s="99">
        <f>IFERROR(__xludf.DUMMYFUNCTION("""COMPUTED_VALUE"""),6500.0)</f>
        <v>6500</v>
      </c>
      <c r="U828" s="99">
        <f>IFERROR(__xludf.DUMMYFUNCTION("""COMPUTED_VALUE"""),0.0)</f>
        <v>0</v>
      </c>
      <c r="V828" s="99">
        <f>IFERROR(__xludf.DUMMYFUNCTION("""COMPUTED_VALUE"""),0.0)</f>
        <v>0</v>
      </c>
      <c r="W828" s="99">
        <f>IFERROR(__xludf.DUMMYFUNCTION("""COMPUTED_VALUE"""),0.0)</f>
        <v>0</v>
      </c>
    </row>
    <row r="829">
      <c r="N829" s="98">
        <f>IFERROR(__xludf.DUMMYFUNCTION("""COMPUTED_VALUE"""),44104.0)</f>
        <v>44104</v>
      </c>
      <c r="O829" s="96" t="str">
        <f>IFERROR(__xludf.DUMMYFUNCTION("""COMPUTED_VALUE"""),"CONNECT")</f>
        <v>CONNECT</v>
      </c>
      <c r="P829" s="96" t="str">
        <f>IFERROR(__xludf.DUMMYFUNCTION("""COMPUTED_VALUE"""),"DIRECTOR CAR")</f>
        <v>DIRECTOR CAR</v>
      </c>
      <c r="Q829" s="99">
        <f>IFERROR(__xludf.DUMMYFUNCTION("""COMPUTED_VALUE"""),3000.0)</f>
        <v>3000</v>
      </c>
      <c r="R829" s="96" t="str">
        <f>IFERROR(__xludf.DUMMYFUNCTION("""COMPUTED_VALUE"""),"General Expenses")</f>
        <v>General Expenses</v>
      </c>
      <c r="S829" s="99">
        <f>IFERROR(__xludf.DUMMYFUNCTION("""COMPUTED_VALUE"""),0.0)</f>
        <v>0</v>
      </c>
      <c r="T829" s="99">
        <f>IFERROR(__xludf.DUMMYFUNCTION("""COMPUTED_VALUE"""),3000.0)</f>
        <v>3000</v>
      </c>
      <c r="U829" s="99">
        <f>IFERROR(__xludf.DUMMYFUNCTION("""COMPUTED_VALUE"""),0.0)</f>
        <v>0</v>
      </c>
      <c r="V829" s="99">
        <f>IFERROR(__xludf.DUMMYFUNCTION("""COMPUTED_VALUE"""),0.0)</f>
        <v>0</v>
      </c>
      <c r="W829" s="99">
        <f>IFERROR(__xludf.DUMMYFUNCTION("""COMPUTED_VALUE"""),0.0)</f>
        <v>0</v>
      </c>
    </row>
    <row r="830">
      <c r="N830" s="98">
        <f>IFERROR(__xludf.DUMMYFUNCTION("""COMPUTED_VALUE"""),44104.0)</f>
        <v>44104</v>
      </c>
      <c r="O830" s="96" t="str">
        <f>IFERROR(__xludf.DUMMYFUNCTION("""COMPUTED_VALUE"""),"OTU KOKO KEIBO")</f>
        <v>OTU KOKO KEIBO</v>
      </c>
      <c r="P830" s="96" t="str">
        <f>IFERROR(__xludf.DUMMYFUNCTION("""COMPUTED_VALUE"""),"PERSONAL USE")</f>
        <v>PERSONAL USE</v>
      </c>
      <c r="Q830" s="99">
        <f>IFERROR(__xludf.DUMMYFUNCTION("""COMPUTED_VALUE"""),70000.0)</f>
        <v>70000</v>
      </c>
      <c r="R830" s="96" t="str">
        <f>IFERROR(__xludf.DUMMYFUNCTION("""COMPUTED_VALUE"""),"General Expenses")</f>
        <v>General Expenses</v>
      </c>
      <c r="S830" s="99">
        <f>IFERROR(__xludf.DUMMYFUNCTION("""COMPUTED_VALUE"""),0.0)</f>
        <v>0</v>
      </c>
      <c r="T830" s="99">
        <f>IFERROR(__xludf.DUMMYFUNCTION("""COMPUTED_VALUE"""),70000.0)</f>
        <v>70000</v>
      </c>
      <c r="U830" s="99">
        <f>IFERROR(__xludf.DUMMYFUNCTION("""COMPUTED_VALUE"""),0.0)</f>
        <v>0</v>
      </c>
      <c r="V830" s="99">
        <f>IFERROR(__xludf.DUMMYFUNCTION("""COMPUTED_VALUE"""),0.0)</f>
        <v>0</v>
      </c>
      <c r="W830" s="99">
        <f>IFERROR(__xludf.DUMMYFUNCTION("""COMPUTED_VALUE"""),0.0)</f>
        <v>0</v>
      </c>
    </row>
    <row r="831">
      <c r="N831" s="98">
        <f>IFERROR(__xludf.DUMMYFUNCTION("""COMPUTED_VALUE"""),44104.0)</f>
        <v>44104</v>
      </c>
      <c r="O831" s="96" t="str">
        <f>IFERROR(__xludf.DUMMYFUNCTION("""COMPUTED_VALUE"""),"ABANG. ASHA")</f>
        <v>ABANG. ASHA</v>
      </c>
      <c r="P831" s="96" t="str">
        <f>IFERROR(__xludf.DUMMYFUNCTION("""COMPUTED_VALUE"""),"LAPTOP")</f>
        <v>LAPTOP</v>
      </c>
      <c r="Q831" s="99">
        <f>IFERROR(__xludf.DUMMYFUNCTION("""COMPUTED_VALUE"""),60000.0)</f>
        <v>60000</v>
      </c>
      <c r="R831" s="96" t="str">
        <f>IFERROR(__xludf.DUMMYFUNCTION("""COMPUTED_VALUE"""),"General Expenses")</f>
        <v>General Expenses</v>
      </c>
      <c r="S831" s="99">
        <f>IFERROR(__xludf.DUMMYFUNCTION("""COMPUTED_VALUE"""),0.0)</f>
        <v>0</v>
      </c>
      <c r="T831" s="99">
        <f>IFERROR(__xludf.DUMMYFUNCTION("""COMPUTED_VALUE"""),60000.0)</f>
        <v>60000</v>
      </c>
      <c r="U831" s="99">
        <f>IFERROR(__xludf.DUMMYFUNCTION("""COMPUTED_VALUE"""),0.0)</f>
        <v>0</v>
      </c>
      <c r="V831" s="99">
        <f>IFERROR(__xludf.DUMMYFUNCTION("""COMPUTED_VALUE"""),0.0)</f>
        <v>0</v>
      </c>
      <c r="W831" s="99">
        <f>IFERROR(__xludf.DUMMYFUNCTION("""COMPUTED_VALUE"""),0.0)</f>
        <v>0</v>
      </c>
    </row>
    <row r="832">
      <c r="N832" s="98">
        <f>IFERROR(__xludf.DUMMYFUNCTION("""COMPUTED_VALUE"""),44104.0)</f>
        <v>44104</v>
      </c>
      <c r="O832" s="96" t="str">
        <f>IFERROR(__xludf.DUMMYFUNCTION("""COMPUTED_VALUE"""),"E-BOY")</f>
        <v>E-BOY</v>
      </c>
      <c r="P832" s="96" t="str">
        <f>IFERROR(__xludf.DUMMYFUNCTION("""COMPUTED_VALUE"""),"TRANSPORT / FUEL")</f>
        <v>TRANSPORT / FUEL</v>
      </c>
      <c r="Q832" s="99">
        <f>IFERROR(__xludf.DUMMYFUNCTION("""COMPUTED_VALUE"""),1300.0)</f>
        <v>1300</v>
      </c>
      <c r="R832" s="96" t="str">
        <f>IFERROR(__xludf.DUMMYFUNCTION("""COMPUTED_VALUE"""),"General Expenses")</f>
        <v>General Expenses</v>
      </c>
      <c r="S832" s="99">
        <f>IFERROR(__xludf.DUMMYFUNCTION("""COMPUTED_VALUE"""),0.0)</f>
        <v>0</v>
      </c>
      <c r="T832" s="99">
        <f>IFERROR(__xludf.DUMMYFUNCTION("""COMPUTED_VALUE"""),1300.0)</f>
        <v>1300</v>
      </c>
      <c r="U832" s="99">
        <f>IFERROR(__xludf.DUMMYFUNCTION("""COMPUTED_VALUE"""),0.0)</f>
        <v>0</v>
      </c>
      <c r="V832" s="99">
        <f>IFERROR(__xludf.DUMMYFUNCTION("""COMPUTED_VALUE"""),0.0)</f>
        <v>0</v>
      </c>
      <c r="W832" s="99">
        <f>IFERROR(__xludf.DUMMYFUNCTION("""COMPUTED_VALUE"""),0.0)</f>
        <v>0</v>
      </c>
    </row>
    <row r="833">
      <c r="N833" s="98">
        <f>IFERROR(__xludf.DUMMYFUNCTION("""COMPUTED_VALUE"""),44104.0)</f>
        <v>44104</v>
      </c>
      <c r="O833" s="96" t="str">
        <f>IFERROR(__xludf.DUMMYFUNCTION("""COMPUTED_VALUE"""),"DIRECTOR")</f>
        <v>DIRECTOR</v>
      </c>
      <c r="P833" s="96" t="str">
        <f>IFERROR(__xludf.DUMMYFUNCTION("""COMPUTED_VALUE"""),"ISEIWU")</f>
        <v>ISEIWU</v>
      </c>
      <c r="Q833" s="99">
        <f>IFERROR(__xludf.DUMMYFUNCTION("""COMPUTED_VALUE"""),2000.0)</f>
        <v>2000</v>
      </c>
      <c r="R833" s="96" t="str">
        <f>IFERROR(__xludf.DUMMYFUNCTION("""COMPUTED_VALUE"""),"General Expenses")</f>
        <v>General Expenses</v>
      </c>
      <c r="S833" s="99">
        <f>IFERROR(__xludf.DUMMYFUNCTION("""COMPUTED_VALUE"""),0.0)</f>
        <v>0</v>
      </c>
      <c r="T833" s="99">
        <f>IFERROR(__xludf.DUMMYFUNCTION("""COMPUTED_VALUE"""),2000.0)</f>
        <v>2000</v>
      </c>
      <c r="U833" s="99">
        <f>IFERROR(__xludf.DUMMYFUNCTION("""COMPUTED_VALUE"""),0.0)</f>
        <v>0</v>
      </c>
      <c r="V833" s="99">
        <f>IFERROR(__xludf.DUMMYFUNCTION("""COMPUTED_VALUE"""),0.0)</f>
        <v>0</v>
      </c>
      <c r="W833" s="99">
        <f>IFERROR(__xludf.DUMMYFUNCTION("""COMPUTED_VALUE"""),0.0)</f>
        <v>0</v>
      </c>
    </row>
    <row r="834">
      <c r="N834" s="98">
        <f>IFERROR(__xludf.DUMMYFUNCTION("""COMPUTED_VALUE"""),44104.0)</f>
        <v>44104</v>
      </c>
      <c r="O834" s="96" t="str">
        <f>IFERROR(__xludf.DUMMYFUNCTION("""COMPUTED_VALUE"""),"AYUK BLESSING")</f>
        <v>AYUK BLESSING</v>
      </c>
      <c r="P834" s="96" t="str">
        <f>IFERROR(__xludf.DUMMYFUNCTION("""COMPUTED_VALUE"""),"CASH COLLECTED")</f>
        <v>CASH COLLECTED</v>
      </c>
      <c r="Q834" s="99">
        <f>IFERROR(__xludf.DUMMYFUNCTION("""COMPUTED_VALUE"""),1013000.0)</f>
        <v>1013000</v>
      </c>
      <c r="R834" s="96" t="str">
        <f>IFERROR(__xludf.DUMMYFUNCTION("""COMPUTED_VALUE"""),"Petty Cash")</f>
        <v>Petty Cash</v>
      </c>
      <c r="S834" s="99">
        <f>IFERROR(__xludf.DUMMYFUNCTION("""COMPUTED_VALUE"""),0.0)</f>
        <v>0</v>
      </c>
      <c r="T834" s="99">
        <f>IFERROR(__xludf.DUMMYFUNCTION("""COMPUTED_VALUE"""),0.0)</f>
        <v>0</v>
      </c>
      <c r="U834" s="99">
        <f>IFERROR(__xludf.DUMMYFUNCTION("""COMPUTED_VALUE"""),0.0)</f>
        <v>0</v>
      </c>
      <c r="V834" s="99">
        <f>IFERROR(__xludf.DUMMYFUNCTION("""COMPUTED_VALUE"""),1013000.0)</f>
        <v>1013000</v>
      </c>
      <c r="W834" s="99">
        <f>IFERROR(__xludf.DUMMYFUNCTION("""COMPUTED_VALUE"""),0.0)</f>
        <v>0</v>
      </c>
    </row>
    <row r="835">
      <c r="N835" s="98">
        <f>IFERROR(__xludf.DUMMYFUNCTION("""COMPUTED_VALUE"""),44104.0)</f>
        <v>44104</v>
      </c>
      <c r="O835" s="96" t="str">
        <f>IFERROR(__xludf.DUMMYFUNCTION("""COMPUTED_VALUE"""),"MANAGER")</f>
        <v>MANAGER</v>
      </c>
      <c r="P835" s="96" t="str">
        <f>IFERROR(__xludf.DUMMYFUNCTION("""COMPUTED_VALUE"""),"CASH-IN")</f>
        <v>CASH-IN</v>
      </c>
      <c r="Q835" s="99">
        <f>IFERROR(__xludf.DUMMYFUNCTION("""COMPUTED_VALUE"""),4370500.0)</f>
        <v>4370500</v>
      </c>
      <c r="R835" s="96" t="str">
        <f>IFERROR(__xludf.DUMMYFUNCTION("""COMPUTED_VALUE"""),"From Bank")</f>
        <v>From Bank</v>
      </c>
      <c r="S835" s="99">
        <f>IFERROR(__xludf.DUMMYFUNCTION("""COMPUTED_VALUE"""),0.0)</f>
        <v>0</v>
      </c>
      <c r="T835" s="99">
        <f>IFERROR(__xludf.DUMMYFUNCTION("""COMPUTED_VALUE"""),0.0)</f>
        <v>0</v>
      </c>
      <c r="U835" s="99">
        <f>IFERROR(__xludf.DUMMYFUNCTION("""COMPUTED_VALUE"""),4370500.0)</f>
        <v>4370500</v>
      </c>
      <c r="V835" s="99">
        <f>IFERROR(__xludf.DUMMYFUNCTION("""COMPUTED_VALUE"""),0.0)</f>
        <v>0</v>
      </c>
      <c r="W835" s="99">
        <f>IFERROR(__xludf.DUMMYFUNCTION("""COMPUTED_VALUE"""),0.0)</f>
        <v>0</v>
      </c>
    </row>
    <row r="836">
      <c r="N836" s="98">
        <f>IFERROR(__xludf.DUMMYFUNCTION("""COMPUTED_VALUE"""),44106.0)</f>
        <v>44106</v>
      </c>
      <c r="O836" s="96" t="str">
        <f>IFERROR(__xludf.DUMMYFUNCTION("""COMPUTED_VALUE"""),"EDWARD OKO")</f>
        <v>EDWARD OKO</v>
      </c>
      <c r="P836" s="96" t="str">
        <f>IFERROR(__xludf.DUMMYFUNCTION("""COMPUTED_VALUE"""),"ADVANCE (DIR)")</f>
        <v>ADVANCE (DIR)</v>
      </c>
      <c r="Q836" s="99">
        <f>IFERROR(__xludf.DUMMYFUNCTION("""COMPUTED_VALUE"""),3000000.0)</f>
        <v>3000000</v>
      </c>
      <c r="R836" s="96" t="str">
        <f>IFERROR(__xludf.DUMMYFUNCTION("""COMPUTED_VALUE"""),"Prefinance")</f>
        <v>Prefinance</v>
      </c>
      <c r="S836" s="99">
        <f>IFERROR(__xludf.DUMMYFUNCTION("""COMPUTED_VALUE"""),0.0)</f>
        <v>0</v>
      </c>
      <c r="T836" s="99">
        <f>IFERROR(__xludf.DUMMYFUNCTION("""COMPUTED_VALUE"""),0.0)</f>
        <v>0</v>
      </c>
      <c r="U836" s="99">
        <f>IFERROR(__xludf.DUMMYFUNCTION("""COMPUTED_VALUE"""),0.0)</f>
        <v>0</v>
      </c>
      <c r="V836" s="99">
        <f>IFERROR(__xludf.DUMMYFUNCTION("""COMPUTED_VALUE"""),0.0)</f>
        <v>0</v>
      </c>
      <c r="W836" s="99">
        <f>IFERROR(__xludf.DUMMYFUNCTION("""COMPUTED_VALUE"""),0.0)</f>
        <v>0</v>
      </c>
    </row>
    <row r="837">
      <c r="N837" s="98">
        <f>IFERROR(__xludf.DUMMYFUNCTION("""COMPUTED_VALUE"""),44106.0)</f>
        <v>44106</v>
      </c>
      <c r="O837" s="96" t="str">
        <f>IFERROR(__xludf.DUMMYFUNCTION("""COMPUTED_VALUE"""),"DIRECTOR")</f>
        <v>DIRECTOR</v>
      </c>
      <c r="P837" s="96" t="str">
        <f>IFERROR(__xludf.DUMMYFUNCTION("""COMPUTED_VALUE"""),"TRANSFERED")</f>
        <v>TRANSFERED</v>
      </c>
      <c r="Q837" s="99">
        <f>IFERROR(__xludf.DUMMYFUNCTION("""COMPUTED_VALUE"""),3000000.0)</f>
        <v>3000000</v>
      </c>
      <c r="R837" s="96" t="str">
        <f>IFERROR(__xludf.DUMMYFUNCTION("""COMPUTED_VALUE"""),"From Bank")</f>
        <v>From Bank</v>
      </c>
      <c r="S837" s="99">
        <f>IFERROR(__xludf.DUMMYFUNCTION("""COMPUTED_VALUE"""),0.0)</f>
        <v>0</v>
      </c>
      <c r="T837" s="99">
        <f>IFERROR(__xludf.DUMMYFUNCTION("""COMPUTED_VALUE"""),0.0)</f>
        <v>0</v>
      </c>
      <c r="U837" s="99">
        <f>IFERROR(__xludf.DUMMYFUNCTION("""COMPUTED_VALUE"""),3000000.0)</f>
        <v>3000000</v>
      </c>
      <c r="V837" s="99">
        <f>IFERROR(__xludf.DUMMYFUNCTION("""COMPUTED_VALUE"""),0.0)</f>
        <v>0</v>
      </c>
      <c r="W837" s="99">
        <f>IFERROR(__xludf.DUMMYFUNCTION("""COMPUTED_VALUE"""),0.0)</f>
        <v>0</v>
      </c>
    </row>
    <row r="838">
      <c r="N838" s="98">
        <f>IFERROR(__xludf.DUMMYFUNCTION("""COMPUTED_VALUE"""),44105.0)</f>
        <v>44105</v>
      </c>
      <c r="O838" s="96" t="str">
        <f>IFERROR(__xludf.DUMMYFUNCTION("""COMPUTED_VALUE"""),"UNCLE BIGGIE")</f>
        <v>UNCLE BIGGIE</v>
      </c>
      <c r="P838" s="96" t="str">
        <f>IFERROR(__xludf.DUMMYFUNCTION("""COMPUTED_VALUE"""),"ADVANCE")</f>
        <v>ADVANCE</v>
      </c>
      <c r="Q838" s="99">
        <f>IFERROR(__xludf.DUMMYFUNCTION("""COMPUTED_VALUE"""),200000.0)</f>
        <v>200000</v>
      </c>
      <c r="R838" s="96" t="str">
        <f>IFERROR(__xludf.DUMMYFUNCTION("""COMPUTED_VALUE"""),"Prefinance")</f>
        <v>Prefinance</v>
      </c>
      <c r="S838" s="99">
        <f>IFERROR(__xludf.DUMMYFUNCTION("""COMPUTED_VALUE"""),0.0)</f>
        <v>0</v>
      </c>
      <c r="T838" s="99">
        <f>IFERROR(__xludf.DUMMYFUNCTION("""COMPUTED_VALUE"""),0.0)</f>
        <v>0</v>
      </c>
      <c r="U838" s="99">
        <f>IFERROR(__xludf.DUMMYFUNCTION("""COMPUTED_VALUE"""),0.0)</f>
        <v>0</v>
      </c>
      <c r="V838" s="99">
        <f>IFERROR(__xludf.DUMMYFUNCTION("""COMPUTED_VALUE"""),0.0)</f>
        <v>0</v>
      </c>
      <c r="W838" s="99">
        <f>IFERROR(__xludf.DUMMYFUNCTION("""COMPUTED_VALUE"""),0.0)</f>
        <v>0</v>
      </c>
    </row>
    <row r="839">
      <c r="N839" s="98">
        <f>IFERROR(__xludf.DUMMYFUNCTION("""COMPUTED_VALUE"""),44105.0)</f>
        <v>44105</v>
      </c>
      <c r="O839" s="96" t="str">
        <f>IFERROR(__xludf.DUMMYFUNCTION("""COMPUTED_VALUE"""),"AUGUSTINE IGBA")</f>
        <v>AUGUSTINE IGBA</v>
      </c>
      <c r="P839" s="96" t="str">
        <f>IFERROR(__xludf.DUMMYFUNCTION("""COMPUTED_VALUE"""),"TRANSPORT")</f>
        <v>TRANSPORT</v>
      </c>
      <c r="Q839" s="99">
        <f>IFERROR(__xludf.DUMMYFUNCTION("""COMPUTED_VALUE"""),10000.0)</f>
        <v>10000</v>
      </c>
      <c r="R839" s="96" t="str">
        <f>IFERROR(__xludf.DUMMYFUNCTION("""COMPUTED_VALUE"""),"Prefinance")</f>
        <v>Prefinance</v>
      </c>
      <c r="S839" s="99">
        <f>IFERROR(__xludf.DUMMYFUNCTION("""COMPUTED_VALUE"""),0.0)</f>
        <v>0</v>
      </c>
      <c r="T839" s="99">
        <f>IFERROR(__xludf.DUMMYFUNCTION("""COMPUTED_VALUE"""),0.0)</f>
        <v>0</v>
      </c>
      <c r="U839" s="99">
        <f>IFERROR(__xludf.DUMMYFUNCTION("""COMPUTED_VALUE"""),0.0)</f>
        <v>0</v>
      </c>
      <c r="V839" s="99">
        <f>IFERROR(__xludf.DUMMYFUNCTION("""COMPUTED_VALUE"""),0.0)</f>
        <v>0</v>
      </c>
      <c r="W839" s="99">
        <f>IFERROR(__xludf.DUMMYFUNCTION("""COMPUTED_VALUE"""),0.0)</f>
        <v>0</v>
      </c>
    </row>
    <row r="840">
      <c r="N840" s="98">
        <f>IFERROR(__xludf.DUMMYFUNCTION("""COMPUTED_VALUE"""),44105.0)</f>
        <v>44105</v>
      </c>
      <c r="O840" s="96" t="str">
        <f>IFERROR(__xludf.DUMMYFUNCTION("""COMPUTED_VALUE"""),"DIRECTOR")</f>
        <v>DIRECTOR</v>
      </c>
      <c r="P840" s="96" t="str">
        <f>IFERROR(__xludf.DUMMYFUNCTION("""COMPUTED_VALUE"""),"PERSONAL USE")</f>
        <v>PERSONAL USE</v>
      </c>
      <c r="Q840" s="99">
        <f>IFERROR(__xludf.DUMMYFUNCTION("""COMPUTED_VALUE"""),180000.0)</f>
        <v>180000</v>
      </c>
      <c r="R840" s="96" t="str">
        <f>IFERROR(__xludf.DUMMYFUNCTION("""COMPUTED_VALUE"""),"General Expenses")</f>
        <v>General Expenses</v>
      </c>
      <c r="S840" s="99">
        <f>IFERROR(__xludf.DUMMYFUNCTION("""COMPUTED_VALUE"""),0.0)</f>
        <v>0</v>
      </c>
      <c r="T840" s="99">
        <f>IFERROR(__xludf.DUMMYFUNCTION("""COMPUTED_VALUE"""),180000.0)</f>
        <v>180000</v>
      </c>
      <c r="U840" s="99">
        <f>IFERROR(__xludf.DUMMYFUNCTION("""COMPUTED_VALUE"""),0.0)</f>
        <v>0</v>
      </c>
      <c r="V840" s="99">
        <f>IFERROR(__xludf.DUMMYFUNCTION("""COMPUTED_VALUE"""),0.0)</f>
        <v>0</v>
      </c>
      <c r="W840" s="99">
        <f>IFERROR(__xludf.DUMMYFUNCTION("""COMPUTED_VALUE"""),0.0)</f>
        <v>0</v>
      </c>
    </row>
    <row r="841">
      <c r="N841" s="98">
        <f>IFERROR(__xludf.DUMMYFUNCTION("""COMPUTED_VALUE"""),44105.0)</f>
        <v>44105</v>
      </c>
      <c r="O841" s="96" t="str">
        <f>IFERROR(__xludf.DUMMYFUNCTION("""COMPUTED_VALUE"""),"KOKOK NYIAN")</f>
        <v>KOKOK NYIAN</v>
      </c>
      <c r="P841" s="96" t="str">
        <f>IFERROR(__xludf.DUMMYFUNCTION("""COMPUTED_VALUE"""),"SALARY ADVANCE")</f>
        <v>SALARY ADVANCE</v>
      </c>
      <c r="Q841" s="99">
        <f>IFERROR(__xludf.DUMMYFUNCTION("""COMPUTED_VALUE"""),10000.0)</f>
        <v>10000</v>
      </c>
      <c r="R841" s="96" t="str">
        <f>IFERROR(__xludf.DUMMYFUNCTION("""COMPUTED_VALUE"""),"General Expenses")</f>
        <v>General Expenses</v>
      </c>
      <c r="S841" s="99">
        <f>IFERROR(__xludf.DUMMYFUNCTION("""COMPUTED_VALUE"""),0.0)</f>
        <v>0</v>
      </c>
      <c r="T841" s="99">
        <f>IFERROR(__xludf.DUMMYFUNCTION("""COMPUTED_VALUE"""),10000.0)</f>
        <v>10000</v>
      </c>
      <c r="U841" s="99">
        <f>IFERROR(__xludf.DUMMYFUNCTION("""COMPUTED_VALUE"""),0.0)</f>
        <v>0</v>
      </c>
      <c r="V841" s="99">
        <f>IFERROR(__xludf.DUMMYFUNCTION("""COMPUTED_VALUE"""),0.0)</f>
        <v>0</v>
      </c>
      <c r="W841" s="99">
        <f>IFERROR(__xludf.DUMMYFUNCTION("""COMPUTED_VALUE"""),0.0)</f>
        <v>0</v>
      </c>
    </row>
    <row r="842">
      <c r="N842" s="98">
        <f>IFERROR(__xludf.DUMMYFUNCTION("""COMPUTED_VALUE"""),44105.0)</f>
        <v>44105</v>
      </c>
      <c r="O842" s="96" t="str">
        <f>IFERROR(__xludf.DUMMYFUNCTION("""COMPUTED_VALUE"""),"HONORABLE ")</f>
        <v>HONORABLE </v>
      </c>
      <c r="P842" s="96" t="str">
        <f>IFERROR(__xludf.DUMMYFUNCTION("""COMPUTED_VALUE"""),"DIRECTOR ORDER")</f>
        <v>DIRECTOR ORDER</v>
      </c>
      <c r="Q842" s="99">
        <f>IFERROR(__xludf.DUMMYFUNCTION("""COMPUTED_VALUE"""),25000.0)</f>
        <v>25000</v>
      </c>
      <c r="R842" s="96" t="str">
        <f>IFERROR(__xludf.DUMMYFUNCTION("""COMPUTED_VALUE"""),"General Expenses")</f>
        <v>General Expenses</v>
      </c>
      <c r="S842" s="99">
        <f>IFERROR(__xludf.DUMMYFUNCTION("""COMPUTED_VALUE"""),0.0)</f>
        <v>0</v>
      </c>
      <c r="T842" s="99">
        <f>IFERROR(__xludf.DUMMYFUNCTION("""COMPUTED_VALUE"""),25000.0)</f>
        <v>25000</v>
      </c>
      <c r="U842" s="99">
        <f>IFERROR(__xludf.DUMMYFUNCTION("""COMPUTED_VALUE"""),0.0)</f>
        <v>0</v>
      </c>
      <c r="V842" s="99">
        <f>IFERROR(__xludf.DUMMYFUNCTION("""COMPUTED_VALUE"""),0.0)</f>
        <v>0</v>
      </c>
      <c r="W842" s="99">
        <f>IFERROR(__xludf.DUMMYFUNCTION("""COMPUTED_VALUE"""),0.0)</f>
        <v>0</v>
      </c>
    </row>
    <row r="843">
      <c r="N843" s="98">
        <f>IFERROR(__xludf.DUMMYFUNCTION("""COMPUTED_VALUE"""),44105.0)</f>
        <v>44105</v>
      </c>
      <c r="O843" s="96" t="str">
        <f>IFERROR(__xludf.DUMMYFUNCTION("""COMPUTED_VALUE"""),"ESCORT PETER")</f>
        <v>ESCORT PETER</v>
      </c>
      <c r="P843" s="96" t="str">
        <f>IFERROR(__xludf.DUMMYFUNCTION("""COMPUTED_VALUE"""),"FEE ADVANCE")</f>
        <v>FEE ADVANCE</v>
      </c>
      <c r="Q843" s="99">
        <f>IFERROR(__xludf.DUMMYFUNCTION("""COMPUTED_VALUE"""),5000.0)</f>
        <v>5000</v>
      </c>
      <c r="R843" s="96" t="str">
        <f>IFERROR(__xludf.DUMMYFUNCTION("""COMPUTED_VALUE"""),"General Expenses")</f>
        <v>General Expenses</v>
      </c>
      <c r="S843" s="99">
        <f>IFERROR(__xludf.DUMMYFUNCTION("""COMPUTED_VALUE"""),0.0)</f>
        <v>0</v>
      </c>
      <c r="T843" s="99">
        <f>IFERROR(__xludf.DUMMYFUNCTION("""COMPUTED_VALUE"""),5000.0)</f>
        <v>5000</v>
      </c>
      <c r="U843" s="99">
        <f>IFERROR(__xludf.DUMMYFUNCTION("""COMPUTED_VALUE"""),0.0)</f>
        <v>0</v>
      </c>
      <c r="V843" s="99">
        <f>IFERROR(__xludf.DUMMYFUNCTION("""COMPUTED_VALUE"""),0.0)</f>
        <v>0</v>
      </c>
      <c r="W843" s="99">
        <f>IFERROR(__xludf.DUMMYFUNCTION("""COMPUTED_VALUE"""),0.0)</f>
        <v>0</v>
      </c>
    </row>
    <row r="844">
      <c r="N844" s="98">
        <f>IFERROR(__xludf.DUMMYFUNCTION("""COMPUTED_VALUE"""),44105.0)</f>
        <v>44105</v>
      </c>
      <c r="O844" s="96" t="str">
        <f>IFERROR(__xludf.DUMMYFUNCTION("""COMPUTED_VALUE"""),"MANAGER")</f>
        <v>MANAGER</v>
      </c>
      <c r="P844" s="96" t="str">
        <f>IFERROR(__xludf.DUMMYFUNCTION("""COMPUTED_VALUE"""),"SALARY ADVANCE")</f>
        <v>SALARY ADVANCE</v>
      </c>
      <c r="Q844" s="99">
        <f>IFERROR(__xludf.DUMMYFUNCTION("""COMPUTED_VALUE"""),5000.0)</f>
        <v>5000</v>
      </c>
      <c r="R844" s="96" t="str">
        <f>IFERROR(__xludf.DUMMYFUNCTION("""COMPUTED_VALUE"""),"General Expenses")</f>
        <v>General Expenses</v>
      </c>
      <c r="S844" s="99">
        <f>IFERROR(__xludf.DUMMYFUNCTION("""COMPUTED_VALUE"""),0.0)</f>
        <v>0</v>
      </c>
      <c r="T844" s="99">
        <f>IFERROR(__xludf.DUMMYFUNCTION("""COMPUTED_VALUE"""),5000.0)</f>
        <v>5000</v>
      </c>
      <c r="U844" s="99">
        <f>IFERROR(__xludf.DUMMYFUNCTION("""COMPUTED_VALUE"""),0.0)</f>
        <v>0</v>
      </c>
      <c r="V844" s="99">
        <f>IFERROR(__xludf.DUMMYFUNCTION("""COMPUTED_VALUE"""),0.0)</f>
        <v>0</v>
      </c>
      <c r="W844" s="99">
        <f>IFERROR(__xludf.DUMMYFUNCTION("""COMPUTED_VALUE"""),0.0)</f>
        <v>0</v>
      </c>
    </row>
    <row r="845">
      <c r="N845" s="98">
        <f>IFERROR(__xludf.DUMMYFUNCTION("""COMPUTED_VALUE"""),44105.0)</f>
        <v>44105</v>
      </c>
      <c r="O845" s="96" t="str">
        <f>IFERROR(__xludf.DUMMYFUNCTION("""COMPUTED_VALUE"""),"LABOUR  BOY")</f>
        <v>LABOUR  BOY</v>
      </c>
      <c r="P845" s="96" t="str">
        <f>IFERROR(__xludf.DUMMYFUNCTION("""COMPUTED_VALUE"""),"WAGES ADVANCE")</f>
        <v>WAGES ADVANCE</v>
      </c>
      <c r="Q845" s="99">
        <f>IFERROR(__xludf.DUMMYFUNCTION("""COMPUTED_VALUE"""),8000.0)</f>
        <v>8000</v>
      </c>
      <c r="R845" s="96" t="str">
        <f>IFERROR(__xludf.DUMMYFUNCTION("""COMPUTED_VALUE"""),"General Expenses")</f>
        <v>General Expenses</v>
      </c>
      <c r="S845" s="99">
        <f>IFERROR(__xludf.DUMMYFUNCTION("""COMPUTED_VALUE"""),0.0)</f>
        <v>0</v>
      </c>
      <c r="T845" s="99">
        <f>IFERROR(__xludf.DUMMYFUNCTION("""COMPUTED_VALUE"""),8000.0)</f>
        <v>8000</v>
      </c>
      <c r="U845" s="99">
        <f>IFERROR(__xludf.DUMMYFUNCTION("""COMPUTED_VALUE"""),0.0)</f>
        <v>0</v>
      </c>
      <c r="V845" s="99">
        <f>IFERROR(__xludf.DUMMYFUNCTION("""COMPUTED_VALUE"""),0.0)</f>
        <v>0</v>
      </c>
      <c r="W845" s="99">
        <f>IFERROR(__xludf.DUMMYFUNCTION("""COMPUTED_VALUE"""),0.0)</f>
        <v>0</v>
      </c>
    </row>
    <row r="846">
      <c r="N846" s="98">
        <f>IFERROR(__xludf.DUMMYFUNCTION("""COMPUTED_VALUE"""),44105.0)</f>
        <v>44105</v>
      </c>
      <c r="O846" s="96" t="str">
        <f>IFERROR(__xludf.DUMMYFUNCTION("""COMPUTED_VALUE"""),"DIESEL BOY")</f>
        <v>DIESEL BOY</v>
      </c>
      <c r="P846" s="96" t="str">
        <f>IFERROR(__xludf.DUMMYFUNCTION("""COMPUTED_VALUE"""),"DIESEL")</f>
        <v>DIESEL</v>
      </c>
      <c r="Q846" s="99">
        <f>IFERROR(__xludf.DUMMYFUNCTION("""COMPUTED_VALUE"""),30000.0)</f>
        <v>30000</v>
      </c>
      <c r="R846" s="96" t="str">
        <f>IFERROR(__xludf.DUMMYFUNCTION("""COMPUTED_VALUE"""),"General Expenses")</f>
        <v>General Expenses</v>
      </c>
      <c r="S846" s="99">
        <f>IFERROR(__xludf.DUMMYFUNCTION("""COMPUTED_VALUE"""),0.0)</f>
        <v>0</v>
      </c>
      <c r="T846" s="99">
        <f>IFERROR(__xludf.DUMMYFUNCTION("""COMPUTED_VALUE"""),30000.0)</f>
        <v>30000</v>
      </c>
      <c r="U846" s="99">
        <f>IFERROR(__xludf.DUMMYFUNCTION("""COMPUTED_VALUE"""),0.0)</f>
        <v>0</v>
      </c>
      <c r="V846" s="99">
        <f>IFERROR(__xludf.DUMMYFUNCTION("""COMPUTED_VALUE"""),0.0)</f>
        <v>0</v>
      </c>
      <c r="W846" s="99">
        <f>IFERROR(__xludf.DUMMYFUNCTION("""COMPUTED_VALUE"""),0.0)</f>
        <v>0</v>
      </c>
    </row>
    <row r="847">
      <c r="N847" s="98">
        <f>IFERROR(__xludf.DUMMYFUNCTION("""COMPUTED_VALUE"""),44105.0)</f>
        <v>44105</v>
      </c>
      <c r="O847" s="96" t="str">
        <f>IFERROR(__xludf.DUMMYFUNCTION("""COMPUTED_VALUE"""),"AYUK BLESSING")</f>
        <v>AYUK BLESSING</v>
      </c>
      <c r="P847" s="96" t="str">
        <f>IFERROR(__xludf.DUMMYFUNCTION("""COMPUTED_VALUE"""),"CASH COLLECTED")</f>
        <v>CASH COLLECTED</v>
      </c>
      <c r="Q847" s="99">
        <f>IFERROR(__xludf.DUMMYFUNCTION("""COMPUTED_VALUE"""),314300.0)</f>
        <v>314300</v>
      </c>
      <c r="R847" s="96" t="str">
        <f>IFERROR(__xludf.DUMMYFUNCTION("""COMPUTED_VALUE"""),"Petty Cash")</f>
        <v>Petty Cash</v>
      </c>
      <c r="S847" s="99">
        <f>IFERROR(__xludf.DUMMYFUNCTION("""COMPUTED_VALUE"""),0.0)</f>
        <v>0</v>
      </c>
      <c r="T847" s="99">
        <f>IFERROR(__xludf.DUMMYFUNCTION("""COMPUTED_VALUE"""),0.0)</f>
        <v>0</v>
      </c>
      <c r="U847" s="99">
        <f>IFERROR(__xludf.DUMMYFUNCTION("""COMPUTED_VALUE"""),0.0)</f>
        <v>0</v>
      </c>
      <c r="V847" s="99">
        <f>IFERROR(__xludf.DUMMYFUNCTION("""COMPUTED_VALUE"""),314300.0)</f>
        <v>314300</v>
      </c>
      <c r="W847" s="99">
        <f>IFERROR(__xludf.DUMMYFUNCTION("""COMPUTED_VALUE"""),0.0)</f>
        <v>0</v>
      </c>
    </row>
    <row r="848">
      <c r="N848" s="98">
        <f>IFERROR(__xludf.DUMMYFUNCTION("""COMPUTED_VALUE"""),44106.0)</f>
        <v>44106</v>
      </c>
      <c r="O848" s="96" t="str">
        <f>IFERROR(__xludf.DUMMYFUNCTION("""COMPUTED_VALUE""")," MAXWELL AGRO")</f>
        <v> MAXWELL AGRO</v>
      </c>
      <c r="P848" s="96" t="str">
        <f>IFERROR(__xludf.DUMMYFUNCTION("""COMPUTED_VALUE"""),"ADVANCE")</f>
        <v>ADVANCE</v>
      </c>
      <c r="Q848" s="99">
        <f>IFERROR(__xludf.DUMMYFUNCTION("""COMPUTED_VALUE"""),1000000.0)</f>
        <v>1000000</v>
      </c>
      <c r="R848" s="96" t="str">
        <f>IFERROR(__xludf.DUMMYFUNCTION("""COMPUTED_VALUE"""),"Prefinance")</f>
        <v>Prefinance</v>
      </c>
      <c r="S848" s="99">
        <f>IFERROR(__xludf.DUMMYFUNCTION("""COMPUTED_VALUE"""),0.0)</f>
        <v>0</v>
      </c>
      <c r="T848" s="99">
        <f>IFERROR(__xludf.DUMMYFUNCTION("""COMPUTED_VALUE"""),0.0)</f>
        <v>0</v>
      </c>
      <c r="U848" s="99">
        <f>IFERROR(__xludf.DUMMYFUNCTION("""COMPUTED_VALUE"""),0.0)</f>
        <v>0</v>
      </c>
      <c r="V848" s="99">
        <f>IFERROR(__xludf.DUMMYFUNCTION("""COMPUTED_VALUE"""),0.0)</f>
        <v>0</v>
      </c>
      <c r="W848" s="99">
        <f>IFERROR(__xludf.DUMMYFUNCTION("""COMPUTED_VALUE"""),0.0)</f>
        <v>0</v>
      </c>
    </row>
    <row r="849">
      <c r="N849" s="98">
        <f>IFERROR(__xludf.DUMMYFUNCTION("""COMPUTED_VALUE"""),44106.0)</f>
        <v>44106</v>
      </c>
      <c r="O849" s="96" t="str">
        <f>IFERROR(__xludf.DUMMYFUNCTION("""COMPUTED_VALUE"""),"ETUK EFFI")</f>
        <v>ETUK EFFI</v>
      </c>
      <c r="P849" s="96" t="str">
        <f>IFERROR(__xludf.DUMMYFUNCTION("""COMPUTED_VALUE"""),"ADVANCE")</f>
        <v>ADVANCE</v>
      </c>
      <c r="Q849" s="99">
        <f>IFERROR(__xludf.DUMMYFUNCTION("""COMPUTED_VALUE"""),1000000.0)</f>
        <v>1000000</v>
      </c>
      <c r="R849" s="96" t="str">
        <f>IFERROR(__xludf.DUMMYFUNCTION("""COMPUTED_VALUE"""),"Prefinance")</f>
        <v>Prefinance</v>
      </c>
      <c r="S849" s="99">
        <f>IFERROR(__xludf.DUMMYFUNCTION("""COMPUTED_VALUE"""),0.0)</f>
        <v>0</v>
      </c>
      <c r="T849" s="99">
        <f>IFERROR(__xludf.DUMMYFUNCTION("""COMPUTED_VALUE"""),0.0)</f>
        <v>0</v>
      </c>
      <c r="U849" s="99">
        <f>IFERROR(__xludf.DUMMYFUNCTION("""COMPUTED_VALUE"""),0.0)</f>
        <v>0</v>
      </c>
      <c r="V849" s="99">
        <f>IFERROR(__xludf.DUMMYFUNCTION("""COMPUTED_VALUE"""),0.0)</f>
        <v>0</v>
      </c>
      <c r="W849" s="99">
        <f>IFERROR(__xludf.DUMMYFUNCTION("""COMPUTED_VALUE"""),0.0)</f>
        <v>0</v>
      </c>
    </row>
    <row r="850">
      <c r="N850" s="98">
        <f>IFERROR(__xludf.DUMMYFUNCTION("""COMPUTED_VALUE"""),44106.0)</f>
        <v>44106</v>
      </c>
      <c r="O850" s="96" t="str">
        <f>IFERROR(__xludf.DUMMYFUNCTION("""COMPUTED_VALUE"""),"NAOMI")</f>
        <v>NAOMI</v>
      </c>
      <c r="P850" s="96" t="str">
        <f>IFERROR(__xludf.DUMMYFUNCTION("""COMPUTED_VALUE"""),"ADVANCE")</f>
        <v>ADVANCE</v>
      </c>
      <c r="Q850" s="99">
        <f>IFERROR(__xludf.DUMMYFUNCTION("""COMPUTED_VALUE"""),20000.0)</f>
        <v>20000</v>
      </c>
      <c r="R850" s="96" t="str">
        <f>IFERROR(__xludf.DUMMYFUNCTION("""COMPUTED_VALUE"""),"Prefinance")</f>
        <v>Prefinance</v>
      </c>
      <c r="S850" s="99">
        <f>IFERROR(__xludf.DUMMYFUNCTION("""COMPUTED_VALUE"""),0.0)</f>
        <v>0</v>
      </c>
      <c r="T850" s="99">
        <f>IFERROR(__xludf.DUMMYFUNCTION("""COMPUTED_VALUE"""),0.0)</f>
        <v>0</v>
      </c>
      <c r="U850" s="99">
        <f>IFERROR(__xludf.DUMMYFUNCTION("""COMPUTED_VALUE"""),0.0)</f>
        <v>0</v>
      </c>
      <c r="V850" s="99">
        <f>IFERROR(__xludf.DUMMYFUNCTION("""COMPUTED_VALUE"""),0.0)</f>
        <v>0</v>
      </c>
      <c r="W850" s="99">
        <f>IFERROR(__xludf.DUMMYFUNCTION("""COMPUTED_VALUE"""),0.0)</f>
        <v>0</v>
      </c>
    </row>
    <row r="851">
      <c r="N851" s="98">
        <f>IFERROR(__xludf.DUMMYFUNCTION("""COMPUTED_VALUE"""),44106.0)</f>
        <v>44106</v>
      </c>
      <c r="O851" s="96" t="str">
        <f>IFERROR(__xludf.DUMMYFUNCTION("""COMPUTED_VALUE"""),"ABANG. ORU")</f>
        <v>ABANG. ORU</v>
      </c>
      <c r="P851" s="96" t="str">
        <f>IFERROR(__xludf.DUMMYFUNCTION("""COMPUTED_VALUE"""),"ADVANCE")</f>
        <v>ADVANCE</v>
      </c>
      <c r="Q851" s="99">
        <f>IFERROR(__xludf.DUMMYFUNCTION("""COMPUTED_VALUE"""),20000.0)</f>
        <v>20000</v>
      </c>
      <c r="R851" s="96" t="str">
        <f>IFERROR(__xludf.DUMMYFUNCTION("""COMPUTED_VALUE"""),"Prefinance")</f>
        <v>Prefinance</v>
      </c>
      <c r="S851" s="99">
        <f>IFERROR(__xludf.DUMMYFUNCTION("""COMPUTED_VALUE"""),0.0)</f>
        <v>0</v>
      </c>
      <c r="T851" s="99">
        <f>IFERROR(__xludf.DUMMYFUNCTION("""COMPUTED_VALUE"""),0.0)</f>
        <v>0</v>
      </c>
      <c r="U851" s="99">
        <f>IFERROR(__xludf.DUMMYFUNCTION("""COMPUTED_VALUE"""),0.0)</f>
        <v>0</v>
      </c>
      <c r="V851" s="99">
        <f>IFERROR(__xludf.DUMMYFUNCTION("""COMPUTED_VALUE"""),0.0)</f>
        <v>0</v>
      </c>
      <c r="W851" s="99">
        <f>IFERROR(__xludf.DUMMYFUNCTION("""COMPUTED_VALUE"""),0.0)</f>
        <v>0</v>
      </c>
    </row>
    <row r="852">
      <c r="N852" s="98">
        <f>IFERROR(__xludf.DUMMYFUNCTION("""COMPUTED_VALUE"""),44106.0)</f>
        <v>44106</v>
      </c>
      <c r="O852" s="96" t="str">
        <f>IFERROR(__xludf.DUMMYFUNCTION("""COMPUTED_VALUE"""),"DIRECTOR")</f>
        <v>DIRECTOR</v>
      </c>
      <c r="P852" s="96" t="str">
        <f>IFERROR(__xludf.DUMMYFUNCTION("""COMPUTED_VALUE"""),"PERSONAL USE")</f>
        <v>PERSONAL USE</v>
      </c>
      <c r="Q852" s="99">
        <f>IFERROR(__xludf.DUMMYFUNCTION("""COMPUTED_VALUE"""),70000.0)</f>
        <v>70000</v>
      </c>
      <c r="R852" s="96" t="str">
        <f>IFERROR(__xludf.DUMMYFUNCTION("""COMPUTED_VALUE"""),"General Expenses")</f>
        <v>General Expenses</v>
      </c>
      <c r="S852" s="99">
        <f>IFERROR(__xludf.DUMMYFUNCTION("""COMPUTED_VALUE"""),0.0)</f>
        <v>0</v>
      </c>
      <c r="T852" s="99">
        <f>IFERROR(__xludf.DUMMYFUNCTION("""COMPUTED_VALUE"""),70000.0)</f>
        <v>70000</v>
      </c>
      <c r="U852" s="99">
        <f>IFERROR(__xludf.DUMMYFUNCTION("""COMPUTED_VALUE"""),0.0)</f>
        <v>0</v>
      </c>
      <c r="V852" s="99">
        <f>IFERROR(__xludf.DUMMYFUNCTION("""COMPUTED_VALUE"""),0.0)</f>
        <v>0</v>
      </c>
      <c r="W852" s="99">
        <f>IFERROR(__xludf.DUMMYFUNCTION("""COMPUTED_VALUE"""),0.0)</f>
        <v>0</v>
      </c>
    </row>
    <row r="853">
      <c r="N853" s="98">
        <f>IFERROR(__xludf.DUMMYFUNCTION("""COMPUTED_VALUE"""),44106.0)</f>
        <v>44106</v>
      </c>
      <c r="O853" s="96" t="str">
        <f>IFERROR(__xludf.DUMMYFUNCTION("""COMPUTED_VALUE"""),"SECURITY")</f>
        <v>SECURITY</v>
      </c>
      <c r="P853" s="96" t="str">
        <f>IFERROR(__xludf.DUMMYFUNCTION("""COMPUTED_VALUE"""),"SALARY ADVANCE")</f>
        <v>SALARY ADVANCE</v>
      </c>
      <c r="Q853" s="99">
        <f>IFERROR(__xludf.DUMMYFUNCTION("""COMPUTED_VALUE"""),10000.0)</f>
        <v>10000</v>
      </c>
      <c r="R853" s="96" t="str">
        <f>IFERROR(__xludf.DUMMYFUNCTION("""COMPUTED_VALUE"""),"General Expenses")</f>
        <v>General Expenses</v>
      </c>
      <c r="S853" s="99">
        <f>IFERROR(__xludf.DUMMYFUNCTION("""COMPUTED_VALUE"""),0.0)</f>
        <v>0</v>
      </c>
      <c r="T853" s="99">
        <f>IFERROR(__xludf.DUMMYFUNCTION("""COMPUTED_VALUE"""),10000.0)</f>
        <v>10000</v>
      </c>
      <c r="U853" s="99">
        <f>IFERROR(__xludf.DUMMYFUNCTION("""COMPUTED_VALUE"""),0.0)</f>
        <v>0</v>
      </c>
      <c r="V853" s="99">
        <f>IFERROR(__xludf.DUMMYFUNCTION("""COMPUTED_VALUE"""),0.0)</f>
        <v>0</v>
      </c>
      <c r="W853" s="99">
        <f>IFERROR(__xludf.DUMMYFUNCTION("""COMPUTED_VALUE"""),0.0)</f>
        <v>0</v>
      </c>
    </row>
    <row r="854">
      <c r="N854" s="98">
        <f>IFERROR(__xludf.DUMMYFUNCTION("""COMPUTED_VALUE"""),44106.0)</f>
        <v>44106</v>
      </c>
      <c r="O854" s="96" t="str">
        <f>IFERROR(__xludf.DUMMYFUNCTION("""COMPUTED_VALUE"""),"HONORABLE ")</f>
        <v>HONORABLE </v>
      </c>
      <c r="P854" s="96" t="str">
        <f>IFERROR(__xludf.DUMMYFUNCTION("""COMPUTED_VALUE"""),"DIRECTOR ORDER")</f>
        <v>DIRECTOR ORDER</v>
      </c>
      <c r="Q854" s="99">
        <f>IFERROR(__xludf.DUMMYFUNCTION("""COMPUTED_VALUE"""),50000.0)</f>
        <v>50000</v>
      </c>
      <c r="R854" s="96" t="str">
        <f>IFERROR(__xludf.DUMMYFUNCTION("""COMPUTED_VALUE"""),"General Expenses")</f>
        <v>General Expenses</v>
      </c>
      <c r="S854" s="99">
        <f>IFERROR(__xludf.DUMMYFUNCTION("""COMPUTED_VALUE"""),0.0)</f>
        <v>0</v>
      </c>
      <c r="T854" s="99">
        <f>IFERROR(__xludf.DUMMYFUNCTION("""COMPUTED_VALUE"""),50000.0)</f>
        <v>50000</v>
      </c>
      <c r="U854" s="99">
        <f>IFERROR(__xludf.DUMMYFUNCTION("""COMPUTED_VALUE"""),0.0)</f>
        <v>0</v>
      </c>
      <c r="V854" s="99">
        <f>IFERROR(__xludf.DUMMYFUNCTION("""COMPUTED_VALUE"""),0.0)</f>
        <v>0</v>
      </c>
      <c r="W854" s="99">
        <f>IFERROR(__xludf.DUMMYFUNCTION("""COMPUTED_VALUE"""),0.0)</f>
        <v>0</v>
      </c>
    </row>
    <row r="855">
      <c r="N855" s="98">
        <f>IFERROR(__xludf.DUMMYFUNCTION("""COMPUTED_VALUE"""),44106.0)</f>
        <v>44106</v>
      </c>
      <c r="O855" s="96" t="str">
        <f>IFERROR(__xludf.DUMMYFUNCTION("""COMPUTED_VALUE"""),"DORATHY")</f>
        <v>DORATHY</v>
      </c>
      <c r="P855" s="96" t="str">
        <f>IFERROR(__xludf.DUMMYFUNCTION("""COMPUTED_VALUE"""),"TRANSPORT TO OLAM")</f>
        <v>TRANSPORT TO OLAM</v>
      </c>
      <c r="Q855" s="99">
        <f>IFERROR(__xludf.DUMMYFUNCTION("""COMPUTED_VALUE"""),200.0)</f>
        <v>200</v>
      </c>
      <c r="R855" s="96" t="str">
        <f>IFERROR(__xludf.DUMMYFUNCTION("""COMPUTED_VALUE"""),"General Expenses")</f>
        <v>General Expenses</v>
      </c>
      <c r="S855" s="99">
        <f>IFERROR(__xludf.DUMMYFUNCTION("""COMPUTED_VALUE"""),0.0)</f>
        <v>0</v>
      </c>
      <c r="T855" s="99">
        <f>IFERROR(__xludf.DUMMYFUNCTION("""COMPUTED_VALUE"""),200.0)</f>
        <v>200</v>
      </c>
      <c r="U855" s="99">
        <f>IFERROR(__xludf.DUMMYFUNCTION("""COMPUTED_VALUE"""),0.0)</f>
        <v>0</v>
      </c>
      <c r="V855" s="99">
        <f>IFERROR(__xludf.DUMMYFUNCTION("""COMPUTED_VALUE"""),0.0)</f>
        <v>0</v>
      </c>
      <c r="W855" s="99">
        <f>IFERROR(__xludf.DUMMYFUNCTION("""COMPUTED_VALUE"""),0.0)</f>
        <v>0</v>
      </c>
    </row>
    <row r="856">
      <c r="N856" s="98">
        <f>IFERROR(__xludf.DUMMYFUNCTION("""COMPUTED_VALUE"""),44106.0)</f>
        <v>44106</v>
      </c>
      <c r="O856" s="96" t="str">
        <f>IFERROR(__xludf.DUMMYFUNCTION("""COMPUTED_VALUE"""),"LABOUR  BOY")</f>
        <v>LABOUR  BOY</v>
      </c>
      <c r="P856" s="96" t="str">
        <f>IFERROR(__xludf.DUMMYFUNCTION("""COMPUTED_VALUE"""),"WAGES ADVANCE")</f>
        <v>WAGES ADVANCE</v>
      </c>
      <c r="Q856" s="99">
        <f>IFERROR(__xludf.DUMMYFUNCTION("""COMPUTED_VALUE"""),9000.0)</f>
        <v>9000</v>
      </c>
      <c r="R856" s="96" t="str">
        <f>IFERROR(__xludf.DUMMYFUNCTION("""COMPUTED_VALUE"""),"General Expenses")</f>
        <v>General Expenses</v>
      </c>
      <c r="S856" s="99">
        <f>IFERROR(__xludf.DUMMYFUNCTION("""COMPUTED_VALUE"""),0.0)</f>
        <v>0</v>
      </c>
      <c r="T856" s="99">
        <f>IFERROR(__xludf.DUMMYFUNCTION("""COMPUTED_VALUE"""),9000.0)</f>
        <v>9000</v>
      </c>
      <c r="U856" s="99">
        <f>IFERROR(__xludf.DUMMYFUNCTION("""COMPUTED_VALUE"""),0.0)</f>
        <v>0</v>
      </c>
      <c r="V856" s="99">
        <f>IFERROR(__xludf.DUMMYFUNCTION("""COMPUTED_VALUE"""),0.0)</f>
        <v>0</v>
      </c>
      <c r="W856" s="99">
        <f>IFERROR(__xludf.DUMMYFUNCTION("""COMPUTED_VALUE"""),0.0)</f>
        <v>0</v>
      </c>
    </row>
    <row r="857">
      <c r="N857" s="98">
        <f>IFERROR(__xludf.DUMMYFUNCTION("""COMPUTED_VALUE"""),44106.0)</f>
        <v>44106</v>
      </c>
      <c r="O857" s="96" t="str">
        <f>IFERROR(__xludf.DUMMYFUNCTION("""COMPUTED_VALUE"""),"ESCORT PETER")</f>
        <v>ESCORT PETER</v>
      </c>
      <c r="P857" s="96" t="str">
        <f>IFERROR(__xludf.DUMMYFUNCTION("""COMPUTED_VALUE"""),"ESCORT FEE")</f>
        <v>ESCORT FEE</v>
      </c>
      <c r="Q857" s="99">
        <f>IFERROR(__xludf.DUMMYFUNCTION("""COMPUTED_VALUE"""),70000.0)</f>
        <v>70000</v>
      </c>
      <c r="R857" s="96" t="str">
        <f>IFERROR(__xludf.DUMMYFUNCTION("""COMPUTED_VALUE"""),"General Expenses")</f>
        <v>General Expenses</v>
      </c>
      <c r="S857" s="99">
        <f>IFERROR(__xludf.DUMMYFUNCTION("""COMPUTED_VALUE"""),0.0)</f>
        <v>0</v>
      </c>
      <c r="T857" s="99">
        <f>IFERROR(__xludf.DUMMYFUNCTION("""COMPUTED_VALUE"""),70000.0)</f>
        <v>70000</v>
      </c>
      <c r="U857" s="99">
        <f>IFERROR(__xludf.DUMMYFUNCTION("""COMPUTED_VALUE"""),0.0)</f>
        <v>0</v>
      </c>
      <c r="V857" s="99">
        <f>IFERROR(__xludf.DUMMYFUNCTION("""COMPUTED_VALUE"""),0.0)</f>
        <v>0</v>
      </c>
      <c r="W857" s="99">
        <f>IFERROR(__xludf.DUMMYFUNCTION("""COMPUTED_VALUE"""),0.0)</f>
        <v>0</v>
      </c>
    </row>
    <row r="858">
      <c r="N858" s="98">
        <f>IFERROR(__xludf.DUMMYFUNCTION("""COMPUTED_VALUE"""),44106.0)</f>
        <v>44106</v>
      </c>
      <c r="O858" s="96" t="str">
        <f>IFERROR(__xludf.DUMMYFUNCTION("""COMPUTED_VALUE"""),"AYUK BLESSING")</f>
        <v>AYUK BLESSING</v>
      </c>
      <c r="P858" s="96" t="str">
        <f>IFERROR(__xludf.DUMMYFUNCTION("""COMPUTED_VALUE"""),"CASH COLLECTED")</f>
        <v>CASH COLLECTED</v>
      </c>
      <c r="Q858" s="99">
        <f>IFERROR(__xludf.DUMMYFUNCTION("""COMPUTED_VALUE"""),376700.0)</f>
        <v>376700</v>
      </c>
      <c r="R858" s="96" t="str">
        <f>IFERROR(__xludf.DUMMYFUNCTION("""COMPUTED_VALUE"""),"Petty Cash")</f>
        <v>Petty Cash</v>
      </c>
      <c r="S858" s="99">
        <f>IFERROR(__xludf.DUMMYFUNCTION("""COMPUTED_VALUE"""),0.0)</f>
        <v>0</v>
      </c>
      <c r="T858" s="99">
        <f>IFERROR(__xludf.DUMMYFUNCTION("""COMPUTED_VALUE"""),0.0)</f>
        <v>0</v>
      </c>
      <c r="U858" s="99">
        <f>IFERROR(__xludf.DUMMYFUNCTION("""COMPUTED_VALUE"""),0.0)</f>
        <v>0</v>
      </c>
      <c r="V858" s="99">
        <f>IFERROR(__xludf.DUMMYFUNCTION("""COMPUTED_VALUE"""),376700.0)</f>
        <v>376700</v>
      </c>
      <c r="W858" s="99">
        <f>IFERROR(__xludf.DUMMYFUNCTION("""COMPUTED_VALUE"""),0.0)</f>
        <v>0</v>
      </c>
    </row>
    <row r="859">
      <c r="N859" s="98">
        <f>IFERROR(__xludf.DUMMYFUNCTION("""COMPUTED_VALUE"""),44106.0)</f>
        <v>44106</v>
      </c>
      <c r="O859" s="96" t="str">
        <f>IFERROR(__xludf.DUMMYFUNCTION("""COMPUTED_VALUE"""),"MANAGER")</f>
        <v>MANAGER</v>
      </c>
      <c r="P859" s="96" t="str">
        <f>IFERROR(__xludf.DUMMYFUNCTION("""COMPUTED_VALUE"""),"CASH-IN")</f>
        <v>CASH-IN</v>
      </c>
      <c r="Q859" s="99">
        <f>IFERROR(__xludf.DUMMYFUNCTION("""COMPUTED_VALUE"""),2050000.0)</f>
        <v>2050000</v>
      </c>
      <c r="R859" s="96" t="str">
        <f>IFERROR(__xludf.DUMMYFUNCTION("""COMPUTED_VALUE"""),"From Bank")</f>
        <v>From Bank</v>
      </c>
      <c r="S859" s="99">
        <f>IFERROR(__xludf.DUMMYFUNCTION("""COMPUTED_VALUE"""),0.0)</f>
        <v>0</v>
      </c>
      <c r="T859" s="99">
        <f>IFERROR(__xludf.DUMMYFUNCTION("""COMPUTED_VALUE"""),0.0)</f>
        <v>0</v>
      </c>
      <c r="U859" s="99">
        <f>IFERROR(__xludf.DUMMYFUNCTION("""COMPUTED_VALUE"""),2050000.0)</f>
        <v>2050000</v>
      </c>
      <c r="V859" s="99">
        <f>IFERROR(__xludf.DUMMYFUNCTION("""COMPUTED_VALUE"""),0.0)</f>
        <v>0</v>
      </c>
      <c r="W859" s="99">
        <f>IFERROR(__xludf.DUMMYFUNCTION("""COMPUTED_VALUE"""),0.0)</f>
        <v>0</v>
      </c>
    </row>
    <row r="860">
      <c r="N860" s="98">
        <f>IFERROR(__xludf.DUMMYFUNCTION("""COMPUTED_VALUE"""),44107.0)</f>
        <v>44107</v>
      </c>
      <c r="O860" s="96" t="str">
        <f>IFERROR(__xludf.DUMMYFUNCTION("""COMPUTED_VALUE"""),"CONNECT")</f>
        <v>CONNECT</v>
      </c>
      <c r="P860" s="96" t="str">
        <f>IFERROR(__xludf.DUMMYFUNCTION("""COMPUTED_VALUE"""),"ADVANCE")</f>
        <v>ADVANCE</v>
      </c>
      <c r="Q860" s="99">
        <f>IFERROR(__xludf.DUMMYFUNCTION("""COMPUTED_VALUE"""),1000000.0)</f>
        <v>1000000</v>
      </c>
      <c r="R860" s="96" t="str">
        <f>IFERROR(__xludf.DUMMYFUNCTION("""COMPUTED_VALUE"""),"Prefinance")</f>
        <v>Prefinance</v>
      </c>
      <c r="S860" s="99">
        <f>IFERROR(__xludf.DUMMYFUNCTION("""COMPUTED_VALUE"""),0.0)</f>
        <v>0</v>
      </c>
      <c r="T860" s="99">
        <f>IFERROR(__xludf.DUMMYFUNCTION("""COMPUTED_VALUE"""),0.0)</f>
        <v>0</v>
      </c>
      <c r="U860" s="99">
        <f>IFERROR(__xludf.DUMMYFUNCTION("""COMPUTED_VALUE"""),0.0)</f>
        <v>0</v>
      </c>
      <c r="V860" s="99">
        <f>IFERROR(__xludf.DUMMYFUNCTION("""COMPUTED_VALUE"""),0.0)</f>
        <v>0</v>
      </c>
      <c r="W860" s="99">
        <f>IFERROR(__xludf.DUMMYFUNCTION("""COMPUTED_VALUE"""),0.0)</f>
        <v>0</v>
      </c>
    </row>
    <row r="861">
      <c r="N861" s="98">
        <f>IFERROR(__xludf.DUMMYFUNCTION("""COMPUTED_VALUE"""),44107.0)</f>
        <v>44107</v>
      </c>
      <c r="O861" s="96" t="str">
        <f>IFERROR(__xludf.DUMMYFUNCTION("""COMPUTED_VALUE"""),"LYDIA HNSON ")</f>
        <v>LYDIA HNSON </v>
      </c>
      <c r="P861" s="96" t="str">
        <f>IFERROR(__xludf.DUMMYFUNCTION("""COMPUTED_VALUE"""),"ADVANCE")</f>
        <v>ADVANCE</v>
      </c>
      <c r="Q861" s="99">
        <f>IFERROR(__xludf.DUMMYFUNCTION("""COMPUTED_VALUE"""),400000.0)</f>
        <v>400000</v>
      </c>
      <c r="R861" s="96" t="str">
        <f>IFERROR(__xludf.DUMMYFUNCTION("""COMPUTED_VALUE"""),"Prefinance")</f>
        <v>Prefinance</v>
      </c>
      <c r="S861" s="99">
        <f>IFERROR(__xludf.DUMMYFUNCTION("""COMPUTED_VALUE"""),0.0)</f>
        <v>0</v>
      </c>
      <c r="T861" s="99">
        <f>IFERROR(__xludf.DUMMYFUNCTION("""COMPUTED_VALUE"""),0.0)</f>
        <v>0</v>
      </c>
      <c r="U861" s="99">
        <f>IFERROR(__xludf.DUMMYFUNCTION("""COMPUTED_VALUE"""),0.0)</f>
        <v>0</v>
      </c>
      <c r="V861" s="99">
        <f>IFERROR(__xludf.DUMMYFUNCTION("""COMPUTED_VALUE"""),0.0)</f>
        <v>0</v>
      </c>
      <c r="W861" s="99">
        <f>IFERROR(__xludf.DUMMYFUNCTION("""COMPUTED_VALUE"""),0.0)</f>
        <v>0</v>
      </c>
    </row>
    <row r="862">
      <c r="N862" s="98">
        <f>IFERROR(__xludf.DUMMYFUNCTION("""COMPUTED_VALUE"""),44107.0)</f>
        <v>44107</v>
      </c>
      <c r="O862" s="96" t="str">
        <f>IFERROR(__xludf.DUMMYFUNCTION("""COMPUTED_VALUE"""),"DIRECTOR")</f>
        <v>DIRECTOR</v>
      </c>
      <c r="P862" s="96" t="str">
        <f>IFERROR(__xludf.DUMMYFUNCTION("""COMPUTED_VALUE"""),"TRANSFER")</f>
        <v>TRANSFER</v>
      </c>
      <c r="Q862" s="99">
        <f>IFERROR(__xludf.DUMMYFUNCTION("""COMPUTED_VALUE"""),1400000.0)</f>
        <v>1400000</v>
      </c>
      <c r="R862" s="96" t="str">
        <f>IFERROR(__xludf.DUMMYFUNCTION("""COMPUTED_VALUE"""),"From Bank")</f>
        <v>From Bank</v>
      </c>
      <c r="S862" s="99">
        <f>IFERROR(__xludf.DUMMYFUNCTION("""COMPUTED_VALUE"""),0.0)</f>
        <v>0</v>
      </c>
      <c r="T862" s="99">
        <f>IFERROR(__xludf.DUMMYFUNCTION("""COMPUTED_VALUE"""),0.0)</f>
        <v>0</v>
      </c>
      <c r="U862" s="99">
        <f>IFERROR(__xludf.DUMMYFUNCTION("""COMPUTED_VALUE"""),1400000.0)</f>
        <v>1400000</v>
      </c>
      <c r="V862" s="99">
        <f>IFERROR(__xludf.DUMMYFUNCTION("""COMPUTED_VALUE"""),0.0)</f>
        <v>0</v>
      </c>
      <c r="W862" s="99">
        <f>IFERROR(__xludf.DUMMYFUNCTION("""COMPUTED_VALUE"""),0.0)</f>
        <v>0</v>
      </c>
    </row>
    <row r="863">
      <c r="N863" s="98">
        <f>IFERROR(__xludf.DUMMYFUNCTION("""COMPUTED_VALUE"""),44100.0)</f>
        <v>44100</v>
      </c>
      <c r="O863" s="96" t="str">
        <f>IFERROR(__xludf.DUMMYFUNCTION("""COMPUTED_VALUE"""),"BLESSING CHAPMAN")</f>
        <v>BLESSING CHAPMAN</v>
      </c>
      <c r="P863" s="96" t="str">
        <f>IFERROR(__xludf.DUMMYFUNCTION("""COMPUTED_VALUE"""),"CORRECTION")</f>
        <v>CORRECTION</v>
      </c>
      <c r="Q863" s="99">
        <f>IFERROR(__xludf.DUMMYFUNCTION("""COMPUTED_VALUE"""),-1040700.0)</f>
        <v>-1040700</v>
      </c>
      <c r="R863" s="96" t="str">
        <f>IFERROR(__xludf.DUMMYFUNCTION("""COMPUTED_VALUE"""),"Petty Cash")</f>
        <v>Petty Cash</v>
      </c>
      <c r="S863" s="99">
        <f>IFERROR(__xludf.DUMMYFUNCTION("""COMPUTED_VALUE"""),0.0)</f>
        <v>0</v>
      </c>
      <c r="T863" s="99">
        <f>IFERROR(__xludf.DUMMYFUNCTION("""COMPUTED_VALUE"""),0.0)</f>
        <v>0</v>
      </c>
      <c r="U863" s="99">
        <f>IFERROR(__xludf.DUMMYFUNCTION("""COMPUTED_VALUE"""),0.0)</f>
        <v>0</v>
      </c>
      <c r="V863" s="99">
        <f>IFERROR(__xludf.DUMMYFUNCTION("""COMPUTED_VALUE"""),-1040700.0)</f>
        <v>-1040700</v>
      </c>
      <c r="W863" s="99">
        <f>IFERROR(__xludf.DUMMYFUNCTION("""COMPUTED_VALUE"""),0.0)</f>
        <v>0</v>
      </c>
    </row>
    <row r="864">
      <c r="N864" s="98">
        <f>IFERROR(__xludf.DUMMYFUNCTION("""COMPUTED_VALUE"""),44100.0)</f>
        <v>44100</v>
      </c>
      <c r="O864" s="96" t="str">
        <f>IFERROR(__xludf.DUMMYFUNCTION("""COMPUTED_VALUE"""),"DIRECTOR")</f>
        <v>DIRECTOR</v>
      </c>
      <c r="P864" s="96" t="str">
        <f>IFERROR(__xludf.DUMMYFUNCTION("""COMPUTED_VALUE"""),"CORRECTION")</f>
        <v>CORRECTION</v>
      </c>
      <c r="Q864" s="99">
        <f>IFERROR(__xludf.DUMMYFUNCTION("""COMPUTED_VALUE"""),1040700.0)</f>
        <v>1040700</v>
      </c>
      <c r="R864" s="96" t="str">
        <f>IFERROR(__xludf.DUMMYFUNCTION("""COMPUTED_VALUE"""),"From Bank")</f>
        <v>From Bank</v>
      </c>
      <c r="S864" s="99">
        <f>IFERROR(__xludf.DUMMYFUNCTION("""COMPUTED_VALUE"""),0.0)</f>
        <v>0</v>
      </c>
      <c r="T864" s="99">
        <f>IFERROR(__xludf.DUMMYFUNCTION("""COMPUTED_VALUE"""),0.0)</f>
        <v>0</v>
      </c>
      <c r="U864" s="99">
        <f>IFERROR(__xludf.DUMMYFUNCTION("""COMPUTED_VALUE"""),1040700.0)</f>
        <v>1040700</v>
      </c>
      <c r="V864" s="99">
        <f>IFERROR(__xludf.DUMMYFUNCTION("""COMPUTED_VALUE"""),0.0)</f>
        <v>0</v>
      </c>
      <c r="W864" s="99">
        <f>IFERROR(__xludf.DUMMYFUNCTION("""COMPUTED_VALUE"""),0.0)</f>
        <v>0</v>
      </c>
    </row>
    <row r="865">
      <c r="N865" s="98">
        <f>IFERROR(__xludf.DUMMYFUNCTION("""COMPUTED_VALUE"""),44107.0)</f>
        <v>44107</v>
      </c>
      <c r="O865" s="96" t="str">
        <f>IFERROR(__xludf.DUMMYFUNCTION("""COMPUTED_VALUE"""),"BONNY ESCORT")</f>
        <v>BONNY ESCORT</v>
      </c>
      <c r="P865" s="96" t="str">
        <f>IFERROR(__xludf.DUMMYFUNCTION("""COMPUTED_VALUE"""),"ESCORT FEE")</f>
        <v>ESCORT FEE</v>
      </c>
      <c r="Q865" s="99">
        <f>IFERROR(__xludf.DUMMYFUNCTION("""COMPUTED_VALUE"""),75000.0)</f>
        <v>75000</v>
      </c>
      <c r="R865" s="96" t="str">
        <f>IFERROR(__xludf.DUMMYFUNCTION("""COMPUTED_VALUE"""),"General Expenses")</f>
        <v>General Expenses</v>
      </c>
      <c r="S865" s="99">
        <f>IFERROR(__xludf.DUMMYFUNCTION("""COMPUTED_VALUE"""),0.0)</f>
        <v>0</v>
      </c>
      <c r="T865" s="99">
        <f>IFERROR(__xludf.DUMMYFUNCTION("""COMPUTED_VALUE"""),75000.0)</f>
        <v>75000</v>
      </c>
      <c r="U865" s="99">
        <f>IFERROR(__xludf.DUMMYFUNCTION("""COMPUTED_VALUE"""),0.0)</f>
        <v>0</v>
      </c>
      <c r="V865" s="99">
        <f>IFERROR(__xludf.DUMMYFUNCTION("""COMPUTED_VALUE"""),0.0)</f>
        <v>0</v>
      </c>
      <c r="W865" s="99">
        <f>IFERROR(__xludf.DUMMYFUNCTION("""COMPUTED_VALUE"""),0.0)</f>
        <v>0</v>
      </c>
    </row>
    <row r="866">
      <c r="N866" s="98">
        <f>IFERROR(__xludf.DUMMYFUNCTION("""COMPUTED_VALUE"""),44107.0)</f>
        <v>44107</v>
      </c>
      <c r="O866" s="96" t="str">
        <f>IFERROR(__xludf.DUMMYFUNCTION("""COMPUTED_VALUE"""),"DORATHY")</f>
        <v>DORATHY</v>
      </c>
      <c r="P866" s="96" t="str">
        <f>IFERROR(__xludf.DUMMYFUNCTION("""COMPUTED_VALUE"""),"TALLY PAPER")</f>
        <v>TALLY PAPER</v>
      </c>
      <c r="Q866" s="99">
        <f>IFERROR(__xludf.DUMMYFUNCTION("""COMPUTED_VALUE"""),1000.0)</f>
        <v>1000</v>
      </c>
      <c r="R866" s="96" t="str">
        <f>IFERROR(__xludf.DUMMYFUNCTION("""COMPUTED_VALUE"""),"General Expenses")</f>
        <v>General Expenses</v>
      </c>
      <c r="S866" s="99">
        <f>IFERROR(__xludf.DUMMYFUNCTION("""COMPUTED_VALUE"""),0.0)</f>
        <v>0</v>
      </c>
      <c r="T866" s="99">
        <f>IFERROR(__xludf.DUMMYFUNCTION("""COMPUTED_VALUE"""),1000.0)</f>
        <v>1000</v>
      </c>
      <c r="U866" s="99">
        <f>IFERROR(__xludf.DUMMYFUNCTION("""COMPUTED_VALUE"""),0.0)</f>
        <v>0</v>
      </c>
      <c r="V866" s="99">
        <f>IFERROR(__xludf.DUMMYFUNCTION("""COMPUTED_VALUE"""),0.0)</f>
        <v>0</v>
      </c>
      <c r="W866" s="99">
        <f>IFERROR(__xludf.DUMMYFUNCTION("""COMPUTED_VALUE"""),0.0)</f>
        <v>0</v>
      </c>
    </row>
    <row r="867">
      <c r="N867" s="98">
        <f>IFERROR(__xludf.DUMMYFUNCTION("""COMPUTED_VALUE"""),44107.0)</f>
        <v>44107</v>
      </c>
      <c r="O867" s="96" t="str">
        <f>IFERROR(__xludf.DUMMYFUNCTION("""COMPUTED_VALUE"""),"LABOUR  BOY")</f>
        <v>LABOUR  BOY</v>
      </c>
      <c r="P867" s="96" t="str">
        <f>IFERROR(__xludf.DUMMYFUNCTION("""COMPUTED_VALUE"""),"WAGES ADVANCE")</f>
        <v>WAGES ADVANCE</v>
      </c>
      <c r="Q867" s="99">
        <f>IFERROR(__xludf.DUMMYFUNCTION("""COMPUTED_VALUE"""),4500.0)</f>
        <v>4500</v>
      </c>
      <c r="R867" s="96" t="str">
        <f>IFERROR(__xludf.DUMMYFUNCTION("""COMPUTED_VALUE"""),"General Expenses")</f>
        <v>General Expenses</v>
      </c>
      <c r="S867" s="99">
        <f>IFERROR(__xludf.DUMMYFUNCTION("""COMPUTED_VALUE"""),0.0)</f>
        <v>0</v>
      </c>
      <c r="T867" s="99">
        <f>IFERROR(__xludf.DUMMYFUNCTION("""COMPUTED_VALUE"""),4500.0)</f>
        <v>4500</v>
      </c>
      <c r="U867" s="99">
        <f>IFERROR(__xludf.DUMMYFUNCTION("""COMPUTED_VALUE"""),0.0)</f>
        <v>0</v>
      </c>
      <c r="V867" s="99">
        <f>IFERROR(__xludf.DUMMYFUNCTION("""COMPUTED_VALUE"""),0.0)</f>
        <v>0</v>
      </c>
      <c r="W867" s="99">
        <f>IFERROR(__xludf.DUMMYFUNCTION("""COMPUTED_VALUE"""),0.0)</f>
        <v>0</v>
      </c>
    </row>
    <row r="868">
      <c r="N868" s="98">
        <f>IFERROR(__xludf.DUMMYFUNCTION("""COMPUTED_VALUE"""),44107.0)</f>
        <v>44107</v>
      </c>
      <c r="O868" s="96" t="str">
        <f>IFERROR(__xludf.DUMMYFUNCTION("""COMPUTED_VALUE"""),"AYUK BLESSING")</f>
        <v>AYUK BLESSING</v>
      </c>
      <c r="P868" s="96" t="str">
        <f>IFERROR(__xludf.DUMMYFUNCTION("""COMPUTED_VALUE"""),"CASH COLLECTED")</f>
        <v>CASH COLLECTED</v>
      </c>
      <c r="Q868" s="99">
        <f>IFERROR(__xludf.DUMMYFUNCTION("""COMPUTED_VALUE"""),80500.0)</f>
        <v>80500</v>
      </c>
      <c r="R868" s="96" t="str">
        <f>IFERROR(__xludf.DUMMYFUNCTION("""COMPUTED_VALUE"""),"Petty Cash")</f>
        <v>Petty Cash</v>
      </c>
      <c r="S868" s="99">
        <f>IFERROR(__xludf.DUMMYFUNCTION("""COMPUTED_VALUE"""),0.0)</f>
        <v>0</v>
      </c>
      <c r="T868" s="99">
        <f>IFERROR(__xludf.DUMMYFUNCTION("""COMPUTED_VALUE"""),0.0)</f>
        <v>0</v>
      </c>
      <c r="U868" s="99">
        <f>IFERROR(__xludf.DUMMYFUNCTION("""COMPUTED_VALUE"""),0.0)</f>
        <v>0</v>
      </c>
      <c r="V868" s="99">
        <f>IFERROR(__xludf.DUMMYFUNCTION("""COMPUTED_VALUE"""),80500.0)</f>
        <v>80500</v>
      </c>
      <c r="W868" s="99">
        <f>IFERROR(__xludf.DUMMYFUNCTION("""COMPUTED_VALUE"""),0.0)</f>
        <v>0</v>
      </c>
    </row>
    <row r="869">
      <c r="N869" s="98">
        <f>IFERROR(__xludf.DUMMYFUNCTION("""COMPUTED_VALUE"""),44109.0)</f>
        <v>44109</v>
      </c>
      <c r="O869" s="96" t="str">
        <f>IFERROR(__xludf.DUMMYFUNCTION("""COMPUTED_VALUE"""),"ANDRDEW GREAT")</f>
        <v>ANDRDEW GREAT</v>
      </c>
      <c r="P869" s="96" t="str">
        <f>IFERROR(__xludf.DUMMYFUNCTION("""COMPUTED_VALUE"""),"PAYMENT")</f>
        <v>PAYMENT</v>
      </c>
      <c r="Q869" s="99">
        <f>IFERROR(__xludf.DUMMYFUNCTION("""COMPUTED_VALUE"""),200000.0)</f>
        <v>200000</v>
      </c>
      <c r="R869" s="96" t="str">
        <f>IFERROR(__xludf.DUMMYFUNCTION("""COMPUTED_VALUE"""),"Prefinance")</f>
        <v>Prefinance</v>
      </c>
      <c r="S869" s="99">
        <f>IFERROR(__xludf.DUMMYFUNCTION("""COMPUTED_VALUE"""),0.0)</f>
        <v>0</v>
      </c>
      <c r="T869" s="99">
        <f>IFERROR(__xludf.DUMMYFUNCTION("""COMPUTED_VALUE"""),0.0)</f>
        <v>0</v>
      </c>
      <c r="U869" s="99">
        <f>IFERROR(__xludf.DUMMYFUNCTION("""COMPUTED_VALUE"""),0.0)</f>
        <v>0</v>
      </c>
      <c r="V869" s="99">
        <f>IFERROR(__xludf.DUMMYFUNCTION("""COMPUTED_VALUE"""),0.0)</f>
        <v>0</v>
      </c>
      <c r="W869" s="99">
        <f>IFERROR(__xludf.DUMMYFUNCTION("""COMPUTED_VALUE"""),0.0)</f>
        <v>0</v>
      </c>
    </row>
    <row r="870">
      <c r="N870" s="98">
        <f>IFERROR(__xludf.DUMMYFUNCTION("""COMPUTED_VALUE"""),44109.0)</f>
        <v>44109</v>
      </c>
      <c r="O870" s="96" t="str">
        <f>IFERROR(__xludf.DUMMYFUNCTION("""COMPUTED_VALUE"""),"ETUK EFFI")</f>
        <v>ETUK EFFI</v>
      </c>
      <c r="P870" s="96" t="str">
        <f>IFERROR(__xludf.DUMMYFUNCTION("""COMPUTED_VALUE"""),"ADVANCE")</f>
        <v>ADVANCE</v>
      </c>
      <c r="Q870" s="99">
        <f>IFERROR(__xludf.DUMMYFUNCTION("""COMPUTED_VALUE"""),1000000.0)</f>
        <v>1000000</v>
      </c>
      <c r="R870" s="96" t="str">
        <f>IFERROR(__xludf.DUMMYFUNCTION("""COMPUTED_VALUE"""),"Prefinance")</f>
        <v>Prefinance</v>
      </c>
      <c r="S870" s="99">
        <f>IFERROR(__xludf.DUMMYFUNCTION("""COMPUTED_VALUE"""),0.0)</f>
        <v>0</v>
      </c>
      <c r="T870" s="99">
        <f>IFERROR(__xludf.DUMMYFUNCTION("""COMPUTED_VALUE"""),0.0)</f>
        <v>0</v>
      </c>
      <c r="U870" s="99">
        <f>IFERROR(__xludf.DUMMYFUNCTION("""COMPUTED_VALUE"""),0.0)</f>
        <v>0</v>
      </c>
      <c r="V870" s="99">
        <f>IFERROR(__xludf.DUMMYFUNCTION("""COMPUTED_VALUE"""),0.0)</f>
        <v>0</v>
      </c>
      <c r="W870" s="99">
        <f>IFERROR(__xludf.DUMMYFUNCTION("""COMPUTED_VALUE"""),0.0)</f>
        <v>0</v>
      </c>
    </row>
    <row r="871">
      <c r="N871" s="98">
        <f>IFERROR(__xludf.DUMMYFUNCTION("""COMPUTED_VALUE"""),44109.0)</f>
        <v>44109</v>
      </c>
      <c r="O871" s="96" t="str">
        <f>IFERROR(__xludf.DUMMYFUNCTION("""COMPUTED_VALUE"""),"GIFT GABRIEL")</f>
        <v>GIFT GABRIEL</v>
      </c>
      <c r="P871" s="96" t="str">
        <f>IFERROR(__xludf.DUMMYFUNCTION("""COMPUTED_VALUE"""),"ADVANCE")</f>
        <v>ADVANCE</v>
      </c>
      <c r="Q871" s="99">
        <f>IFERROR(__xludf.DUMMYFUNCTION("""COMPUTED_VALUE"""),1000000.0)</f>
        <v>1000000</v>
      </c>
      <c r="R871" s="96" t="str">
        <f>IFERROR(__xludf.DUMMYFUNCTION("""COMPUTED_VALUE"""),"Prefinance")</f>
        <v>Prefinance</v>
      </c>
      <c r="S871" s="99">
        <f>IFERROR(__xludf.DUMMYFUNCTION("""COMPUTED_VALUE"""),0.0)</f>
        <v>0</v>
      </c>
      <c r="T871" s="99">
        <f>IFERROR(__xludf.DUMMYFUNCTION("""COMPUTED_VALUE"""),0.0)</f>
        <v>0</v>
      </c>
      <c r="U871" s="99">
        <f>IFERROR(__xludf.DUMMYFUNCTION("""COMPUTED_VALUE"""),0.0)</f>
        <v>0</v>
      </c>
      <c r="V871" s="99">
        <f>IFERROR(__xludf.DUMMYFUNCTION("""COMPUTED_VALUE"""),0.0)</f>
        <v>0</v>
      </c>
      <c r="W871" s="99">
        <f>IFERROR(__xludf.DUMMYFUNCTION("""COMPUTED_VALUE"""),0.0)</f>
        <v>0</v>
      </c>
    </row>
    <row r="872">
      <c r="N872" s="98">
        <f>IFERROR(__xludf.DUMMYFUNCTION("""COMPUTED_VALUE"""),44109.0)</f>
        <v>44109</v>
      </c>
      <c r="O872" s="96" t="str">
        <f>IFERROR(__xludf.DUMMYFUNCTION("""COMPUTED_VALUE""")," MAXWELL AGRO")</f>
        <v> MAXWELL AGRO</v>
      </c>
      <c r="P872" s="96" t="str">
        <f>IFERROR(__xludf.DUMMYFUNCTION("""COMPUTED_VALUE"""),"ADVANCE")</f>
        <v>ADVANCE</v>
      </c>
      <c r="Q872" s="99">
        <f>IFERROR(__xludf.DUMMYFUNCTION("""COMPUTED_VALUE"""),900000.0)</f>
        <v>900000</v>
      </c>
      <c r="R872" s="96" t="str">
        <f>IFERROR(__xludf.DUMMYFUNCTION("""COMPUTED_VALUE"""),"Prefinance")</f>
        <v>Prefinance</v>
      </c>
      <c r="S872" s="99">
        <f>IFERROR(__xludf.DUMMYFUNCTION("""COMPUTED_VALUE"""),0.0)</f>
        <v>0</v>
      </c>
      <c r="T872" s="99">
        <f>IFERROR(__xludf.DUMMYFUNCTION("""COMPUTED_VALUE"""),0.0)</f>
        <v>0</v>
      </c>
      <c r="U872" s="99">
        <f>IFERROR(__xludf.DUMMYFUNCTION("""COMPUTED_VALUE"""),0.0)</f>
        <v>0</v>
      </c>
      <c r="V872" s="99">
        <f>IFERROR(__xludf.DUMMYFUNCTION("""COMPUTED_VALUE"""),0.0)</f>
        <v>0</v>
      </c>
      <c r="W872" s="99">
        <f>IFERROR(__xludf.DUMMYFUNCTION("""COMPUTED_VALUE"""),0.0)</f>
        <v>0</v>
      </c>
    </row>
    <row r="873">
      <c r="N873" s="98">
        <f>IFERROR(__xludf.DUMMYFUNCTION("""COMPUTED_VALUE"""),44109.0)</f>
        <v>44109</v>
      </c>
      <c r="O873" s="96" t="str">
        <f>IFERROR(__xludf.DUMMYFUNCTION("""COMPUTED_VALUE"""),"OSIM MARIAM")</f>
        <v>OSIM MARIAM</v>
      </c>
      <c r="P873" s="96" t="str">
        <f>IFERROR(__xludf.DUMMYFUNCTION("""COMPUTED_VALUE"""),"TAPOLINE")</f>
        <v>TAPOLINE</v>
      </c>
      <c r="Q873" s="99">
        <f>IFERROR(__xludf.DUMMYFUNCTION("""COMPUTED_VALUE"""),50000.0)</f>
        <v>50000</v>
      </c>
      <c r="R873" s="96" t="str">
        <f>IFERROR(__xludf.DUMMYFUNCTION("""COMPUTED_VALUE"""),"Prefinance")</f>
        <v>Prefinance</v>
      </c>
      <c r="S873" s="99">
        <f>IFERROR(__xludf.DUMMYFUNCTION("""COMPUTED_VALUE"""),0.0)</f>
        <v>0</v>
      </c>
      <c r="T873" s="99">
        <f>IFERROR(__xludf.DUMMYFUNCTION("""COMPUTED_VALUE"""),0.0)</f>
        <v>0</v>
      </c>
      <c r="U873" s="99">
        <f>IFERROR(__xludf.DUMMYFUNCTION("""COMPUTED_VALUE"""),0.0)</f>
        <v>0</v>
      </c>
      <c r="V873" s="99">
        <f>IFERROR(__xludf.DUMMYFUNCTION("""COMPUTED_VALUE"""),0.0)</f>
        <v>0</v>
      </c>
      <c r="W873" s="99">
        <f>IFERROR(__xludf.DUMMYFUNCTION("""COMPUTED_VALUE"""),0.0)</f>
        <v>0</v>
      </c>
    </row>
    <row r="874">
      <c r="N874" s="98">
        <f>IFERROR(__xludf.DUMMYFUNCTION("""COMPUTED_VALUE"""),44109.0)</f>
        <v>44109</v>
      </c>
      <c r="O874" s="96" t="str">
        <f>IFERROR(__xludf.DUMMYFUNCTION("""COMPUTED_VALUE"""),"AMBA")</f>
        <v>AMBA</v>
      </c>
      <c r="P874" s="96" t="str">
        <f>IFERROR(__xludf.DUMMYFUNCTION("""COMPUTED_VALUE"""),"HAULAGE")</f>
        <v>HAULAGE</v>
      </c>
      <c r="Q874" s="99">
        <f>IFERROR(__xludf.DUMMYFUNCTION("""COMPUTED_VALUE"""),33200.0)</f>
        <v>33200</v>
      </c>
      <c r="R874" s="96" t="str">
        <f>IFERROR(__xludf.DUMMYFUNCTION("""COMPUTED_VALUE"""),"General Expenses")</f>
        <v>General Expenses</v>
      </c>
      <c r="S874" s="99">
        <f>IFERROR(__xludf.DUMMYFUNCTION("""COMPUTED_VALUE"""),0.0)</f>
        <v>0</v>
      </c>
      <c r="T874" s="99">
        <f>IFERROR(__xludf.DUMMYFUNCTION("""COMPUTED_VALUE"""),33200.0)</f>
        <v>33200</v>
      </c>
      <c r="U874" s="99">
        <f>IFERROR(__xludf.DUMMYFUNCTION("""COMPUTED_VALUE"""),0.0)</f>
        <v>0</v>
      </c>
      <c r="V874" s="99">
        <f>IFERROR(__xludf.DUMMYFUNCTION("""COMPUTED_VALUE"""),0.0)</f>
        <v>0</v>
      </c>
      <c r="W874" s="99">
        <f>IFERROR(__xludf.DUMMYFUNCTION("""COMPUTED_VALUE"""),0.0)</f>
        <v>0</v>
      </c>
    </row>
    <row r="875">
      <c r="N875" s="98">
        <f>IFERROR(__xludf.DUMMYFUNCTION("""COMPUTED_VALUE"""),44109.0)</f>
        <v>44109</v>
      </c>
      <c r="O875" s="96" t="str">
        <f>IFERROR(__xludf.DUMMYFUNCTION("""COMPUTED_VALUE"""),"KOKOK NYIAN")</f>
        <v>KOKOK NYIAN</v>
      </c>
      <c r="P875" s="96" t="str">
        <f>IFERROR(__xludf.DUMMYFUNCTION("""COMPUTED_VALUE"""),"HAULAGE")</f>
        <v>HAULAGE</v>
      </c>
      <c r="Q875" s="99">
        <f>IFERROR(__xludf.DUMMYFUNCTION("""COMPUTED_VALUE"""),4000.0)</f>
        <v>4000</v>
      </c>
      <c r="R875" s="96" t="str">
        <f>IFERROR(__xludf.DUMMYFUNCTION("""COMPUTED_VALUE"""),"General Expenses")</f>
        <v>General Expenses</v>
      </c>
      <c r="S875" s="99">
        <f>IFERROR(__xludf.DUMMYFUNCTION("""COMPUTED_VALUE"""),0.0)</f>
        <v>0</v>
      </c>
      <c r="T875" s="99">
        <f>IFERROR(__xludf.DUMMYFUNCTION("""COMPUTED_VALUE"""),4000.0)</f>
        <v>4000</v>
      </c>
      <c r="U875" s="99">
        <f>IFERROR(__xludf.DUMMYFUNCTION("""COMPUTED_VALUE"""),0.0)</f>
        <v>0</v>
      </c>
      <c r="V875" s="99">
        <f>IFERROR(__xludf.DUMMYFUNCTION("""COMPUTED_VALUE"""),0.0)</f>
        <v>0</v>
      </c>
      <c r="W875" s="99">
        <f>IFERROR(__xludf.DUMMYFUNCTION("""COMPUTED_VALUE"""),0.0)</f>
        <v>0</v>
      </c>
    </row>
    <row r="876">
      <c r="N876" s="98">
        <f>IFERROR(__xludf.DUMMYFUNCTION("""COMPUTED_VALUE"""),44109.0)</f>
        <v>44109</v>
      </c>
      <c r="O876" s="96" t="str">
        <f>IFERROR(__xludf.DUMMYFUNCTION("""COMPUTED_VALUE"""),"LABOUR  BOY")</f>
        <v>LABOUR  BOY</v>
      </c>
      <c r="P876" s="96" t="str">
        <f>IFERROR(__xludf.DUMMYFUNCTION("""COMPUTED_VALUE"""),"WAGES")</f>
        <v>WAGES</v>
      </c>
      <c r="Q876" s="99">
        <f>IFERROR(__xludf.DUMMYFUNCTION("""COMPUTED_VALUE"""),162500.0)</f>
        <v>162500</v>
      </c>
      <c r="R876" s="96" t="str">
        <f>IFERROR(__xludf.DUMMYFUNCTION("""COMPUTED_VALUE"""),"General Expenses")</f>
        <v>General Expenses</v>
      </c>
      <c r="S876" s="99">
        <f>IFERROR(__xludf.DUMMYFUNCTION("""COMPUTED_VALUE"""),0.0)</f>
        <v>0</v>
      </c>
      <c r="T876" s="99">
        <f>IFERROR(__xludf.DUMMYFUNCTION("""COMPUTED_VALUE"""),162500.0)</f>
        <v>162500</v>
      </c>
      <c r="U876" s="99">
        <f>IFERROR(__xludf.DUMMYFUNCTION("""COMPUTED_VALUE"""),0.0)</f>
        <v>0</v>
      </c>
      <c r="V876" s="99">
        <f>IFERROR(__xludf.DUMMYFUNCTION("""COMPUTED_VALUE"""),0.0)</f>
        <v>0</v>
      </c>
      <c r="W876" s="99">
        <f>IFERROR(__xludf.DUMMYFUNCTION("""COMPUTED_VALUE"""),0.0)</f>
        <v>0</v>
      </c>
    </row>
    <row r="877">
      <c r="N877" s="98">
        <f>IFERROR(__xludf.DUMMYFUNCTION("""COMPUTED_VALUE"""),44109.0)</f>
        <v>44109</v>
      </c>
      <c r="O877" s="96" t="str">
        <f>IFERROR(__xludf.DUMMYFUNCTION("""COMPUTED_VALUE"""),"CONNECT")</f>
        <v>CONNECT</v>
      </c>
      <c r="P877" s="96" t="str">
        <f>IFERROR(__xludf.DUMMYFUNCTION("""COMPUTED_VALUE"""),"TP")</f>
        <v>TP</v>
      </c>
      <c r="Q877" s="99">
        <f>IFERROR(__xludf.DUMMYFUNCTION("""COMPUTED_VALUE"""),26000.0)</f>
        <v>26000</v>
      </c>
      <c r="R877" s="96" t="str">
        <f>IFERROR(__xludf.DUMMYFUNCTION("""COMPUTED_VALUE"""),"General Expenses")</f>
        <v>General Expenses</v>
      </c>
      <c r="S877" s="99">
        <f>IFERROR(__xludf.DUMMYFUNCTION("""COMPUTED_VALUE"""),0.0)</f>
        <v>0</v>
      </c>
      <c r="T877" s="99">
        <f>IFERROR(__xludf.DUMMYFUNCTION("""COMPUTED_VALUE"""),26000.0)</f>
        <v>26000</v>
      </c>
      <c r="U877" s="99">
        <f>IFERROR(__xludf.DUMMYFUNCTION("""COMPUTED_VALUE"""),0.0)</f>
        <v>0</v>
      </c>
      <c r="V877" s="99">
        <f>IFERROR(__xludf.DUMMYFUNCTION("""COMPUTED_VALUE"""),0.0)</f>
        <v>0</v>
      </c>
      <c r="W877" s="99">
        <f>IFERROR(__xludf.DUMMYFUNCTION("""COMPUTED_VALUE"""),0.0)</f>
        <v>0</v>
      </c>
    </row>
    <row r="878">
      <c r="N878" s="98">
        <f>IFERROR(__xludf.DUMMYFUNCTION("""COMPUTED_VALUE"""),44109.0)</f>
        <v>44109</v>
      </c>
      <c r="O878" s="96" t="str">
        <f>IFERROR(__xludf.DUMMYFUNCTION("""COMPUTED_VALUE"""),"AYUK BLESSING")</f>
        <v>AYUK BLESSING</v>
      </c>
      <c r="P878" s="96" t="str">
        <f>IFERROR(__xludf.DUMMYFUNCTION("""COMPUTED_VALUE"""),"CASH COLLECTED")</f>
        <v>CASH COLLECTED</v>
      </c>
      <c r="Q878" s="99">
        <f>IFERROR(__xludf.DUMMYFUNCTION("""COMPUTED_VALUE"""),790000.0)</f>
        <v>790000</v>
      </c>
      <c r="R878" s="96" t="str">
        <f>IFERROR(__xludf.DUMMYFUNCTION("""COMPUTED_VALUE"""),"Petty Cash")</f>
        <v>Petty Cash</v>
      </c>
      <c r="S878" s="99">
        <f>IFERROR(__xludf.DUMMYFUNCTION("""COMPUTED_VALUE"""),0.0)</f>
        <v>0</v>
      </c>
      <c r="T878" s="99">
        <f>IFERROR(__xludf.DUMMYFUNCTION("""COMPUTED_VALUE"""),0.0)</f>
        <v>0</v>
      </c>
      <c r="U878" s="99">
        <f>IFERROR(__xludf.DUMMYFUNCTION("""COMPUTED_VALUE"""),0.0)</f>
        <v>0</v>
      </c>
      <c r="V878" s="99">
        <f>IFERROR(__xludf.DUMMYFUNCTION("""COMPUTED_VALUE"""),790000.0)</f>
        <v>790000</v>
      </c>
      <c r="W878" s="99">
        <f>IFERROR(__xludf.DUMMYFUNCTION("""COMPUTED_VALUE"""),0.0)</f>
        <v>0</v>
      </c>
    </row>
    <row r="879">
      <c r="N879" s="98">
        <f>IFERROR(__xludf.DUMMYFUNCTION("""COMPUTED_VALUE"""),44109.0)</f>
        <v>44109</v>
      </c>
      <c r="O879" s="96" t="str">
        <f>IFERROR(__xludf.DUMMYFUNCTION("""COMPUTED_VALUE"""),"DIRECTOR")</f>
        <v>DIRECTOR</v>
      </c>
      <c r="P879" s="96" t="str">
        <f>IFERROR(__xludf.DUMMYFUNCTION("""COMPUTED_VALUE"""),"CASH-IN")</f>
        <v>CASH-IN</v>
      </c>
      <c r="Q879" s="99">
        <f>IFERROR(__xludf.DUMMYFUNCTION("""COMPUTED_VALUE"""),4900000.0)</f>
        <v>4900000</v>
      </c>
      <c r="R879" s="96" t="str">
        <f>IFERROR(__xludf.DUMMYFUNCTION("""COMPUTED_VALUE"""),"From Bank")</f>
        <v>From Bank</v>
      </c>
      <c r="S879" s="99">
        <f>IFERROR(__xludf.DUMMYFUNCTION("""COMPUTED_VALUE"""),0.0)</f>
        <v>0</v>
      </c>
      <c r="T879" s="99">
        <f>IFERROR(__xludf.DUMMYFUNCTION("""COMPUTED_VALUE"""),0.0)</f>
        <v>0</v>
      </c>
      <c r="U879" s="99">
        <f>IFERROR(__xludf.DUMMYFUNCTION("""COMPUTED_VALUE"""),4900000.0)</f>
        <v>4900000</v>
      </c>
      <c r="V879" s="99">
        <f>IFERROR(__xludf.DUMMYFUNCTION("""COMPUTED_VALUE"""),0.0)</f>
        <v>0</v>
      </c>
      <c r="W879" s="99">
        <f>IFERROR(__xludf.DUMMYFUNCTION("""COMPUTED_VALUE"""),0.0)</f>
        <v>0</v>
      </c>
    </row>
    <row r="880">
      <c r="N880" s="98">
        <f>IFERROR(__xludf.DUMMYFUNCTION("""COMPUTED_VALUE"""),44109.0)</f>
        <v>44109</v>
      </c>
      <c r="O880" s="96" t="str">
        <f>IFERROR(__xludf.DUMMYFUNCTION("""COMPUTED_VALUE"""),"DIRECTOR")</f>
        <v>DIRECTOR</v>
      </c>
      <c r="P880" s="96" t="str">
        <f>IFERROR(__xludf.DUMMYFUNCTION("""COMPUTED_VALUE"""),"TRANSFERED")</f>
        <v>TRANSFERED</v>
      </c>
      <c r="Q880" s="99">
        <f>IFERROR(__xludf.DUMMYFUNCTION("""COMPUTED_VALUE"""),50000.0)</f>
        <v>50000</v>
      </c>
      <c r="R880" s="96" t="str">
        <f>IFERROR(__xludf.DUMMYFUNCTION("""COMPUTED_VALUE"""),"From Bank")</f>
        <v>From Bank</v>
      </c>
      <c r="S880" s="99">
        <f>IFERROR(__xludf.DUMMYFUNCTION("""COMPUTED_VALUE"""),0.0)</f>
        <v>0</v>
      </c>
      <c r="T880" s="99">
        <f>IFERROR(__xludf.DUMMYFUNCTION("""COMPUTED_VALUE"""),0.0)</f>
        <v>0</v>
      </c>
      <c r="U880" s="99">
        <f>IFERROR(__xludf.DUMMYFUNCTION("""COMPUTED_VALUE"""),50000.0)</f>
        <v>50000</v>
      </c>
      <c r="V880" s="99">
        <f>IFERROR(__xludf.DUMMYFUNCTION("""COMPUTED_VALUE"""),0.0)</f>
        <v>0</v>
      </c>
      <c r="W880" s="99">
        <f>IFERROR(__xludf.DUMMYFUNCTION("""COMPUTED_VALUE"""),0.0)</f>
        <v>0</v>
      </c>
    </row>
    <row r="881">
      <c r="N881" s="98">
        <f>IFERROR(__xludf.DUMMYFUNCTION("""COMPUTED_VALUE"""),44100.0)</f>
        <v>44100</v>
      </c>
      <c r="O881" s="96" t="str">
        <f>IFERROR(__xludf.DUMMYFUNCTION("""COMPUTED_VALUE"""),"BLESSING CHAPMAN")</f>
        <v>BLESSING CHAPMAN</v>
      </c>
      <c r="P881" s="96" t="str">
        <f>IFERROR(__xludf.DUMMYFUNCTION("""COMPUTED_VALUE"""),"CORRECTION")</f>
        <v>CORRECTION</v>
      </c>
      <c r="Q881" s="99">
        <f>IFERROR(__xludf.DUMMYFUNCTION("""COMPUTED_VALUE"""),-1040700.0)</f>
        <v>-1040700</v>
      </c>
      <c r="R881" s="96" t="str">
        <f>IFERROR(__xludf.DUMMYFUNCTION("""COMPUTED_VALUE"""),"Prefinance")</f>
        <v>Prefinance</v>
      </c>
      <c r="S881" s="99">
        <f>IFERROR(__xludf.DUMMYFUNCTION("""COMPUTED_VALUE"""),0.0)</f>
        <v>0</v>
      </c>
      <c r="T881" s="99">
        <f>IFERROR(__xludf.DUMMYFUNCTION("""COMPUTED_VALUE"""),0.0)</f>
        <v>0</v>
      </c>
      <c r="U881" s="99">
        <f>IFERROR(__xludf.DUMMYFUNCTION("""COMPUTED_VALUE"""),0.0)</f>
        <v>0</v>
      </c>
      <c r="V881" s="99">
        <f>IFERROR(__xludf.DUMMYFUNCTION("""COMPUTED_VALUE"""),0.0)</f>
        <v>0</v>
      </c>
      <c r="W881" s="99">
        <f>IFERROR(__xludf.DUMMYFUNCTION("""COMPUTED_VALUE"""),0.0)</f>
        <v>0</v>
      </c>
    </row>
    <row r="882">
      <c r="N882" s="98">
        <f>IFERROR(__xludf.DUMMYFUNCTION("""COMPUTED_VALUE"""),44110.0)</f>
        <v>44110</v>
      </c>
      <c r="O882" s="96" t="str">
        <f>IFERROR(__xludf.DUMMYFUNCTION("""COMPUTED_VALUE"""),"OTU KOKO KEIBO")</f>
        <v>OTU KOKO KEIBO</v>
      </c>
      <c r="P882" s="96" t="str">
        <f>IFERROR(__xludf.DUMMYFUNCTION("""COMPUTED_VALUE"""),"ADVANCE")</f>
        <v>ADVANCE</v>
      </c>
      <c r="Q882" s="99">
        <f>IFERROR(__xludf.DUMMYFUNCTION("""COMPUTED_VALUE"""),112000.0)</f>
        <v>112000</v>
      </c>
      <c r="R882" s="96" t="str">
        <f>IFERROR(__xludf.DUMMYFUNCTION("""COMPUTED_VALUE"""),"Prefinance")</f>
        <v>Prefinance</v>
      </c>
      <c r="S882" s="99">
        <f>IFERROR(__xludf.DUMMYFUNCTION("""COMPUTED_VALUE"""),0.0)</f>
        <v>0</v>
      </c>
      <c r="T882" s="99">
        <f>IFERROR(__xludf.DUMMYFUNCTION("""COMPUTED_VALUE"""),0.0)</f>
        <v>0</v>
      </c>
      <c r="U882" s="99">
        <f>IFERROR(__xludf.DUMMYFUNCTION("""COMPUTED_VALUE"""),0.0)</f>
        <v>0</v>
      </c>
      <c r="V882" s="99">
        <f>IFERROR(__xludf.DUMMYFUNCTION("""COMPUTED_VALUE"""),0.0)</f>
        <v>0</v>
      </c>
      <c r="W882" s="99">
        <f>IFERROR(__xludf.DUMMYFUNCTION("""COMPUTED_VALUE"""),0.0)</f>
        <v>0</v>
      </c>
    </row>
    <row r="883">
      <c r="N883" s="98">
        <f>IFERROR(__xludf.DUMMYFUNCTION("""COMPUTED_VALUE"""),44110.0)</f>
        <v>44110</v>
      </c>
      <c r="O883" s="96" t="str">
        <f>IFERROR(__xludf.DUMMYFUNCTION("""COMPUTED_VALUE"""),"NDOMA PETER")</f>
        <v>NDOMA PETER</v>
      </c>
      <c r="P883" s="96" t="str">
        <f>IFERROR(__xludf.DUMMYFUNCTION("""COMPUTED_VALUE"""),"ADVANCE")</f>
        <v>ADVANCE</v>
      </c>
      <c r="Q883" s="99">
        <f>IFERROR(__xludf.DUMMYFUNCTION("""COMPUTED_VALUE"""),500000.0)</f>
        <v>500000</v>
      </c>
      <c r="R883" s="96" t="str">
        <f>IFERROR(__xludf.DUMMYFUNCTION("""COMPUTED_VALUE"""),"Prefinance")</f>
        <v>Prefinance</v>
      </c>
      <c r="S883" s="99">
        <f>IFERROR(__xludf.DUMMYFUNCTION("""COMPUTED_VALUE"""),0.0)</f>
        <v>0</v>
      </c>
      <c r="T883" s="99">
        <f>IFERROR(__xludf.DUMMYFUNCTION("""COMPUTED_VALUE"""),0.0)</f>
        <v>0</v>
      </c>
      <c r="U883" s="99">
        <f>IFERROR(__xludf.DUMMYFUNCTION("""COMPUTED_VALUE"""),0.0)</f>
        <v>0</v>
      </c>
      <c r="V883" s="99">
        <f>IFERROR(__xludf.DUMMYFUNCTION("""COMPUTED_VALUE"""),0.0)</f>
        <v>0</v>
      </c>
      <c r="W883" s="99">
        <f>IFERROR(__xludf.DUMMYFUNCTION("""COMPUTED_VALUE"""),0.0)</f>
        <v>0</v>
      </c>
    </row>
    <row r="884">
      <c r="N884" s="98">
        <f>IFERROR(__xludf.DUMMYFUNCTION("""COMPUTED_VALUE"""),44110.0)</f>
        <v>44110</v>
      </c>
      <c r="O884" s="96" t="str">
        <f>IFERROR(__xludf.DUMMYFUNCTION("""COMPUTED_VALUE"""),"NDOMA BODE I.D")</f>
        <v>NDOMA BODE I.D</v>
      </c>
      <c r="P884" s="96" t="str">
        <f>IFERROR(__xludf.DUMMYFUNCTION("""COMPUTED_VALUE"""),"ADVANCE")</f>
        <v>ADVANCE</v>
      </c>
      <c r="Q884" s="99">
        <f>IFERROR(__xludf.DUMMYFUNCTION("""COMPUTED_VALUE"""),780000.0)</f>
        <v>780000</v>
      </c>
      <c r="R884" s="96" t="str">
        <f>IFERROR(__xludf.DUMMYFUNCTION("""COMPUTED_VALUE"""),"Prefinance")</f>
        <v>Prefinance</v>
      </c>
      <c r="S884" s="99">
        <f>IFERROR(__xludf.DUMMYFUNCTION("""COMPUTED_VALUE"""),0.0)</f>
        <v>0</v>
      </c>
      <c r="T884" s="99">
        <f>IFERROR(__xludf.DUMMYFUNCTION("""COMPUTED_VALUE"""),0.0)</f>
        <v>0</v>
      </c>
      <c r="U884" s="99">
        <f>IFERROR(__xludf.DUMMYFUNCTION("""COMPUTED_VALUE"""),0.0)</f>
        <v>0</v>
      </c>
      <c r="V884" s="99">
        <f>IFERROR(__xludf.DUMMYFUNCTION("""COMPUTED_VALUE"""),0.0)</f>
        <v>0</v>
      </c>
      <c r="W884" s="99">
        <f>IFERROR(__xludf.DUMMYFUNCTION("""COMPUTED_VALUE"""),0.0)</f>
        <v>0</v>
      </c>
    </row>
    <row r="885">
      <c r="N885" s="98">
        <f>IFERROR(__xludf.DUMMYFUNCTION("""COMPUTED_VALUE"""),44110.0)</f>
        <v>44110</v>
      </c>
      <c r="O885" s="96" t="str">
        <f>IFERROR(__xludf.DUMMYFUNCTION("""COMPUTED_VALUE"""),"EMMANUEL OKO ")</f>
        <v>EMMANUEL OKO </v>
      </c>
      <c r="P885" s="96" t="str">
        <f>IFERROR(__xludf.DUMMYFUNCTION("""COMPUTED_VALUE"""),"ADVANCE")</f>
        <v>ADVANCE</v>
      </c>
      <c r="Q885" s="99">
        <f>IFERROR(__xludf.DUMMYFUNCTION("""COMPUTED_VALUE"""),500000.0)</f>
        <v>500000</v>
      </c>
      <c r="R885" s="96" t="str">
        <f>IFERROR(__xludf.DUMMYFUNCTION("""COMPUTED_VALUE"""),"Prefinance")</f>
        <v>Prefinance</v>
      </c>
      <c r="S885" s="99">
        <f>IFERROR(__xludf.DUMMYFUNCTION("""COMPUTED_VALUE"""),0.0)</f>
        <v>0</v>
      </c>
      <c r="T885" s="99">
        <f>IFERROR(__xludf.DUMMYFUNCTION("""COMPUTED_VALUE"""),0.0)</f>
        <v>0</v>
      </c>
      <c r="U885" s="99">
        <f>IFERROR(__xludf.DUMMYFUNCTION("""COMPUTED_VALUE"""),0.0)</f>
        <v>0</v>
      </c>
      <c r="V885" s="99">
        <f>IFERROR(__xludf.DUMMYFUNCTION("""COMPUTED_VALUE"""),0.0)</f>
        <v>0</v>
      </c>
      <c r="W885" s="99">
        <f>IFERROR(__xludf.DUMMYFUNCTION("""COMPUTED_VALUE"""),0.0)</f>
        <v>0</v>
      </c>
    </row>
    <row r="886">
      <c r="N886" s="98">
        <f>IFERROR(__xludf.DUMMYFUNCTION("""COMPUTED_VALUE"""),44110.0)</f>
        <v>44110</v>
      </c>
      <c r="O886" s="96" t="str">
        <f>IFERROR(__xludf.DUMMYFUNCTION("""COMPUTED_VALUE"""),"A. D. FREDERICK")</f>
        <v>A. D. FREDERICK</v>
      </c>
      <c r="P886" s="96" t="str">
        <f>IFERROR(__xludf.DUMMYFUNCTION("""COMPUTED_VALUE"""),"ADVANCE")</f>
        <v>ADVANCE</v>
      </c>
      <c r="Q886" s="99">
        <f>IFERROR(__xludf.DUMMYFUNCTION("""COMPUTED_VALUE"""),500000.0)</f>
        <v>500000</v>
      </c>
      <c r="R886" s="96" t="str">
        <f>IFERROR(__xludf.DUMMYFUNCTION("""COMPUTED_VALUE"""),"Prefinance")</f>
        <v>Prefinance</v>
      </c>
      <c r="S886" s="99">
        <f>IFERROR(__xludf.DUMMYFUNCTION("""COMPUTED_VALUE"""),0.0)</f>
        <v>0</v>
      </c>
      <c r="T886" s="99">
        <f>IFERROR(__xludf.DUMMYFUNCTION("""COMPUTED_VALUE"""),0.0)</f>
        <v>0</v>
      </c>
      <c r="U886" s="99">
        <f>IFERROR(__xludf.DUMMYFUNCTION("""COMPUTED_VALUE"""),0.0)</f>
        <v>0</v>
      </c>
      <c r="V886" s="99">
        <f>IFERROR(__xludf.DUMMYFUNCTION("""COMPUTED_VALUE"""),0.0)</f>
        <v>0</v>
      </c>
      <c r="W886" s="99">
        <f>IFERROR(__xludf.DUMMYFUNCTION("""COMPUTED_VALUE"""),0.0)</f>
        <v>0</v>
      </c>
    </row>
    <row r="887">
      <c r="N887" s="98">
        <f>IFERROR(__xludf.DUMMYFUNCTION("""COMPUTED_VALUE"""),44110.0)</f>
        <v>44110</v>
      </c>
      <c r="O887" s="96" t="str">
        <f>IFERROR(__xludf.DUMMYFUNCTION("""COMPUTED_VALUE"""),"REMMY BODES")</f>
        <v>REMMY BODES</v>
      </c>
      <c r="P887" s="96" t="str">
        <f>IFERROR(__xludf.DUMMYFUNCTION("""COMPUTED_VALUE"""),"ADVANCE")</f>
        <v>ADVANCE</v>
      </c>
      <c r="Q887" s="99">
        <f>IFERROR(__xludf.DUMMYFUNCTION("""COMPUTED_VALUE"""),400000.0)</f>
        <v>400000</v>
      </c>
      <c r="R887" s="96" t="str">
        <f>IFERROR(__xludf.DUMMYFUNCTION("""COMPUTED_VALUE"""),"Prefinance")</f>
        <v>Prefinance</v>
      </c>
      <c r="S887" s="99">
        <f>IFERROR(__xludf.DUMMYFUNCTION("""COMPUTED_VALUE"""),0.0)</f>
        <v>0</v>
      </c>
      <c r="T887" s="99">
        <f>IFERROR(__xludf.DUMMYFUNCTION("""COMPUTED_VALUE"""),0.0)</f>
        <v>0</v>
      </c>
      <c r="U887" s="99">
        <f>IFERROR(__xludf.DUMMYFUNCTION("""COMPUTED_VALUE"""),0.0)</f>
        <v>0</v>
      </c>
      <c r="V887" s="99">
        <f>IFERROR(__xludf.DUMMYFUNCTION("""COMPUTED_VALUE"""),0.0)</f>
        <v>0</v>
      </c>
      <c r="W887" s="99">
        <f>IFERROR(__xludf.DUMMYFUNCTION("""COMPUTED_VALUE"""),0.0)</f>
        <v>0</v>
      </c>
    </row>
    <row r="888">
      <c r="N888" s="98">
        <f>IFERROR(__xludf.DUMMYFUNCTION("""COMPUTED_VALUE"""),44110.0)</f>
        <v>44110</v>
      </c>
      <c r="O888" s="96" t="str">
        <f>IFERROR(__xludf.DUMMYFUNCTION("""COMPUTED_VALUE"""),"NELSON &amp; PALUS")</f>
        <v>NELSON &amp; PALUS</v>
      </c>
      <c r="P888" s="96" t="str">
        <f>IFERROR(__xludf.DUMMYFUNCTION("""COMPUTED_VALUE"""),"TRANSPORT")</f>
        <v>TRANSPORT</v>
      </c>
      <c r="Q888" s="99">
        <f>IFERROR(__xludf.DUMMYFUNCTION("""COMPUTED_VALUE"""),23000.0)</f>
        <v>23000</v>
      </c>
      <c r="R888" s="96" t="str">
        <f>IFERROR(__xludf.DUMMYFUNCTION("""COMPUTED_VALUE"""),"Prefinance")</f>
        <v>Prefinance</v>
      </c>
      <c r="S888" s="99">
        <f>IFERROR(__xludf.DUMMYFUNCTION("""COMPUTED_VALUE"""),0.0)</f>
        <v>0</v>
      </c>
      <c r="T888" s="99">
        <f>IFERROR(__xludf.DUMMYFUNCTION("""COMPUTED_VALUE"""),0.0)</f>
        <v>0</v>
      </c>
      <c r="U888" s="99">
        <f>IFERROR(__xludf.DUMMYFUNCTION("""COMPUTED_VALUE"""),0.0)</f>
        <v>0</v>
      </c>
      <c r="V888" s="99">
        <f>IFERROR(__xludf.DUMMYFUNCTION("""COMPUTED_VALUE"""),0.0)</f>
        <v>0</v>
      </c>
      <c r="W888" s="99">
        <f>IFERROR(__xludf.DUMMYFUNCTION("""COMPUTED_VALUE"""),0.0)</f>
        <v>0</v>
      </c>
    </row>
    <row r="889">
      <c r="N889" s="98">
        <f>IFERROR(__xludf.DUMMYFUNCTION("""COMPUTED_VALUE"""),44110.0)</f>
        <v>44110</v>
      </c>
      <c r="O889" s="96" t="str">
        <f>IFERROR(__xludf.DUMMYFUNCTION("""COMPUTED_VALUE"""),"KOKOK NYIAN")</f>
        <v>KOKOK NYIAN</v>
      </c>
      <c r="P889" s="96" t="str">
        <f>IFERROR(__xludf.DUMMYFUNCTION("""COMPUTED_VALUE"""),"DIRECTOR ORDER")</f>
        <v>DIRECTOR ORDER</v>
      </c>
      <c r="Q889" s="99">
        <f>IFERROR(__xludf.DUMMYFUNCTION("""COMPUTED_VALUE"""),50000.0)</f>
        <v>50000</v>
      </c>
      <c r="R889" s="96" t="str">
        <f>IFERROR(__xludf.DUMMYFUNCTION("""COMPUTED_VALUE"""),"General Expenses")</f>
        <v>General Expenses</v>
      </c>
      <c r="S889" s="99">
        <f>IFERROR(__xludf.DUMMYFUNCTION("""COMPUTED_VALUE"""),0.0)</f>
        <v>0</v>
      </c>
      <c r="T889" s="99">
        <f>IFERROR(__xludf.DUMMYFUNCTION("""COMPUTED_VALUE"""),50000.0)</f>
        <v>50000</v>
      </c>
      <c r="U889" s="99">
        <f>IFERROR(__xludf.DUMMYFUNCTION("""COMPUTED_VALUE"""),0.0)</f>
        <v>0</v>
      </c>
      <c r="V889" s="99">
        <f>IFERROR(__xludf.DUMMYFUNCTION("""COMPUTED_VALUE"""),0.0)</f>
        <v>0</v>
      </c>
      <c r="W889" s="99">
        <f>IFERROR(__xludf.DUMMYFUNCTION("""COMPUTED_VALUE"""),0.0)</f>
        <v>0</v>
      </c>
    </row>
    <row r="890">
      <c r="N890" s="98">
        <f>IFERROR(__xludf.DUMMYFUNCTION("""COMPUTED_VALUE"""),44110.0)</f>
        <v>44110</v>
      </c>
      <c r="O890" s="96" t="str">
        <f>IFERROR(__xludf.DUMMYFUNCTION("""COMPUTED_VALUE"""),"PETER OGAR")</f>
        <v>PETER OGAR</v>
      </c>
      <c r="P890" s="96" t="str">
        <f>IFERROR(__xludf.DUMMYFUNCTION("""COMPUTED_VALUE"""),"TRANSPORT")</f>
        <v>TRANSPORT</v>
      </c>
      <c r="Q890" s="99">
        <f>IFERROR(__xludf.DUMMYFUNCTION("""COMPUTED_VALUE"""),36000.0)</f>
        <v>36000</v>
      </c>
      <c r="R890" s="96" t="str">
        <f>IFERROR(__xludf.DUMMYFUNCTION("""COMPUTED_VALUE"""),"General Expenses")</f>
        <v>General Expenses</v>
      </c>
      <c r="S890" s="99">
        <f>IFERROR(__xludf.DUMMYFUNCTION("""COMPUTED_VALUE"""),0.0)</f>
        <v>0</v>
      </c>
      <c r="T890" s="99">
        <f>IFERROR(__xludf.DUMMYFUNCTION("""COMPUTED_VALUE"""),36000.0)</f>
        <v>36000</v>
      </c>
      <c r="U890" s="99">
        <f>IFERROR(__xludf.DUMMYFUNCTION("""COMPUTED_VALUE"""),0.0)</f>
        <v>0</v>
      </c>
      <c r="V890" s="99">
        <f>IFERROR(__xludf.DUMMYFUNCTION("""COMPUTED_VALUE"""),0.0)</f>
        <v>0</v>
      </c>
      <c r="W890" s="99">
        <f>IFERROR(__xludf.DUMMYFUNCTION("""COMPUTED_VALUE"""),0.0)</f>
        <v>0</v>
      </c>
    </row>
    <row r="891">
      <c r="N891" s="98">
        <f>IFERROR(__xludf.DUMMYFUNCTION("""COMPUTED_VALUE"""),44110.0)</f>
        <v>44110</v>
      </c>
      <c r="O891" s="96" t="str">
        <f>IFERROR(__xludf.DUMMYFUNCTION("""COMPUTED_VALUE"""),"BODES ESCORT")</f>
        <v>BODES ESCORT</v>
      </c>
      <c r="P891" s="96" t="str">
        <f>IFERROR(__xludf.DUMMYFUNCTION("""COMPUTED_VALUE"""),"ESCORT FEE")</f>
        <v>ESCORT FEE</v>
      </c>
      <c r="Q891" s="99">
        <f>IFERROR(__xludf.DUMMYFUNCTION("""COMPUTED_VALUE"""),75000.0)</f>
        <v>75000</v>
      </c>
      <c r="R891" s="96" t="str">
        <f>IFERROR(__xludf.DUMMYFUNCTION("""COMPUTED_VALUE"""),"General Expenses")</f>
        <v>General Expenses</v>
      </c>
      <c r="S891" s="99">
        <f>IFERROR(__xludf.DUMMYFUNCTION("""COMPUTED_VALUE"""),0.0)</f>
        <v>0</v>
      </c>
      <c r="T891" s="99">
        <f>IFERROR(__xludf.DUMMYFUNCTION("""COMPUTED_VALUE"""),75000.0)</f>
        <v>75000</v>
      </c>
      <c r="U891" s="99">
        <f>IFERROR(__xludf.DUMMYFUNCTION("""COMPUTED_VALUE"""),0.0)</f>
        <v>0</v>
      </c>
      <c r="V891" s="99">
        <f>IFERROR(__xludf.DUMMYFUNCTION("""COMPUTED_VALUE"""),0.0)</f>
        <v>0</v>
      </c>
      <c r="W891" s="99">
        <f>IFERROR(__xludf.DUMMYFUNCTION("""COMPUTED_VALUE"""),0.0)</f>
        <v>0</v>
      </c>
    </row>
    <row r="892">
      <c r="N892" s="98">
        <f>IFERROR(__xludf.DUMMYFUNCTION("""COMPUTED_VALUE"""),44110.0)</f>
        <v>44110</v>
      </c>
      <c r="O892" s="96" t="str">
        <f>IFERROR(__xludf.DUMMYFUNCTION("""COMPUTED_VALUE"""),"CHINEDU")</f>
        <v>CHINEDU</v>
      </c>
      <c r="P892" s="96" t="str">
        <f>IFERROR(__xludf.DUMMYFUNCTION("""COMPUTED_VALUE"""),"DIRECTOR ORDER")</f>
        <v>DIRECTOR ORDER</v>
      </c>
      <c r="Q892" s="99">
        <f>IFERROR(__xludf.DUMMYFUNCTION("""COMPUTED_VALUE"""),55000.0)</f>
        <v>55000</v>
      </c>
      <c r="R892" s="96" t="str">
        <f>IFERROR(__xludf.DUMMYFUNCTION("""COMPUTED_VALUE"""),"General Expenses")</f>
        <v>General Expenses</v>
      </c>
      <c r="S892" s="99">
        <f>IFERROR(__xludf.DUMMYFUNCTION("""COMPUTED_VALUE"""),0.0)</f>
        <v>0</v>
      </c>
      <c r="T892" s="99">
        <f>IFERROR(__xludf.DUMMYFUNCTION("""COMPUTED_VALUE"""),55000.0)</f>
        <v>55000</v>
      </c>
      <c r="U892" s="99">
        <f>IFERROR(__xludf.DUMMYFUNCTION("""COMPUTED_VALUE"""),0.0)</f>
        <v>0</v>
      </c>
      <c r="V892" s="99">
        <f>IFERROR(__xludf.DUMMYFUNCTION("""COMPUTED_VALUE"""),0.0)</f>
        <v>0</v>
      </c>
      <c r="W892" s="99">
        <f>IFERROR(__xludf.DUMMYFUNCTION("""COMPUTED_VALUE"""),0.0)</f>
        <v>0</v>
      </c>
    </row>
    <row r="893">
      <c r="N893" s="98">
        <f>IFERROR(__xludf.DUMMYFUNCTION("""COMPUTED_VALUE"""),44110.0)</f>
        <v>44110</v>
      </c>
      <c r="O893" s="96" t="str">
        <f>IFERROR(__xludf.DUMMYFUNCTION("""COMPUTED_VALUE"""),"DAHIRU")</f>
        <v>DAHIRU</v>
      </c>
      <c r="P893" s="96" t="str">
        <f>IFERROR(__xludf.DUMMYFUNCTION("""COMPUTED_VALUE"""),"TRUCK FEE")</f>
        <v>TRUCK FEE</v>
      </c>
      <c r="Q893" s="99">
        <f>IFERROR(__xludf.DUMMYFUNCTION("""COMPUTED_VALUE"""),380000.0)</f>
        <v>380000</v>
      </c>
      <c r="R893" s="96" t="str">
        <f>IFERROR(__xludf.DUMMYFUNCTION("""COMPUTED_VALUE"""),"General Expenses")</f>
        <v>General Expenses</v>
      </c>
      <c r="S893" s="99">
        <f>IFERROR(__xludf.DUMMYFUNCTION("""COMPUTED_VALUE"""),0.0)</f>
        <v>0</v>
      </c>
      <c r="T893" s="99">
        <f>IFERROR(__xludf.DUMMYFUNCTION("""COMPUTED_VALUE"""),380000.0)</f>
        <v>380000</v>
      </c>
      <c r="U893" s="99">
        <f>IFERROR(__xludf.DUMMYFUNCTION("""COMPUTED_VALUE"""),0.0)</f>
        <v>0</v>
      </c>
      <c r="V893" s="99">
        <f>IFERROR(__xludf.DUMMYFUNCTION("""COMPUTED_VALUE"""),0.0)</f>
        <v>0</v>
      </c>
      <c r="W893" s="99">
        <f>IFERROR(__xludf.DUMMYFUNCTION("""COMPUTED_VALUE"""),0.0)</f>
        <v>0</v>
      </c>
    </row>
    <row r="894">
      <c r="N894" s="98">
        <f>IFERROR(__xludf.DUMMYFUNCTION("""COMPUTED_VALUE"""),44110.0)</f>
        <v>44110</v>
      </c>
      <c r="O894" s="96" t="str">
        <f>IFERROR(__xludf.DUMMYFUNCTION("""COMPUTED_VALUE"""),"OJ")</f>
        <v>OJ</v>
      </c>
      <c r="P894" s="96" t="str">
        <f>IFERROR(__xludf.DUMMYFUNCTION("""COMPUTED_VALUE"""),"TRANSPORT")</f>
        <v>TRANSPORT</v>
      </c>
      <c r="Q894" s="99">
        <f>IFERROR(__xludf.DUMMYFUNCTION("""COMPUTED_VALUE"""),100000.0)</f>
        <v>100000</v>
      </c>
      <c r="R894" s="96" t="str">
        <f>IFERROR(__xludf.DUMMYFUNCTION("""COMPUTED_VALUE"""),"General Expenses")</f>
        <v>General Expenses</v>
      </c>
      <c r="S894" s="99">
        <f>IFERROR(__xludf.DUMMYFUNCTION("""COMPUTED_VALUE"""),0.0)</f>
        <v>0</v>
      </c>
      <c r="T894" s="99">
        <f>IFERROR(__xludf.DUMMYFUNCTION("""COMPUTED_VALUE"""),100000.0)</f>
        <v>100000</v>
      </c>
      <c r="U894" s="99">
        <f>IFERROR(__xludf.DUMMYFUNCTION("""COMPUTED_VALUE"""),0.0)</f>
        <v>0</v>
      </c>
      <c r="V894" s="99">
        <f>IFERROR(__xludf.DUMMYFUNCTION("""COMPUTED_VALUE"""),0.0)</f>
        <v>0</v>
      </c>
      <c r="W894" s="99">
        <f>IFERROR(__xludf.DUMMYFUNCTION("""COMPUTED_VALUE"""),0.0)</f>
        <v>0</v>
      </c>
    </row>
    <row r="895">
      <c r="N895" s="98">
        <f>IFERROR(__xludf.DUMMYFUNCTION("""COMPUTED_VALUE"""),44110.0)</f>
        <v>44110</v>
      </c>
      <c r="O895" s="96" t="str">
        <f>IFERROR(__xludf.DUMMYFUNCTION("""COMPUTED_VALUE"""),"MANAGER")</f>
        <v>MANAGER</v>
      </c>
      <c r="P895" s="96" t="str">
        <f>IFERROR(__xludf.DUMMYFUNCTION("""COMPUTED_VALUE"""),"SALARY")</f>
        <v>SALARY</v>
      </c>
      <c r="Q895" s="99">
        <f>IFERROR(__xludf.DUMMYFUNCTION("""COMPUTED_VALUE"""),27500.0)</f>
        <v>27500</v>
      </c>
      <c r="R895" s="96" t="str">
        <f>IFERROR(__xludf.DUMMYFUNCTION("""COMPUTED_VALUE"""),"General Expenses")</f>
        <v>General Expenses</v>
      </c>
      <c r="S895" s="99">
        <f>IFERROR(__xludf.DUMMYFUNCTION("""COMPUTED_VALUE"""),0.0)</f>
        <v>0</v>
      </c>
      <c r="T895" s="99">
        <f>IFERROR(__xludf.DUMMYFUNCTION("""COMPUTED_VALUE"""),27500.0)</f>
        <v>27500</v>
      </c>
      <c r="U895" s="99">
        <f>IFERROR(__xludf.DUMMYFUNCTION("""COMPUTED_VALUE"""),0.0)</f>
        <v>0</v>
      </c>
      <c r="V895" s="99">
        <f>IFERROR(__xludf.DUMMYFUNCTION("""COMPUTED_VALUE"""),0.0)</f>
        <v>0</v>
      </c>
      <c r="W895" s="99">
        <f>IFERROR(__xludf.DUMMYFUNCTION("""COMPUTED_VALUE"""),0.0)</f>
        <v>0</v>
      </c>
    </row>
    <row r="896">
      <c r="N896" s="98">
        <f>IFERROR(__xludf.DUMMYFUNCTION("""COMPUTED_VALUE"""),44110.0)</f>
        <v>44110</v>
      </c>
      <c r="O896" s="96" t="str">
        <f>IFERROR(__xludf.DUMMYFUNCTION("""COMPUTED_VALUE"""),"AYUK BLESSING")</f>
        <v>AYUK BLESSING</v>
      </c>
      <c r="P896" s="96" t="str">
        <f>IFERROR(__xludf.DUMMYFUNCTION("""COMPUTED_VALUE"""),"DATA")</f>
        <v>DATA</v>
      </c>
      <c r="Q896" s="99">
        <f>IFERROR(__xludf.DUMMYFUNCTION("""COMPUTED_VALUE"""),200.0)</f>
        <v>200</v>
      </c>
      <c r="R896" s="96" t="str">
        <f>IFERROR(__xludf.DUMMYFUNCTION("""COMPUTED_VALUE"""),"General Expenses")</f>
        <v>General Expenses</v>
      </c>
      <c r="S896" s="99">
        <f>IFERROR(__xludf.DUMMYFUNCTION("""COMPUTED_VALUE"""),0.0)</f>
        <v>0</v>
      </c>
      <c r="T896" s="99">
        <f>IFERROR(__xludf.DUMMYFUNCTION("""COMPUTED_VALUE"""),200.0)</f>
        <v>200</v>
      </c>
      <c r="U896" s="99">
        <f>IFERROR(__xludf.DUMMYFUNCTION("""COMPUTED_VALUE"""),0.0)</f>
        <v>0</v>
      </c>
      <c r="V896" s="99">
        <f>IFERROR(__xludf.DUMMYFUNCTION("""COMPUTED_VALUE"""),0.0)</f>
        <v>0</v>
      </c>
      <c r="W896" s="99">
        <f>IFERROR(__xludf.DUMMYFUNCTION("""COMPUTED_VALUE"""),0.0)</f>
        <v>0</v>
      </c>
    </row>
    <row r="897">
      <c r="N897" s="98">
        <f>IFERROR(__xludf.DUMMYFUNCTION("""COMPUTED_VALUE"""),44110.0)</f>
        <v>44110</v>
      </c>
      <c r="O897" s="96" t="str">
        <f>IFERROR(__xludf.DUMMYFUNCTION("""COMPUTED_VALUE"""),"PETER KEIBO SIDE")</f>
        <v>PETER KEIBO SIDE</v>
      </c>
      <c r="P897" s="96" t="str">
        <f>IFERROR(__xludf.DUMMYFUNCTION("""COMPUTED_VALUE"""),"DIRECTOR ORDER")</f>
        <v>DIRECTOR ORDER</v>
      </c>
      <c r="Q897" s="99">
        <f>IFERROR(__xludf.DUMMYFUNCTION("""COMPUTED_VALUE"""),15000.0)</f>
        <v>15000</v>
      </c>
      <c r="R897" s="96" t="str">
        <f>IFERROR(__xludf.DUMMYFUNCTION("""COMPUTED_VALUE"""),"General Expenses")</f>
        <v>General Expenses</v>
      </c>
      <c r="S897" s="99">
        <f>IFERROR(__xludf.DUMMYFUNCTION("""COMPUTED_VALUE"""),0.0)</f>
        <v>0</v>
      </c>
      <c r="T897" s="99">
        <f>IFERROR(__xludf.DUMMYFUNCTION("""COMPUTED_VALUE"""),15000.0)</f>
        <v>15000</v>
      </c>
      <c r="U897" s="99">
        <f>IFERROR(__xludf.DUMMYFUNCTION("""COMPUTED_VALUE"""),0.0)</f>
        <v>0</v>
      </c>
      <c r="V897" s="99">
        <f>IFERROR(__xludf.DUMMYFUNCTION("""COMPUTED_VALUE"""),0.0)</f>
        <v>0</v>
      </c>
      <c r="W897" s="99">
        <f>IFERROR(__xludf.DUMMYFUNCTION("""COMPUTED_VALUE"""),0.0)</f>
        <v>0</v>
      </c>
    </row>
    <row r="898">
      <c r="N898" s="98">
        <f>IFERROR(__xludf.DUMMYFUNCTION("""COMPUTED_VALUE"""),44110.0)</f>
        <v>44110</v>
      </c>
      <c r="O898" s="96" t="str">
        <f>IFERROR(__xludf.DUMMYFUNCTION("""COMPUTED_VALUE"""),"HONORABLE ")</f>
        <v>HONORABLE </v>
      </c>
      <c r="P898" s="96" t="str">
        <f>IFERROR(__xludf.DUMMYFUNCTION("""COMPUTED_VALUE"""),"DIRECTOR ORDER")</f>
        <v>DIRECTOR ORDER</v>
      </c>
      <c r="Q898" s="99">
        <f>IFERROR(__xludf.DUMMYFUNCTION("""COMPUTED_VALUE"""),70000.0)</f>
        <v>70000</v>
      </c>
      <c r="R898" s="96" t="str">
        <f>IFERROR(__xludf.DUMMYFUNCTION("""COMPUTED_VALUE"""),"General Expenses")</f>
        <v>General Expenses</v>
      </c>
      <c r="S898" s="99">
        <f>IFERROR(__xludf.DUMMYFUNCTION("""COMPUTED_VALUE"""),0.0)</f>
        <v>0</v>
      </c>
      <c r="T898" s="99">
        <f>IFERROR(__xludf.DUMMYFUNCTION("""COMPUTED_VALUE"""),70000.0)</f>
        <v>70000</v>
      </c>
      <c r="U898" s="99">
        <f>IFERROR(__xludf.DUMMYFUNCTION("""COMPUTED_VALUE"""),0.0)</f>
        <v>0</v>
      </c>
      <c r="V898" s="99">
        <f>IFERROR(__xludf.DUMMYFUNCTION("""COMPUTED_VALUE"""),0.0)</f>
        <v>0</v>
      </c>
      <c r="W898" s="99">
        <f>IFERROR(__xludf.DUMMYFUNCTION("""COMPUTED_VALUE"""),0.0)</f>
        <v>0</v>
      </c>
    </row>
    <row r="899">
      <c r="N899" s="98">
        <f>IFERROR(__xludf.DUMMYFUNCTION("""COMPUTED_VALUE"""),44110.0)</f>
        <v>44110</v>
      </c>
      <c r="O899" s="96" t="str">
        <f>IFERROR(__xludf.DUMMYFUNCTION("""COMPUTED_VALUE"""),"AMBA")</f>
        <v>AMBA</v>
      </c>
      <c r="P899" s="96" t="str">
        <f>IFERROR(__xludf.DUMMYFUNCTION("""COMPUTED_VALUE"""),"HAULAGE")</f>
        <v>HAULAGE</v>
      </c>
      <c r="Q899" s="99">
        <f>IFERROR(__xludf.DUMMYFUNCTION("""COMPUTED_VALUE"""),16600.0)</f>
        <v>16600</v>
      </c>
      <c r="R899" s="96" t="str">
        <f>IFERROR(__xludf.DUMMYFUNCTION("""COMPUTED_VALUE"""),"General Expenses")</f>
        <v>General Expenses</v>
      </c>
      <c r="S899" s="99">
        <f>IFERROR(__xludf.DUMMYFUNCTION("""COMPUTED_VALUE"""),0.0)</f>
        <v>0</v>
      </c>
      <c r="T899" s="99">
        <f>IFERROR(__xludf.DUMMYFUNCTION("""COMPUTED_VALUE"""),16600.0)</f>
        <v>16600</v>
      </c>
      <c r="U899" s="99">
        <f>IFERROR(__xludf.DUMMYFUNCTION("""COMPUTED_VALUE"""),0.0)</f>
        <v>0</v>
      </c>
      <c r="V899" s="99">
        <f>IFERROR(__xludf.DUMMYFUNCTION("""COMPUTED_VALUE"""),0.0)</f>
        <v>0</v>
      </c>
      <c r="W899" s="99">
        <f>IFERROR(__xludf.DUMMYFUNCTION("""COMPUTED_VALUE"""),0.0)</f>
        <v>0</v>
      </c>
    </row>
    <row r="900">
      <c r="N900" s="98">
        <f>IFERROR(__xludf.DUMMYFUNCTION("""COMPUTED_VALUE"""),44110.0)</f>
        <v>44110</v>
      </c>
      <c r="O900" s="96" t="str">
        <f>IFERROR(__xludf.DUMMYFUNCTION("""COMPUTED_VALUE"""),"LABOUR  BOY")</f>
        <v>LABOUR  BOY</v>
      </c>
      <c r="P900" s="96" t="str">
        <f>IFERROR(__xludf.DUMMYFUNCTION("""COMPUTED_VALUE"""),"WAGES ADVANCE")</f>
        <v>WAGES ADVANCE</v>
      </c>
      <c r="Q900" s="99">
        <f>IFERROR(__xludf.DUMMYFUNCTION("""COMPUTED_VALUE"""),5500.0)</f>
        <v>5500</v>
      </c>
      <c r="R900" s="96" t="str">
        <f>IFERROR(__xludf.DUMMYFUNCTION("""COMPUTED_VALUE"""),"General Expenses")</f>
        <v>General Expenses</v>
      </c>
      <c r="S900" s="99">
        <f>IFERROR(__xludf.DUMMYFUNCTION("""COMPUTED_VALUE"""),0.0)</f>
        <v>0</v>
      </c>
      <c r="T900" s="99">
        <f>IFERROR(__xludf.DUMMYFUNCTION("""COMPUTED_VALUE"""),5500.0)</f>
        <v>5500</v>
      </c>
      <c r="U900" s="99">
        <f>IFERROR(__xludf.DUMMYFUNCTION("""COMPUTED_VALUE"""),0.0)</f>
        <v>0</v>
      </c>
      <c r="V900" s="99">
        <f>IFERROR(__xludf.DUMMYFUNCTION("""COMPUTED_VALUE"""),0.0)</f>
        <v>0</v>
      </c>
      <c r="W900" s="99">
        <f>IFERROR(__xludf.DUMMYFUNCTION("""COMPUTED_VALUE"""),0.0)</f>
        <v>0</v>
      </c>
    </row>
    <row r="901">
      <c r="N901" s="98">
        <f>IFERROR(__xludf.DUMMYFUNCTION("""COMPUTED_VALUE"""),44110.0)</f>
        <v>44110</v>
      </c>
      <c r="O901" s="96" t="str">
        <f>IFERROR(__xludf.DUMMYFUNCTION("""COMPUTED_VALUE"""),"BLESSING AYUK")</f>
        <v>BLESSING AYUK</v>
      </c>
      <c r="P901" s="96" t="str">
        <f>IFERROR(__xludf.DUMMYFUNCTION("""COMPUTED_VALUE"""),"CASH COLLECTED")</f>
        <v>CASH COLLECTED</v>
      </c>
      <c r="Q901" s="99">
        <f>IFERROR(__xludf.DUMMYFUNCTION("""COMPUTED_VALUE"""),1087400.0)</f>
        <v>1087400</v>
      </c>
      <c r="R901" s="96" t="str">
        <f>IFERROR(__xludf.DUMMYFUNCTION("""COMPUTED_VALUE"""),"Petty Cash")</f>
        <v>Petty Cash</v>
      </c>
      <c r="S901" s="99">
        <f>IFERROR(__xludf.DUMMYFUNCTION("""COMPUTED_VALUE"""),0.0)</f>
        <v>0</v>
      </c>
      <c r="T901" s="99">
        <f>IFERROR(__xludf.DUMMYFUNCTION("""COMPUTED_VALUE"""),0.0)</f>
        <v>0</v>
      </c>
      <c r="U901" s="99">
        <f>IFERROR(__xludf.DUMMYFUNCTION("""COMPUTED_VALUE"""),0.0)</f>
        <v>0</v>
      </c>
      <c r="V901" s="99">
        <f>IFERROR(__xludf.DUMMYFUNCTION("""COMPUTED_VALUE"""),1087400.0)</f>
        <v>1087400</v>
      </c>
      <c r="W901" s="99">
        <f>IFERROR(__xludf.DUMMYFUNCTION("""COMPUTED_VALUE"""),0.0)</f>
        <v>0</v>
      </c>
    </row>
    <row r="902">
      <c r="N902" s="98">
        <f>IFERROR(__xludf.DUMMYFUNCTION("""COMPUTED_VALUE"""),44110.0)</f>
        <v>44110</v>
      </c>
      <c r="O902" s="96" t="str">
        <f>IFERROR(__xludf.DUMMYFUNCTION("""COMPUTED_VALUE"""),"DIRECTOR")</f>
        <v>DIRECTOR</v>
      </c>
      <c r="P902" s="96" t="str">
        <f>IFERROR(__xludf.DUMMYFUNCTION("""COMPUTED_VALUE"""),"CASH-IN")</f>
        <v>CASH-IN</v>
      </c>
      <c r="Q902" s="99">
        <f>IFERROR(__xludf.DUMMYFUNCTION("""COMPUTED_VALUE"""),3000000.0)</f>
        <v>3000000</v>
      </c>
      <c r="R902" s="96" t="str">
        <f>IFERROR(__xludf.DUMMYFUNCTION("""COMPUTED_VALUE"""),"From Bank")</f>
        <v>From Bank</v>
      </c>
      <c r="S902" s="99">
        <f>IFERROR(__xludf.DUMMYFUNCTION("""COMPUTED_VALUE"""),0.0)</f>
        <v>0</v>
      </c>
      <c r="T902" s="99">
        <f>IFERROR(__xludf.DUMMYFUNCTION("""COMPUTED_VALUE"""),0.0)</f>
        <v>0</v>
      </c>
      <c r="U902" s="99">
        <f>IFERROR(__xludf.DUMMYFUNCTION("""COMPUTED_VALUE"""),3000000.0)</f>
        <v>3000000</v>
      </c>
      <c r="V902" s="99">
        <f>IFERROR(__xludf.DUMMYFUNCTION("""COMPUTED_VALUE"""),0.0)</f>
        <v>0</v>
      </c>
      <c r="W902" s="99">
        <f>IFERROR(__xludf.DUMMYFUNCTION("""COMPUTED_VALUE"""),0.0)</f>
        <v>0</v>
      </c>
    </row>
    <row r="903">
      <c r="N903" s="98">
        <f>IFERROR(__xludf.DUMMYFUNCTION("""COMPUTED_VALUE"""),44111.0)</f>
        <v>44111</v>
      </c>
      <c r="O903" s="96" t="str">
        <f>IFERROR(__xludf.DUMMYFUNCTION("""COMPUTED_VALUE"""),"KOKOK NYIAN")</f>
        <v>KOKOK NYIAN</v>
      </c>
      <c r="P903" s="96" t="str">
        <f>IFERROR(__xludf.DUMMYFUNCTION("""COMPUTED_VALUE"""),"WOOD/CEMENT/WATER")</f>
        <v>WOOD/CEMENT/WATER</v>
      </c>
      <c r="Q903" s="99">
        <f>IFERROR(__xludf.DUMMYFUNCTION("""COMPUTED_VALUE"""),8100.0)</f>
        <v>8100</v>
      </c>
      <c r="R903" s="96" t="str">
        <f>IFERROR(__xludf.DUMMYFUNCTION("""COMPUTED_VALUE"""),"General Expenses")</f>
        <v>General Expenses</v>
      </c>
      <c r="S903" s="99">
        <f>IFERROR(__xludf.DUMMYFUNCTION("""COMPUTED_VALUE"""),0.0)</f>
        <v>0</v>
      </c>
      <c r="T903" s="99">
        <f>IFERROR(__xludf.DUMMYFUNCTION("""COMPUTED_VALUE"""),8100.0)</f>
        <v>8100</v>
      </c>
      <c r="U903" s="99">
        <f>IFERROR(__xludf.DUMMYFUNCTION("""COMPUTED_VALUE"""),0.0)</f>
        <v>0</v>
      </c>
      <c r="V903" s="99">
        <f>IFERROR(__xludf.DUMMYFUNCTION("""COMPUTED_VALUE"""),0.0)</f>
        <v>0</v>
      </c>
      <c r="W903" s="99">
        <f>IFERROR(__xludf.DUMMYFUNCTION("""COMPUTED_VALUE"""),0.0)</f>
        <v>0</v>
      </c>
    </row>
    <row r="904">
      <c r="N904" s="98">
        <f>IFERROR(__xludf.DUMMYFUNCTION("""COMPUTED_VALUE"""),44111.0)</f>
        <v>44111</v>
      </c>
      <c r="O904" s="96" t="str">
        <f>IFERROR(__xludf.DUMMYFUNCTION("""COMPUTED_VALUE"""),"GRACE")</f>
        <v>GRACE</v>
      </c>
      <c r="P904" s="96" t="str">
        <f>IFERROR(__xludf.DUMMYFUNCTION("""COMPUTED_VALUE"""),"GARRI")</f>
        <v>GARRI</v>
      </c>
      <c r="Q904" s="99">
        <f>IFERROR(__xludf.DUMMYFUNCTION("""COMPUTED_VALUE"""),6500.0)</f>
        <v>6500</v>
      </c>
      <c r="R904" s="96" t="str">
        <f>IFERROR(__xludf.DUMMYFUNCTION("""COMPUTED_VALUE"""),"General Expenses")</f>
        <v>General Expenses</v>
      </c>
      <c r="S904" s="99">
        <f>IFERROR(__xludf.DUMMYFUNCTION("""COMPUTED_VALUE"""),0.0)</f>
        <v>0</v>
      </c>
      <c r="T904" s="99">
        <f>IFERROR(__xludf.DUMMYFUNCTION("""COMPUTED_VALUE"""),6500.0)</f>
        <v>6500</v>
      </c>
      <c r="U904" s="99">
        <f>IFERROR(__xludf.DUMMYFUNCTION("""COMPUTED_VALUE"""),0.0)</f>
        <v>0</v>
      </c>
      <c r="V904" s="99">
        <f>IFERROR(__xludf.DUMMYFUNCTION("""COMPUTED_VALUE"""),0.0)</f>
        <v>0</v>
      </c>
      <c r="W904" s="99">
        <f>IFERROR(__xludf.DUMMYFUNCTION("""COMPUTED_VALUE"""),0.0)</f>
        <v>0</v>
      </c>
    </row>
    <row r="905">
      <c r="N905" s="98">
        <f>IFERROR(__xludf.DUMMYFUNCTION("""COMPUTED_VALUE"""),44111.0)</f>
        <v>44111</v>
      </c>
      <c r="O905" s="96" t="str">
        <f>IFERROR(__xludf.DUMMYFUNCTION("""COMPUTED_VALUE"""),"ABANG. MI.D")</f>
        <v>ABANG. MI.D</v>
      </c>
      <c r="P905" s="96" t="str">
        <f>IFERROR(__xludf.DUMMYFUNCTION("""COMPUTED_VALUE"""),"TRANSPORT")</f>
        <v>TRANSPORT</v>
      </c>
      <c r="Q905" s="99">
        <f>IFERROR(__xludf.DUMMYFUNCTION("""COMPUTED_VALUE"""),11000.0)</f>
        <v>11000</v>
      </c>
      <c r="R905" s="96" t="str">
        <f>IFERROR(__xludf.DUMMYFUNCTION("""COMPUTED_VALUE"""),"General Expenses")</f>
        <v>General Expenses</v>
      </c>
      <c r="S905" s="99">
        <f>IFERROR(__xludf.DUMMYFUNCTION("""COMPUTED_VALUE"""),0.0)</f>
        <v>0</v>
      </c>
      <c r="T905" s="99">
        <f>IFERROR(__xludf.DUMMYFUNCTION("""COMPUTED_VALUE"""),11000.0)</f>
        <v>11000</v>
      </c>
      <c r="U905" s="99">
        <f>IFERROR(__xludf.DUMMYFUNCTION("""COMPUTED_VALUE"""),0.0)</f>
        <v>0</v>
      </c>
      <c r="V905" s="99">
        <f>IFERROR(__xludf.DUMMYFUNCTION("""COMPUTED_VALUE"""),0.0)</f>
        <v>0</v>
      </c>
      <c r="W905" s="99">
        <f>IFERROR(__xludf.DUMMYFUNCTION("""COMPUTED_VALUE"""),0.0)</f>
        <v>0</v>
      </c>
    </row>
    <row r="906">
      <c r="N906" s="98">
        <f>IFERROR(__xludf.DUMMYFUNCTION("""COMPUTED_VALUE"""),44111.0)</f>
        <v>44111</v>
      </c>
      <c r="O906" s="96" t="str">
        <f>IFERROR(__xludf.DUMMYFUNCTION("""COMPUTED_VALUE"""),"FRANK (LABOUR BOY)")</f>
        <v>FRANK (LABOUR BOY)</v>
      </c>
      <c r="P906" s="96" t="str">
        <f>IFERROR(__xludf.DUMMYFUNCTION("""COMPUTED_VALUE"""),"WAGES ADVANCE")</f>
        <v>WAGES ADVANCE</v>
      </c>
      <c r="Q906" s="99">
        <f>IFERROR(__xludf.DUMMYFUNCTION("""COMPUTED_VALUE"""),5000.0)</f>
        <v>5000</v>
      </c>
      <c r="R906" s="96" t="str">
        <f>IFERROR(__xludf.DUMMYFUNCTION("""COMPUTED_VALUE"""),"General Expenses")</f>
        <v>General Expenses</v>
      </c>
      <c r="S906" s="99">
        <f>IFERROR(__xludf.DUMMYFUNCTION("""COMPUTED_VALUE"""),0.0)</f>
        <v>0</v>
      </c>
      <c r="T906" s="99">
        <f>IFERROR(__xludf.DUMMYFUNCTION("""COMPUTED_VALUE"""),5000.0)</f>
        <v>5000</v>
      </c>
      <c r="U906" s="99">
        <f>IFERROR(__xludf.DUMMYFUNCTION("""COMPUTED_VALUE"""),0.0)</f>
        <v>0</v>
      </c>
      <c r="V906" s="99">
        <f>IFERROR(__xludf.DUMMYFUNCTION("""COMPUTED_VALUE"""),0.0)</f>
        <v>0</v>
      </c>
      <c r="W906" s="99">
        <f>IFERROR(__xludf.DUMMYFUNCTION("""COMPUTED_VALUE"""),0.0)</f>
        <v>0</v>
      </c>
    </row>
    <row r="907">
      <c r="N907" s="98">
        <f>IFERROR(__xludf.DUMMYFUNCTION("""COMPUTED_VALUE"""),44111.0)</f>
        <v>44111</v>
      </c>
      <c r="O907" s="96" t="str">
        <f>IFERROR(__xludf.DUMMYFUNCTION("""COMPUTED_VALUE"""),"HONORABLE ")</f>
        <v>HONORABLE </v>
      </c>
      <c r="P907" s="96" t="str">
        <f>IFERROR(__xludf.DUMMYFUNCTION("""COMPUTED_VALUE"""),"DIRECTOR ORDER")</f>
        <v>DIRECTOR ORDER</v>
      </c>
      <c r="Q907" s="99">
        <f>IFERROR(__xludf.DUMMYFUNCTION("""COMPUTED_VALUE"""),20000.0)</f>
        <v>20000</v>
      </c>
      <c r="R907" s="96" t="str">
        <f>IFERROR(__xludf.DUMMYFUNCTION("""COMPUTED_VALUE"""),"General Expenses")</f>
        <v>General Expenses</v>
      </c>
      <c r="S907" s="99">
        <f>IFERROR(__xludf.DUMMYFUNCTION("""COMPUTED_VALUE"""),0.0)</f>
        <v>0</v>
      </c>
      <c r="T907" s="99">
        <f>IFERROR(__xludf.DUMMYFUNCTION("""COMPUTED_VALUE"""),20000.0)</f>
        <v>20000</v>
      </c>
      <c r="U907" s="99">
        <f>IFERROR(__xludf.DUMMYFUNCTION("""COMPUTED_VALUE"""),0.0)</f>
        <v>0</v>
      </c>
      <c r="V907" s="99">
        <f>IFERROR(__xludf.DUMMYFUNCTION("""COMPUTED_VALUE"""),0.0)</f>
        <v>0</v>
      </c>
      <c r="W907" s="99">
        <f>IFERROR(__xludf.DUMMYFUNCTION("""COMPUTED_VALUE"""),0.0)</f>
        <v>0</v>
      </c>
    </row>
    <row r="908">
      <c r="N908" s="98">
        <f>IFERROR(__xludf.DUMMYFUNCTION("""COMPUTED_VALUE"""),44111.0)</f>
        <v>44111</v>
      </c>
      <c r="O908" s="96" t="str">
        <f>IFERROR(__xludf.DUMMYFUNCTION("""COMPUTED_VALUE"""),"LABOUR  BOY")</f>
        <v>LABOUR  BOY</v>
      </c>
      <c r="P908" s="96" t="str">
        <f>IFERROR(__xludf.DUMMYFUNCTION("""COMPUTED_VALUE"""),"WAGES ADVANCE")</f>
        <v>WAGES ADVANCE</v>
      </c>
      <c r="Q908" s="99">
        <f>IFERROR(__xludf.DUMMYFUNCTION("""COMPUTED_VALUE"""),3500.0)</f>
        <v>3500</v>
      </c>
      <c r="R908" s="96" t="str">
        <f>IFERROR(__xludf.DUMMYFUNCTION("""COMPUTED_VALUE"""),"General Expenses")</f>
        <v>General Expenses</v>
      </c>
      <c r="S908" s="99">
        <f>IFERROR(__xludf.DUMMYFUNCTION("""COMPUTED_VALUE"""),0.0)</f>
        <v>0</v>
      </c>
      <c r="T908" s="99">
        <f>IFERROR(__xludf.DUMMYFUNCTION("""COMPUTED_VALUE"""),3500.0)</f>
        <v>3500</v>
      </c>
      <c r="U908" s="99">
        <f>IFERROR(__xludf.DUMMYFUNCTION("""COMPUTED_VALUE"""),0.0)</f>
        <v>0</v>
      </c>
      <c r="V908" s="99">
        <f>IFERROR(__xludf.DUMMYFUNCTION("""COMPUTED_VALUE"""),0.0)</f>
        <v>0</v>
      </c>
      <c r="W908" s="99">
        <f>IFERROR(__xludf.DUMMYFUNCTION("""COMPUTED_VALUE"""),0.0)</f>
        <v>0</v>
      </c>
    </row>
    <row r="909">
      <c r="N909" s="98">
        <f>IFERROR(__xludf.DUMMYFUNCTION("""COMPUTED_VALUE"""),44111.0)</f>
        <v>44111</v>
      </c>
      <c r="O909" s="96" t="str">
        <f>IFERROR(__xludf.DUMMYFUNCTION("""COMPUTED_VALUE"""),"CHINEDU")</f>
        <v>CHINEDU</v>
      </c>
      <c r="P909" s="96" t="str">
        <f>IFERROR(__xludf.DUMMYFUNCTION("""COMPUTED_VALUE"""),"SALARY ADVANCE")</f>
        <v>SALARY ADVANCE</v>
      </c>
      <c r="Q909" s="99">
        <f>IFERROR(__xludf.DUMMYFUNCTION("""COMPUTED_VALUE"""),10000.0)</f>
        <v>10000</v>
      </c>
      <c r="R909" s="96" t="str">
        <f>IFERROR(__xludf.DUMMYFUNCTION("""COMPUTED_VALUE"""),"General Expenses")</f>
        <v>General Expenses</v>
      </c>
      <c r="S909" s="99">
        <f>IFERROR(__xludf.DUMMYFUNCTION("""COMPUTED_VALUE"""),0.0)</f>
        <v>0</v>
      </c>
      <c r="T909" s="99">
        <f>IFERROR(__xludf.DUMMYFUNCTION("""COMPUTED_VALUE"""),10000.0)</f>
        <v>10000</v>
      </c>
      <c r="U909" s="99">
        <f>IFERROR(__xludf.DUMMYFUNCTION("""COMPUTED_VALUE"""),0.0)</f>
        <v>0</v>
      </c>
      <c r="V909" s="99">
        <f>IFERROR(__xludf.DUMMYFUNCTION("""COMPUTED_VALUE"""),0.0)</f>
        <v>0</v>
      </c>
      <c r="W909" s="99">
        <f>IFERROR(__xludf.DUMMYFUNCTION("""COMPUTED_VALUE"""),0.0)</f>
        <v>0</v>
      </c>
    </row>
    <row r="910">
      <c r="N910" s="98">
        <f>IFERROR(__xludf.DUMMYFUNCTION("""COMPUTED_VALUE"""),44111.0)</f>
        <v>44111</v>
      </c>
      <c r="O910" s="96" t="str">
        <f>IFERROR(__xludf.DUMMYFUNCTION("""COMPUTED_VALUE"""),"OTU KOKO KEIBO")</f>
        <v>OTU KOKO KEIBO</v>
      </c>
      <c r="P910" s="96" t="str">
        <f>IFERROR(__xludf.DUMMYFUNCTION("""COMPUTED_VALUE"""),"ADVANCE")</f>
        <v>ADVANCE</v>
      </c>
      <c r="Q910" s="99">
        <f>IFERROR(__xludf.DUMMYFUNCTION("""COMPUTED_VALUE"""),50000.0)</f>
        <v>50000</v>
      </c>
      <c r="R910" s="96" t="str">
        <f>IFERROR(__xludf.DUMMYFUNCTION("""COMPUTED_VALUE"""),"Prefinance")</f>
        <v>Prefinance</v>
      </c>
      <c r="S910" s="99">
        <f>IFERROR(__xludf.DUMMYFUNCTION("""COMPUTED_VALUE"""),0.0)</f>
        <v>0</v>
      </c>
      <c r="T910" s="99">
        <f>IFERROR(__xludf.DUMMYFUNCTION("""COMPUTED_VALUE"""),0.0)</f>
        <v>0</v>
      </c>
      <c r="U910" s="99">
        <f>IFERROR(__xludf.DUMMYFUNCTION("""COMPUTED_VALUE"""),0.0)</f>
        <v>0</v>
      </c>
      <c r="V910" s="99">
        <f>IFERROR(__xludf.DUMMYFUNCTION("""COMPUTED_VALUE"""),0.0)</f>
        <v>0</v>
      </c>
      <c r="W910" s="99">
        <f>IFERROR(__xludf.DUMMYFUNCTION("""COMPUTED_VALUE"""),0.0)</f>
        <v>0</v>
      </c>
    </row>
    <row r="911">
      <c r="N911" s="98">
        <f>IFERROR(__xludf.DUMMYFUNCTION("""COMPUTED_VALUE"""),44111.0)</f>
        <v>44111</v>
      </c>
      <c r="O911" s="96" t="str">
        <f>IFERROR(__xludf.DUMMYFUNCTION("""COMPUTED_VALUE"""),"COPPA NKU")</f>
        <v>COPPA NKU</v>
      </c>
      <c r="P911" s="96" t="str">
        <f>IFERROR(__xludf.DUMMYFUNCTION("""COMPUTED_VALUE"""),"ADVANCE")</f>
        <v>ADVANCE</v>
      </c>
      <c r="Q911" s="99">
        <f>IFERROR(__xludf.DUMMYFUNCTION("""COMPUTED_VALUE"""),300000.0)</f>
        <v>300000</v>
      </c>
      <c r="R911" s="96" t="str">
        <f>IFERROR(__xludf.DUMMYFUNCTION("""COMPUTED_VALUE"""),"Prefinance")</f>
        <v>Prefinance</v>
      </c>
      <c r="S911" s="99">
        <f>IFERROR(__xludf.DUMMYFUNCTION("""COMPUTED_VALUE"""),0.0)</f>
        <v>0</v>
      </c>
      <c r="T911" s="99">
        <f>IFERROR(__xludf.DUMMYFUNCTION("""COMPUTED_VALUE"""),0.0)</f>
        <v>0</v>
      </c>
      <c r="U911" s="99">
        <f>IFERROR(__xludf.DUMMYFUNCTION("""COMPUTED_VALUE"""),0.0)</f>
        <v>0</v>
      </c>
      <c r="V911" s="99">
        <f>IFERROR(__xludf.DUMMYFUNCTION("""COMPUTED_VALUE"""),0.0)</f>
        <v>0</v>
      </c>
      <c r="W911" s="99">
        <f>IFERROR(__xludf.DUMMYFUNCTION("""COMPUTED_VALUE"""),0.0)</f>
        <v>0</v>
      </c>
    </row>
    <row r="912">
      <c r="N912" s="98">
        <f>IFERROR(__xludf.DUMMYFUNCTION("""COMPUTED_VALUE"""),44111.0)</f>
        <v>44111</v>
      </c>
      <c r="O912" s="96" t="str">
        <f>IFERROR(__xludf.DUMMYFUNCTION("""COMPUTED_VALUE"""),"AUGUSTINE IGBA")</f>
        <v>AUGUSTINE IGBA</v>
      </c>
      <c r="P912" s="96" t="str">
        <f>IFERROR(__xludf.DUMMYFUNCTION("""COMPUTED_VALUE"""),"ADVANCE")</f>
        <v>ADVANCE</v>
      </c>
      <c r="Q912" s="99">
        <f>IFERROR(__xludf.DUMMYFUNCTION("""COMPUTED_VALUE"""),4000000.0)</f>
        <v>4000000</v>
      </c>
      <c r="R912" s="96" t="str">
        <f>IFERROR(__xludf.DUMMYFUNCTION("""COMPUTED_VALUE"""),"Prefinance")</f>
        <v>Prefinance</v>
      </c>
      <c r="S912" s="99">
        <f>IFERROR(__xludf.DUMMYFUNCTION("""COMPUTED_VALUE"""),0.0)</f>
        <v>0</v>
      </c>
      <c r="T912" s="99">
        <f>IFERROR(__xludf.DUMMYFUNCTION("""COMPUTED_VALUE"""),0.0)</f>
        <v>0</v>
      </c>
      <c r="U912" s="99">
        <f>IFERROR(__xludf.DUMMYFUNCTION("""COMPUTED_VALUE"""),0.0)</f>
        <v>0</v>
      </c>
      <c r="V912" s="99">
        <f>IFERROR(__xludf.DUMMYFUNCTION("""COMPUTED_VALUE"""),0.0)</f>
        <v>0</v>
      </c>
      <c r="W912" s="99">
        <f>IFERROR(__xludf.DUMMYFUNCTION("""COMPUTED_VALUE"""),0.0)</f>
        <v>0</v>
      </c>
    </row>
    <row r="913">
      <c r="N913" s="98">
        <f>IFERROR(__xludf.DUMMYFUNCTION("""COMPUTED_VALUE"""),44111.0)</f>
        <v>44111</v>
      </c>
      <c r="O913" s="96" t="str">
        <f>IFERROR(__xludf.DUMMYFUNCTION("""COMPUTED_VALUE"""),"LIVINUS")</f>
        <v>LIVINUS</v>
      </c>
      <c r="P913" s="96" t="str">
        <f>IFERROR(__xludf.DUMMYFUNCTION("""COMPUTED_VALUE"""),"ADVANCE")</f>
        <v>ADVANCE</v>
      </c>
      <c r="Q913" s="99">
        <f>IFERROR(__xludf.DUMMYFUNCTION("""COMPUTED_VALUE"""),620000.0)</f>
        <v>620000</v>
      </c>
      <c r="R913" s="96" t="str">
        <f>IFERROR(__xludf.DUMMYFUNCTION("""COMPUTED_VALUE"""),"Prefinance")</f>
        <v>Prefinance</v>
      </c>
      <c r="S913" s="99">
        <f>IFERROR(__xludf.DUMMYFUNCTION("""COMPUTED_VALUE"""),0.0)</f>
        <v>0</v>
      </c>
      <c r="T913" s="99">
        <f>IFERROR(__xludf.DUMMYFUNCTION("""COMPUTED_VALUE"""),0.0)</f>
        <v>0</v>
      </c>
      <c r="U913" s="99">
        <f>IFERROR(__xludf.DUMMYFUNCTION("""COMPUTED_VALUE"""),0.0)</f>
        <v>0</v>
      </c>
      <c r="V913" s="99">
        <f>IFERROR(__xludf.DUMMYFUNCTION("""COMPUTED_VALUE"""),0.0)</f>
        <v>0</v>
      </c>
      <c r="W913" s="99">
        <f>IFERROR(__xludf.DUMMYFUNCTION("""COMPUTED_VALUE"""),0.0)</f>
        <v>0</v>
      </c>
    </row>
    <row r="914">
      <c r="N914" s="98">
        <f>IFERROR(__xludf.DUMMYFUNCTION("""COMPUTED_VALUE"""),44111.0)</f>
        <v>44111</v>
      </c>
      <c r="O914" s="96" t="str">
        <f>IFERROR(__xludf.DUMMYFUNCTION("""COMPUTED_VALUE"""),"NDOMA BODE I.D")</f>
        <v>NDOMA BODE I.D</v>
      </c>
      <c r="P914" s="96" t="str">
        <f>IFERROR(__xludf.DUMMYFUNCTION("""COMPUTED_VALUE"""),"ADVANCE")</f>
        <v>ADVANCE</v>
      </c>
      <c r="Q914" s="99">
        <f>IFERROR(__xludf.DUMMYFUNCTION("""COMPUTED_VALUE"""),1200000.0)</f>
        <v>1200000</v>
      </c>
      <c r="R914" s="96" t="str">
        <f>IFERROR(__xludf.DUMMYFUNCTION("""COMPUTED_VALUE"""),"Prefinance")</f>
        <v>Prefinance</v>
      </c>
      <c r="S914" s="99">
        <f>IFERROR(__xludf.DUMMYFUNCTION("""COMPUTED_VALUE"""),0.0)</f>
        <v>0</v>
      </c>
      <c r="T914" s="99">
        <f>IFERROR(__xludf.DUMMYFUNCTION("""COMPUTED_VALUE"""),0.0)</f>
        <v>0</v>
      </c>
      <c r="U914" s="99">
        <f>IFERROR(__xludf.DUMMYFUNCTION("""COMPUTED_VALUE"""),0.0)</f>
        <v>0</v>
      </c>
      <c r="V914" s="99">
        <f>IFERROR(__xludf.DUMMYFUNCTION("""COMPUTED_VALUE"""),0.0)</f>
        <v>0</v>
      </c>
      <c r="W914" s="99">
        <f>IFERROR(__xludf.DUMMYFUNCTION("""COMPUTED_VALUE"""),0.0)</f>
        <v>0</v>
      </c>
    </row>
    <row r="915">
      <c r="N915" s="98">
        <f>IFERROR(__xludf.DUMMYFUNCTION("""COMPUTED_VALUE"""),44111.0)</f>
        <v>44111</v>
      </c>
      <c r="O915" s="96" t="str">
        <f>IFERROR(__xludf.DUMMYFUNCTION("""COMPUTED_VALUE"""),"NDOMA PETER")</f>
        <v>NDOMA PETER</v>
      </c>
      <c r="P915" s="96" t="str">
        <f>IFERROR(__xludf.DUMMYFUNCTION("""COMPUTED_VALUE"""),"ADVANCE")</f>
        <v>ADVANCE</v>
      </c>
      <c r="Q915" s="99">
        <f>IFERROR(__xludf.DUMMYFUNCTION("""COMPUTED_VALUE"""),900000.0)</f>
        <v>900000</v>
      </c>
      <c r="R915" s="96" t="str">
        <f>IFERROR(__xludf.DUMMYFUNCTION("""COMPUTED_VALUE"""),"Prefinance")</f>
        <v>Prefinance</v>
      </c>
      <c r="S915" s="99">
        <f>IFERROR(__xludf.DUMMYFUNCTION("""COMPUTED_VALUE"""),0.0)</f>
        <v>0</v>
      </c>
      <c r="T915" s="99">
        <f>IFERROR(__xludf.DUMMYFUNCTION("""COMPUTED_VALUE"""),0.0)</f>
        <v>0</v>
      </c>
      <c r="U915" s="99">
        <f>IFERROR(__xludf.DUMMYFUNCTION("""COMPUTED_VALUE"""),0.0)</f>
        <v>0</v>
      </c>
      <c r="V915" s="99">
        <f>IFERROR(__xludf.DUMMYFUNCTION("""COMPUTED_VALUE"""),0.0)</f>
        <v>0</v>
      </c>
      <c r="W915" s="99">
        <f>IFERROR(__xludf.DUMMYFUNCTION("""COMPUTED_VALUE"""),0.0)</f>
        <v>0</v>
      </c>
    </row>
    <row r="916">
      <c r="N916" s="98">
        <f>IFERROR(__xludf.DUMMYFUNCTION("""COMPUTED_VALUE"""),44111.0)</f>
        <v>44111</v>
      </c>
      <c r="O916" s="96" t="str">
        <f>IFERROR(__xludf.DUMMYFUNCTION("""COMPUTED_VALUE"""),"RI SAMP")</f>
        <v>RI SAMP</v>
      </c>
      <c r="P916" s="96" t="str">
        <f>IFERROR(__xludf.DUMMYFUNCTION("""COMPUTED_VALUE"""),"ADVANCE")</f>
        <v>ADVANCE</v>
      </c>
      <c r="Q916" s="99">
        <f>IFERROR(__xludf.DUMMYFUNCTION("""COMPUTED_VALUE"""),670000.0)</f>
        <v>670000</v>
      </c>
      <c r="R916" s="96" t="str">
        <f>IFERROR(__xludf.DUMMYFUNCTION("""COMPUTED_VALUE"""),"Prefinance")</f>
        <v>Prefinance</v>
      </c>
      <c r="S916" s="99">
        <f>IFERROR(__xludf.DUMMYFUNCTION("""COMPUTED_VALUE"""),0.0)</f>
        <v>0</v>
      </c>
      <c r="T916" s="99">
        <f>IFERROR(__xludf.DUMMYFUNCTION("""COMPUTED_VALUE"""),0.0)</f>
        <v>0</v>
      </c>
      <c r="U916" s="99">
        <f>IFERROR(__xludf.DUMMYFUNCTION("""COMPUTED_VALUE"""),0.0)</f>
        <v>0</v>
      </c>
      <c r="V916" s="99">
        <f>IFERROR(__xludf.DUMMYFUNCTION("""COMPUTED_VALUE"""),0.0)</f>
        <v>0</v>
      </c>
      <c r="W916" s="99">
        <f>IFERROR(__xludf.DUMMYFUNCTION("""COMPUTED_VALUE"""),0.0)</f>
        <v>0</v>
      </c>
    </row>
    <row r="917">
      <c r="N917" s="98">
        <f>IFERROR(__xludf.DUMMYFUNCTION("""COMPUTED_VALUE"""),44111.0)</f>
        <v>44111</v>
      </c>
      <c r="O917" s="96" t="str">
        <f>IFERROR(__xludf.DUMMYFUNCTION("""COMPUTED_VALUE"""),"PRIN M. BOSURU")</f>
        <v>PRIN M. BOSURU</v>
      </c>
      <c r="P917" s="96" t="str">
        <f>IFERROR(__xludf.DUMMYFUNCTION("""COMPUTED_VALUE"""),"ADVANCE")</f>
        <v>ADVANCE</v>
      </c>
      <c r="Q917" s="99">
        <f>IFERROR(__xludf.DUMMYFUNCTION("""COMPUTED_VALUE"""),620000.0)</f>
        <v>620000</v>
      </c>
      <c r="R917" s="96" t="str">
        <f>IFERROR(__xludf.DUMMYFUNCTION("""COMPUTED_VALUE"""),"Prefinance")</f>
        <v>Prefinance</v>
      </c>
      <c r="S917" s="99">
        <f>IFERROR(__xludf.DUMMYFUNCTION("""COMPUTED_VALUE"""),0.0)</f>
        <v>0</v>
      </c>
      <c r="T917" s="99">
        <f>IFERROR(__xludf.DUMMYFUNCTION("""COMPUTED_VALUE"""),0.0)</f>
        <v>0</v>
      </c>
      <c r="U917" s="99">
        <f>IFERROR(__xludf.DUMMYFUNCTION("""COMPUTED_VALUE"""),0.0)</f>
        <v>0</v>
      </c>
      <c r="V917" s="99">
        <f>IFERROR(__xludf.DUMMYFUNCTION("""COMPUTED_VALUE"""),0.0)</f>
        <v>0</v>
      </c>
      <c r="W917" s="99">
        <f>IFERROR(__xludf.DUMMYFUNCTION("""COMPUTED_VALUE"""),0.0)</f>
        <v>0</v>
      </c>
    </row>
    <row r="918">
      <c r="N918" s="98">
        <f>IFERROR(__xludf.DUMMYFUNCTION("""COMPUTED_VALUE"""),44111.0)</f>
        <v>44111</v>
      </c>
      <c r="O918" s="96" t="str">
        <f>IFERROR(__xludf.DUMMYFUNCTION("""COMPUTED_VALUE"""),"EUGENE")</f>
        <v>EUGENE</v>
      </c>
      <c r="P918" s="96" t="str">
        <f>IFERROR(__xludf.DUMMYFUNCTION("""COMPUTED_VALUE"""),"ADVANCE")</f>
        <v>ADVANCE</v>
      </c>
      <c r="Q918" s="99">
        <f>IFERROR(__xludf.DUMMYFUNCTION("""COMPUTED_VALUE"""),1645900.0)</f>
        <v>1645900</v>
      </c>
      <c r="R918" s="96" t="str">
        <f>IFERROR(__xludf.DUMMYFUNCTION("""COMPUTED_VALUE"""),"Prefinance")</f>
        <v>Prefinance</v>
      </c>
      <c r="S918" s="99">
        <f>IFERROR(__xludf.DUMMYFUNCTION("""COMPUTED_VALUE"""),0.0)</f>
        <v>0</v>
      </c>
      <c r="T918" s="99">
        <f>IFERROR(__xludf.DUMMYFUNCTION("""COMPUTED_VALUE"""),0.0)</f>
        <v>0</v>
      </c>
      <c r="U918" s="99">
        <f>IFERROR(__xludf.DUMMYFUNCTION("""COMPUTED_VALUE"""),0.0)</f>
        <v>0</v>
      </c>
      <c r="V918" s="99">
        <f>IFERROR(__xludf.DUMMYFUNCTION("""COMPUTED_VALUE"""),0.0)</f>
        <v>0</v>
      </c>
      <c r="W918" s="99">
        <f>IFERROR(__xludf.DUMMYFUNCTION("""COMPUTED_VALUE"""),0.0)</f>
        <v>0</v>
      </c>
    </row>
    <row r="919">
      <c r="N919" s="98">
        <f>IFERROR(__xludf.DUMMYFUNCTION("""COMPUTED_VALUE"""),44111.0)</f>
        <v>44111</v>
      </c>
      <c r="O919" s="96" t="str">
        <f>IFERROR(__xludf.DUMMYFUNCTION("""COMPUTED_VALUE"""),"ETUK EFFI")</f>
        <v>ETUK EFFI</v>
      </c>
      <c r="P919" s="96" t="str">
        <f>IFERROR(__xludf.DUMMYFUNCTION("""COMPUTED_VALUE"""),"ADVANCE")</f>
        <v>ADVANCE</v>
      </c>
      <c r="Q919" s="99">
        <f>IFERROR(__xludf.DUMMYFUNCTION("""COMPUTED_VALUE"""),1520000.0)</f>
        <v>1520000</v>
      </c>
      <c r="R919" s="96" t="str">
        <f>IFERROR(__xludf.DUMMYFUNCTION("""COMPUTED_VALUE"""),"Prefinance")</f>
        <v>Prefinance</v>
      </c>
      <c r="S919" s="99">
        <f>IFERROR(__xludf.DUMMYFUNCTION("""COMPUTED_VALUE"""),0.0)</f>
        <v>0</v>
      </c>
      <c r="T919" s="99">
        <f>IFERROR(__xludf.DUMMYFUNCTION("""COMPUTED_VALUE"""),0.0)</f>
        <v>0</v>
      </c>
      <c r="U919" s="99">
        <f>IFERROR(__xludf.DUMMYFUNCTION("""COMPUTED_VALUE"""),0.0)</f>
        <v>0</v>
      </c>
      <c r="V919" s="99">
        <f>IFERROR(__xludf.DUMMYFUNCTION("""COMPUTED_VALUE"""),0.0)</f>
        <v>0</v>
      </c>
      <c r="W919" s="99">
        <f>IFERROR(__xludf.DUMMYFUNCTION("""COMPUTED_VALUE"""),0.0)</f>
        <v>0</v>
      </c>
    </row>
    <row r="920">
      <c r="N920" s="98">
        <f>IFERROR(__xludf.DUMMYFUNCTION("""COMPUTED_VALUE"""),44111.0)</f>
        <v>44111</v>
      </c>
      <c r="O920" s="96" t="str">
        <f>IFERROR(__xludf.DUMMYFUNCTION("""COMPUTED_VALUE"""),"LYDIA HNSON ")</f>
        <v>LYDIA HNSON </v>
      </c>
      <c r="P920" s="96" t="str">
        <f>IFERROR(__xludf.DUMMYFUNCTION("""COMPUTED_VALUE"""),"ADVANCE")</f>
        <v>ADVANCE</v>
      </c>
      <c r="Q920" s="99">
        <f>IFERROR(__xludf.DUMMYFUNCTION("""COMPUTED_VALUE"""),1800000.0)</f>
        <v>1800000</v>
      </c>
      <c r="R920" s="96" t="str">
        <f>IFERROR(__xludf.DUMMYFUNCTION("""COMPUTED_VALUE"""),"Prefinance")</f>
        <v>Prefinance</v>
      </c>
      <c r="S920" s="99">
        <f>IFERROR(__xludf.DUMMYFUNCTION("""COMPUTED_VALUE"""),0.0)</f>
        <v>0</v>
      </c>
      <c r="T920" s="99">
        <f>IFERROR(__xludf.DUMMYFUNCTION("""COMPUTED_VALUE"""),0.0)</f>
        <v>0</v>
      </c>
      <c r="U920" s="99">
        <f>IFERROR(__xludf.DUMMYFUNCTION("""COMPUTED_VALUE"""),0.0)</f>
        <v>0</v>
      </c>
      <c r="V920" s="99">
        <f>IFERROR(__xludf.DUMMYFUNCTION("""COMPUTED_VALUE"""),0.0)</f>
        <v>0</v>
      </c>
      <c r="W920" s="99">
        <f>IFERROR(__xludf.DUMMYFUNCTION("""COMPUTED_VALUE"""),0.0)</f>
        <v>0</v>
      </c>
    </row>
    <row r="921">
      <c r="N921" s="98">
        <f>IFERROR(__xludf.DUMMYFUNCTION("""COMPUTED_VALUE"""),44111.0)</f>
        <v>44111</v>
      </c>
      <c r="O921" s="96" t="str">
        <f>IFERROR(__xludf.DUMMYFUNCTION("""COMPUTED_VALUE"""),"REMMY BODES")</f>
        <v>REMMY BODES</v>
      </c>
      <c r="P921" s="96" t="str">
        <f>IFERROR(__xludf.DUMMYFUNCTION("""COMPUTED_VALUE"""),"PAYMENT")</f>
        <v>PAYMENT</v>
      </c>
      <c r="Q921" s="99">
        <f>IFERROR(__xludf.DUMMYFUNCTION("""COMPUTED_VALUE"""),661500.0)</f>
        <v>661500</v>
      </c>
      <c r="R921" s="96" t="str">
        <f>IFERROR(__xludf.DUMMYFUNCTION("""COMPUTED_VALUE"""),"Prefinance")</f>
        <v>Prefinance</v>
      </c>
      <c r="S921" s="99">
        <f>IFERROR(__xludf.DUMMYFUNCTION("""COMPUTED_VALUE"""),0.0)</f>
        <v>0</v>
      </c>
      <c r="T921" s="99">
        <f>IFERROR(__xludf.DUMMYFUNCTION("""COMPUTED_VALUE"""),0.0)</f>
        <v>0</v>
      </c>
      <c r="U921" s="99">
        <f>IFERROR(__xludf.DUMMYFUNCTION("""COMPUTED_VALUE"""),0.0)</f>
        <v>0</v>
      </c>
      <c r="V921" s="99">
        <f>IFERROR(__xludf.DUMMYFUNCTION("""COMPUTED_VALUE"""),0.0)</f>
        <v>0</v>
      </c>
      <c r="W921" s="99">
        <f>IFERROR(__xludf.DUMMYFUNCTION("""COMPUTED_VALUE"""),0.0)</f>
        <v>0</v>
      </c>
    </row>
    <row r="922">
      <c r="N922" s="98">
        <f>IFERROR(__xludf.DUMMYFUNCTION("""COMPUTED_VALUE"""),44111.0)</f>
        <v>44111</v>
      </c>
      <c r="O922" s="96" t="str">
        <f>IFERROR(__xludf.DUMMYFUNCTION("""COMPUTED_VALUE"""),"FRANCIS KEIBO")</f>
        <v>FRANCIS KEIBO</v>
      </c>
      <c r="P922" s="96" t="str">
        <f>IFERROR(__xludf.DUMMYFUNCTION("""COMPUTED_VALUE"""),"ADVANCE")</f>
        <v>ADVANCE</v>
      </c>
      <c r="Q922" s="99">
        <f>IFERROR(__xludf.DUMMYFUNCTION("""COMPUTED_VALUE"""),200000.0)</f>
        <v>200000</v>
      </c>
      <c r="R922" s="96" t="str">
        <f>IFERROR(__xludf.DUMMYFUNCTION("""COMPUTED_VALUE"""),"Prefinance")</f>
        <v>Prefinance</v>
      </c>
      <c r="S922" s="99">
        <f>IFERROR(__xludf.DUMMYFUNCTION("""COMPUTED_VALUE"""),0.0)</f>
        <v>0</v>
      </c>
      <c r="T922" s="99">
        <f>IFERROR(__xludf.DUMMYFUNCTION("""COMPUTED_VALUE"""),0.0)</f>
        <v>0</v>
      </c>
      <c r="U922" s="99">
        <f>IFERROR(__xludf.DUMMYFUNCTION("""COMPUTED_VALUE"""),0.0)</f>
        <v>0</v>
      </c>
      <c r="V922" s="99">
        <f>IFERROR(__xludf.DUMMYFUNCTION("""COMPUTED_VALUE"""),0.0)</f>
        <v>0</v>
      </c>
      <c r="W922" s="99">
        <f>IFERROR(__xludf.DUMMYFUNCTION("""COMPUTED_VALUE"""),0.0)</f>
        <v>0</v>
      </c>
    </row>
    <row r="923">
      <c r="N923" s="98">
        <f>IFERROR(__xludf.DUMMYFUNCTION("""COMPUTED_VALUE"""),44111.0)</f>
        <v>44111</v>
      </c>
      <c r="O923" s="96" t="str">
        <f>IFERROR(__xludf.DUMMYFUNCTION("""COMPUTED_VALUE"""),"AUGUSTINE IGBA")</f>
        <v>AUGUSTINE IGBA</v>
      </c>
      <c r="P923" s="96" t="str">
        <f>IFERROR(__xludf.DUMMYFUNCTION("""COMPUTED_VALUE"""),"TRANSPORT")</f>
        <v>TRANSPORT</v>
      </c>
      <c r="Q923" s="99">
        <f>IFERROR(__xludf.DUMMYFUNCTION("""COMPUTED_VALUE"""),5000.0)</f>
        <v>5000</v>
      </c>
      <c r="R923" s="96" t="str">
        <f>IFERROR(__xludf.DUMMYFUNCTION("""COMPUTED_VALUE"""),"Prefinance")</f>
        <v>Prefinance</v>
      </c>
      <c r="S923" s="99">
        <f>IFERROR(__xludf.DUMMYFUNCTION("""COMPUTED_VALUE"""),0.0)</f>
        <v>0</v>
      </c>
      <c r="T923" s="99">
        <f>IFERROR(__xludf.DUMMYFUNCTION("""COMPUTED_VALUE"""),0.0)</f>
        <v>0</v>
      </c>
      <c r="U923" s="99">
        <f>IFERROR(__xludf.DUMMYFUNCTION("""COMPUTED_VALUE"""),0.0)</f>
        <v>0</v>
      </c>
      <c r="V923" s="99">
        <f>IFERROR(__xludf.DUMMYFUNCTION("""COMPUTED_VALUE"""),0.0)</f>
        <v>0</v>
      </c>
      <c r="W923" s="99">
        <f>IFERROR(__xludf.DUMMYFUNCTION("""COMPUTED_VALUE"""),0.0)</f>
        <v>0</v>
      </c>
    </row>
    <row r="924">
      <c r="N924" s="98">
        <f>IFERROR(__xludf.DUMMYFUNCTION("""COMPUTED_VALUE"""),44111.0)</f>
        <v>44111</v>
      </c>
      <c r="O924" s="96" t="str">
        <f>IFERROR(__xludf.DUMMYFUNCTION("""COMPUTED_VALUE"""),"CONNECT")</f>
        <v>CONNECT</v>
      </c>
      <c r="P924" s="96" t="str">
        <f>IFERROR(__xludf.DUMMYFUNCTION("""COMPUTED_VALUE"""),"ADVANCE")</f>
        <v>ADVANCE</v>
      </c>
      <c r="Q924" s="99">
        <f>IFERROR(__xludf.DUMMYFUNCTION("""COMPUTED_VALUE"""),3000000.0)</f>
        <v>3000000</v>
      </c>
      <c r="R924" s="96" t="str">
        <f>IFERROR(__xludf.DUMMYFUNCTION("""COMPUTED_VALUE"""),"Prefinance")</f>
        <v>Prefinance</v>
      </c>
      <c r="S924" s="99">
        <f>IFERROR(__xludf.DUMMYFUNCTION("""COMPUTED_VALUE"""),0.0)</f>
        <v>0</v>
      </c>
      <c r="T924" s="99">
        <f>IFERROR(__xludf.DUMMYFUNCTION("""COMPUTED_VALUE"""),0.0)</f>
        <v>0</v>
      </c>
      <c r="U924" s="99">
        <f>IFERROR(__xludf.DUMMYFUNCTION("""COMPUTED_VALUE"""),0.0)</f>
        <v>0</v>
      </c>
      <c r="V924" s="99">
        <f>IFERROR(__xludf.DUMMYFUNCTION("""COMPUTED_VALUE"""),0.0)</f>
        <v>0</v>
      </c>
      <c r="W924" s="99">
        <f>IFERROR(__xludf.DUMMYFUNCTION("""COMPUTED_VALUE"""),0.0)</f>
        <v>0</v>
      </c>
    </row>
    <row r="925">
      <c r="N925" s="98">
        <f>IFERROR(__xludf.DUMMYFUNCTION("""COMPUTED_VALUE"""),44111.0)</f>
        <v>44111</v>
      </c>
      <c r="O925" s="96" t="str">
        <f>IFERROR(__xludf.DUMMYFUNCTION("""COMPUTED_VALUE"""),"DIRECTOR")</f>
        <v>DIRECTOR</v>
      </c>
      <c r="P925" s="96" t="str">
        <f>IFERROR(__xludf.DUMMYFUNCTION("""COMPUTED_VALUE"""),"CASH-IN")</f>
        <v>CASH-IN</v>
      </c>
      <c r="Q925" s="99">
        <f>IFERROR(__xludf.DUMMYFUNCTION("""COMPUTED_VALUE"""),3300000.0)</f>
        <v>3300000</v>
      </c>
      <c r="R925" s="96" t="str">
        <f>IFERROR(__xludf.DUMMYFUNCTION("""COMPUTED_VALUE"""),"From Bank")</f>
        <v>From Bank</v>
      </c>
      <c r="S925" s="99">
        <f>IFERROR(__xludf.DUMMYFUNCTION("""COMPUTED_VALUE"""),0.0)</f>
        <v>0</v>
      </c>
      <c r="T925" s="99">
        <f>IFERROR(__xludf.DUMMYFUNCTION("""COMPUTED_VALUE"""),0.0)</f>
        <v>0</v>
      </c>
      <c r="U925" s="99">
        <f>IFERROR(__xludf.DUMMYFUNCTION("""COMPUTED_VALUE"""),3300000.0)</f>
        <v>3300000</v>
      </c>
      <c r="V925" s="99">
        <f>IFERROR(__xludf.DUMMYFUNCTION("""COMPUTED_VALUE"""),0.0)</f>
        <v>0</v>
      </c>
      <c r="W925" s="99">
        <f>IFERROR(__xludf.DUMMYFUNCTION("""COMPUTED_VALUE"""),0.0)</f>
        <v>0</v>
      </c>
    </row>
    <row r="926">
      <c r="N926" s="98">
        <f>IFERROR(__xludf.DUMMYFUNCTION("""COMPUTED_VALUE"""),44111.0)</f>
        <v>44111</v>
      </c>
      <c r="O926" s="96" t="str">
        <f>IFERROR(__xludf.DUMMYFUNCTION("""COMPUTED_VALUE"""),"BLESSING AYUK")</f>
        <v>BLESSING AYUK</v>
      </c>
      <c r="P926" s="96" t="str">
        <f>IFERROR(__xludf.DUMMYFUNCTION("""COMPUTED_VALUE"""),"CASH COLLECTED")</f>
        <v>CASH COLLECTED</v>
      </c>
      <c r="Q926" s="99">
        <f>IFERROR(__xludf.DUMMYFUNCTION("""COMPUTED_VALUE"""),478600.0)</f>
        <v>478600</v>
      </c>
      <c r="R926" s="96" t="str">
        <f>IFERROR(__xludf.DUMMYFUNCTION("""COMPUTED_VALUE"""),"Petty Cash")</f>
        <v>Petty Cash</v>
      </c>
      <c r="S926" s="99">
        <f>IFERROR(__xludf.DUMMYFUNCTION("""COMPUTED_VALUE"""),0.0)</f>
        <v>0</v>
      </c>
      <c r="T926" s="99">
        <f>IFERROR(__xludf.DUMMYFUNCTION("""COMPUTED_VALUE"""),0.0)</f>
        <v>0</v>
      </c>
      <c r="U926" s="99">
        <f>IFERROR(__xludf.DUMMYFUNCTION("""COMPUTED_VALUE"""),0.0)</f>
        <v>0</v>
      </c>
      <c r="V926" s="99">
        <f>IFERROR(__xludf.DUMMYFUNCTION("""COMPUTED_VALUE"""),478600.0)</f>
        <v>478600</v>
      </c>
      <c r="W926" s="99">
        <f>IFERROR(__xludf.DUMMYFUNCTION("""COMPUTED_VALUE"""),0.0)</f>
        <v>0</v>
      </c>
    </row>
    <row r="927">
      <c r="N927" s="98">
        <f>IFERROR(__xludf.DUMMYFUNCTION("""COMPUTED_VALUE"""),44111.0)</f>
        <v>44111</v>
      </c>
      <c r="O927" s="96" t="str">
        <f>IFERROR(__xludf.DUMMYFUNCTION("""COMPUTED_VALUE"""),"DIRECTOR")</f>
        <v>DIRECTOR</v>
      </c>
      <c r="P927" s="96" t="str">
        <f>IFERROR(__xludf.DUMMYFUNCTION("""COMPUTED_VALUE"""),"CASH-IN")</f>
        <v>CASH-IN</v>
      </c>
      <c r="Q927" s="99">
        <f>IFERROR(__xludf.DUMMYFUNCTION("""COMPUTED_VALUE"""),1.47E7)</f>
        <v>14700000</v>
      </c>
      <c r="R927" s="96" t="str">
        <f>IFERROR(__xludf.DUMMYFUNCTION("""COMPUTED_VALUE"""),"From Bank")</f>
        <v>From Bank</v>
      </c>
      <c r="S927" s="99">
        <f>IFERROR(__xludf.DUMMYFUNCTION("""COMPUTED_VALUE"""),0.0)</f>
        <v>0</v>
      </c>
      <c r="T927" s="99">
        <f>IFERROR(__xludf.DUMMYFUNCTION("""COMPUTED_VALUE"""),0.0)</f>
        <v>0</v>
      </c>
      <c r="U927" s="99">
        <f>IFERROR(__xludf.DUMMYFUNCTION("""COMPUTED_VALUE"""),1.47E7)</f>
        <v>14700000</v>
      </c>
      <c r="V927" s="99">
        <f>IFERROR(__xludf.DUMMYFUNCTION("""COMPUTED_VALUE"""),0.0)</f>
        <v>0</v>
      </c>
      <c r="W927" s="99">
        <f>IFERROR(__xludf.DUMMYFUNCTION("""COMPUTED_VALUE"""),0.0)</f>
        <v>0</v>
      </c>
    </row>
    <row r="928">
      <c r="N928" s="98">
        <f>IFERROR(__xludf.DUMMYFUNCTION("""COMPUTED_VALUE"""),44112.0)</f>
        <v>44112</v>
      </c>
      <c r="O928" s="96" t="str">
        <f>IFERROR(__xludf.DUMMYFUNCTION("""COMPUTED_VALUE"""),"ETIM SUNDAY")</f>
        <v>ETIM SUNDAY</v>
      </c>
      <c r="P928" s="96" t="str">
        <f>IFERROR(__xludf.DUMMYFUNCTION("""COMPUTED_VALUE"""),"ADVANCE")</f>
        <v>ADVANCE</v>
      </c>
      <c r="Q928" s="99">
        <f>IFERROR(__xludf.DUMMYFUNCTION("""COMPUTED_VALUE"""),200000.0)</f>
        <v>200000</v>
      </c>
      <c r="R928" s="96" t="str">
        <f>IFERROR(__xludf.DUMMYFUNCTION("""COMPUTED_VALUE"""),"Prefinance")</f>
        <v>Prefinance</v>
      </c>
      <c r="S928" s="99">
        <f>IFERROR(__xludf.DUMMYFUNCTION("""COMPUTED_VALUE"""),0.0)</f>
        <v>0</v>
      </c>
      <c r="T928" s="99">
        <f>IFERROR(__xludf.DUMMYFUNCTION("""COMPUTED_VALUE"""),0.0)</f>
        <v>0</v>
      </c>
      <c r="U928" s="99">
        <f>IFERROR(__xludf.DUMMYFUNCTION("""COMPUTED_VALUE"""),0.0)</f>
        <v>0</v>
      </c>
      <c r="V928" s="99">
        <f>IFERROR(__xludf.DUMMYFUNCTION("""COMPUTED_VALUE"""),0.0)</f>
        <v>0</v>
      </c>
      <c r="W928" s="99">
        <f>IFERROR(__xludf.DUMMYFUNCTION("""COMPUTED_VALUE"""),0.0)</f>
        <v>0</v>
      </c>
    </row>
    <row r="929">
      <c r="N929" s="98">
        <f>IFERROR(__xludf.DUMMYFUNCTION("""COMPUTED_VALUE"""),44112.0)</f>
        <v>44112</v>
      </c>
      <c r="O929" s="96" t="str">
        <f>IFERROR(__xludf.DUMMYFUNCTION("""COMPUTED_VALUE"""),"ABANG. ORU")</f>
        <v>ABANG. ORU</v>
      </c>
      <c r="P929" s="96" t="str">
        <f>IFERROR(__xludf.DUMMYFUNCTION("""COMPUTED_VALUE"""),"ADVANCE")</f>
        <v>ADVANCE</v>
      </c>
      <c r="Q929" s="99">
        <f>IFERROR(__xludf.DUMMYFUNCTION("""COMPUTED_VALUE"""),16500.0)</f>
        <v>16500</v>
      </c>
      <c r="R929" s="96" t="str">
        <f>IFERROR(__xludf.DUMMYFUNCTION("""COMPUTED_VALUE"""),"Prefinance")</f>
        <v>Prefinance</v>
      </c>
      <c r="S929" s="99">
        <f>IFERROR(__xludf.DUMMYFUNCTION("""COMPUTED_VALUE"""),0.0)</f>
        <v>0</v>
      </c>
      <c r="T929" s="99">
        <f>IFERROR(__xludf.DUMMYFUNCTION("""COMPUTED_VALUE"""),0.0)</f>
        <v>0</v>
      </c>
      <c r="U929" s="99">
        <f>IFERROR(__xludf.DUMMYFUNCTION("""COMPUTED_VALUE"""),0.0)</f>
        <v>0</v>
      </c>
      <c r="V929" s="99">
        <f>IFERROR(__xludf.DUMMYFUNCTION("""COMPUTED_VALUE"""),0.0)</f>
        <v>0</v>
      </c>
      <c r="W929" s="99">
        <f>IFERROR(__xludf.DUMMYFUNCTION("""COMPUTED_VALUE"""),0.0)</f>
        <v>0</v>
      </c>
    </row>
    <row r="930">
      <c r="N930" s="98">
        <f>IFERROR(__xludf.DUMMYFUNCTION("""COMPUTED_VALUE"""),44112.0)</f>
        <v>44112</v>
      </c>
      <c r="O930" s="96" t="str">
        <f>IFERROR(__xludf.DUMMYFUNCTION("""COMPUTED_VALUE"""),"AGEGE BOY")</f>
        <v>AGEGE BOY</v>
      </c>
      <c r="P930" s="96" t="str">
        <f>IFERROR(__xludf.DUMMYFUNCTION("""COMPUTED_VALUE"""),"BALANCE")</f>
        <v>BALANCE</v>
      </c>
      <c r="Q930" s="99">
        <f>IFERROR(__xludf.DUMMYFUNCTION("""COMPUTED_VALUE"""),10000.0)</f>
        <v>10000</v>
      </c>
      <c r="R930" s="96" t="str">
        <f>IFERROR(__xludf.DUMMYFUNCTION("""COMPUTED_VALUE"""),"Prefinance")</f>
        <v>Prefinance</v>
      </c>
      <c r="S930" s="99">
        <f>IFERROR(__xludf.DUMMYFUNCTION("""COMPUTED_VALUE"""),0.0)</f>
        <v>0</v>
      </c>
      <c r="T930" s="99">
        <f>IFERROR(__xludf.DUMMYFUNCTION("""COMPUTED_VALUE"""),0.0)</f>
        <v>0</v>
      </c>
      <c r="U930" s="99">
        <f>IFERROR(__xludf.DUMMYFUNCTION("""COMPUTED_VALUE"""),0.0)</f>
        <v>0</v>
      </c>
      <c r="V930" s="99">
        <f>IFERROR(__xludf.DUMMYFUNCTION("""COMPUTED_VALUE"""),0.0)</f>
        <v>0</v>
      </c>
      <c r="W930" s="99">
        <f>IFERROR(__xludf.DUMMYFUNCTION("""COMPUTED_VALUE"""),0.0)</f>
        <v>0</v>
      </c>
    </row>
    <row r="931">
      <c r="N931" s="98">
        <f>IFERROR(__xludf.DUMMYFUNCTION("""COMPUTED_VALUE"""),44112.0)</f>
        <v>44112</v>
      </c>
      <c r="O931" s="96" t="str">
        <f>IFERROR(__xludf.DUMMYFUNCTION("""COMPUTED_VALUE"""),"CHINWE CHIDI")</f>
        <v>CHINWE CHIDI</v>
      </c>
      <c r="P931" s="96" t="str">
        <f>IFERROR(__xludf.DUMMYFUNCTION("""COMPUTED_VALUE"""),"ADVANCE")</f>
        <v>ADVANCE</v>
      </c>
      <c r="Q931" s="99">
        <f>IFERROR(__xludf.DUMMYFUNCTION("""COMPUTED_VALUE"""),1439300.0)</f>
        <v>1439300</v>
      </c>
      <c r="R931" s="96" t="str">
        <f>IFERROR(__xludf.DUMMYFUNCTION("""COMPUTED_VALUE"""),"Prefinance")</f>
        <v>Prefinance</v>
      </c>
      <c r="S931" s="99">
        <f>IFERROR(__xludf.DUMMYFUNCTION("""COMPUTED_VALUE"""),0.0)</f>
        <v>0</v>
      </c>
      <c r="T931" s="99">
        <f>IFERROR(__xludf.DUMMYFUNCTION("""COMPUTED_VALUE"""),0.0)</f>
        <v>0</v>
      </c>
      <c r="U931" s="99">
        <f>IFERROR(__xludf.DUMMYFUNCTION("""COMPUTED_VALUE"""),0.0)</f>
        <v>0</v>
      </c>
      <c r="V931" s="99">
        <f>IFERROR(__xludf.DUMMYFUNCTION("""COMPUTED_VALUE"""),0.0)</f>
        <v>0</v>
      </c>
      <c r="W931" s="99">
        <f>IFERROR(__xludf.DUMMYFUNCTION("""COMPUTED_VALUE"""),0.0)</f>
        <v>0</v>
      </c>
    </row>
    <row r="932">
      <c r="N932" s="98">
        <f>IFERROR(__xludf.DUMMYFUNCTION("""COMPUTED_VALUE"""),44112.0)</f>
        <v>44112</v>
      </c>
      <c r="O932" s="96" t="str">
        <f>IFERROR(__xludf.DUMMYFUNCTION("""COMPUTED_VALUE"""),"R.  MAXWELL AGRO")</f>
        <v>R.  MAXWELL AGRO</v>
      </c>
      <c r="P932" s="96" t="str">
        <f>IFERROR(__xludf.DUMMYFUNCTION("""COMPUTED_VALUE"""),"CLOVIS UP-KEEP")</f>
        <v>CLOVIS UP-KEEP</v>
      </c>
      <c r="Q932" s="99">
        <f>IFERROR(__xludf.DUMMYFUNCTION("""COMPUTED_VALUE"""),5000.0)</f>
        <v>5000</v>
      </c>
      <c r="R932" s="96" t="str">
        <f>IFERROR(__xludf.DUMMYFUNCTION("""COMPUTED_VALUE"""),"Prefinance")</f>
        <v>Prefinance</v>
      </c>
      <c r="S932" s="99">
        <f>IFERROR(__xludf.DUMMYFUNCTION("""COMPUTED_VALUE"""),0.0)</f>
        <v>0</v>
      </c>
      <c r="T932" s="99">
        <f>IFERROR(__xludf.DUMMYFUNCTION("""COMPUTED_VALUE"""),0.0)</f>
        <v>0</v>
      </c>
      <c r="U932" s="99">
        <f>IFERROR(__xludf.DUMMYFUNCTION("""COMPUTED_VALUE"""),0.0)</f>
        <v>0</v>
      </c>
      <c r="V932" s="99">
        <f>IFERROR(__xludf.DUMMYFUNCTION("""COMPUTED_VALUE"""),0.0)</f>
        <v>0</v>
      </c>
      <c r="W932" s="99">
        <f>IFERROR(__xludf.DUMMYFUNCTION("""COMPUTED_VALUE"""),0.0)</f>
        <v>0</v>
      </c>
    </row>
    <row r="933">
      <c r="N933" s="98">
        <f>IFERROR(__xludf.DUMMYFUNCTION("""COMPUTED_VALUE"""),44112.0)</f>
        <v>44112</v>
      </c>
      <c r="O933" s="96" t="str">
        <f>IFERROR(__xludf.DUMMYFUNCTION("""COMPUTED_VALUE"""),"MANAGER")</f>
        <v>MANAGER</v>
      </c>
      <c r="P933" s="96" t="str">
        <f>IFERROR(__xludf.DUMMYFUNCTION("""COMPUTED_VALUE"""),"PAPERS")</f>
        <v>PAPERS</v>
      </c>
      <c r="Q933" s="99">
        <f>IFERROR(__xludf.DUMMYFUNCTION("""COMPUTED_VALUE"""),200000.0)</f>
        <v>200000</v>
      </c>
      <c r="R933" s="96" t="str">
        <f>IFERROR(__xludf.DUMMYFUNCTION("""COMPUTED_VALUE"""),"General Expenses")</f>
        <v>General Expenses</v>
      </c>
      <c r="S933" s="99">
        <f>IFERROR(__xludf.DUMMYFUNCTION("""COMPUTED_VALUE"""),0.0)</f>
        <v>0</v>
      </c>
      <c r="T933" s="99">
        <f>IFERROR(__xludf.DUMMYFUNCTION("""COMPUTED_VALUE"""),200000.0)</f>
        <v>200000</v>
      </c>
      <c r="U933" s="99">
        <f>IFERROR(__xludf.DUMMYFUNCTION("""COMPUTED_VALUE"""),0.0)</f>
        <v>0</v>
      </c>
      <c r="V933" s="99">
        <f>IFERROR(__xludf.DUMMYFUNCTION("""COMPUTED_VALUE"""),0.0)</f>
        <v>0</v>
      </c>
      <c r="W933" s="99">
        <f>IFERROR(__xludf.DUMMYFUNCTION("""COMPUTED_VALUE"""),0.0)</f>
        <v>0</v>
      </c>
    </row>
    <row r="934">
      <c r="N934" s="98">
        <f>IFERROR(__xludf.DUMMYFUNCTION("""COMPUTED_VALUE"""),44112.0)</f>
        <v>44112</v>
      </c>
      <c r="O934" s="96" t="str">
        <f>IFERROR(__xludf.DUMMYFUNCTION("""COMPUTED_VALUE"""),"ABANG. MI.D")</f>
        <v>ABANG. MI.D</v>
      </c>
      <c r="P934" s="96" t="str">
        <f>IFERROR(__xludf.DUMMYFUNCTION("""COMPUTED_VALUE"""),"TRANSPORT")</f>
        <v>TRANSPORT</v>
      </c>
      <c r="Q934" s="99">
        <f>IFERROR(__xludf.DUMMYFUNCTION("""COMPUTED_VALUE"""),14000.0)</f>
        <v>14000</v>
      </c>
      <c r="R934" s="96" t="str">
        <f>IFERROR(__xludf.DUMMYFUNCTION("""COMPUTED_VALUE"""),"General Expenses")</f>
        <v>General Expenses</v>
      </c>
      <c r="S934" s="99">
        <f>IFERROR(__xludf.DUMMYFUNCTION("""COMPUTED_VALUE"""),0.0)</f>
        <v>0</v>
      </c>
      <c r="T934" s="99">
        <f>IFERROR(__xludf.DUMMYFUNCTION("""COMPUTED_VALUE"""),14000.0)</f>
        <v>14000</v>
      </c>
      <c r="U934" s="99">
        <f>IFERROR(__xludf.DUMMYFUNCTION("""COMPUTED_VALUE"""),0.0)</f>
        <v>0</v>
      </c>
      <c r="V934" s="99">
        <f>IFERROR(__xludf.DUMMYFUNCTION("""COMPUTED_VALUE"""),0.0)</f>
        <v>0</v>
      </c>
      <c r="W934" s="99">
        <f>IFERROR(__xludf.DUMMYFUNCTION("""COMPUTED_VALUE"""),0.0)</f>
        <v>0</v>
      </c>
    </row>
    <row r="935">
      <c r="N935" s="98">
        <f>IFERROR(__xludf.DUMMYFUNCTION("""COMPUTED_VALUE"""),44112.0)</f>
        <v>44112</v>
      </c>
      <c r="O935" s="96" t="str">
        <f>IFERROR(__xludf.DUMMYFUNCTION("""COMPUTED_VALUE"""),"OJ")</f>
        <v>OJ</v>
      </c>
      <c r="P935" s="96" t="str">
        <f>IFERROR(__xludf.DUMMYFUNCTION("""COMPUTED_VALUE"""),"CAN HAULAGE/WAREHOUSE")</f>
        <v>CAN HAULAGE/WAREHOUSE</v>
      </c>
      <c r="Q935" s="99">
        <f>IFERROR(__xludf.DUMMYFUNCTION("""COMPUTED_VALUE"""),41600.0)</f>
        <v>41600</v>
      </c>
      <c r="R935" s="96" t="str">
        <f>IFERROR(__xludf.DUMMYFUNCTION("""COMPUTED_VALUE"""),"General Expenses")</f>
        <v>General Expenses</v>
      </c>
      <c r="S935" s="99">
        <f>IFERROR(__xludf.DUMMYFUNCTION("""COMPUTED_VALUE"""),0.0)</f>
        <v>0</v>
      </c>
      <c r="T935" s="99">
        <f>IFERROR(__xludf.DUMMYFUNCTION("""COMPUTED_VALUE"""),41600.0)</f>
        <v>41600</v>
      </c>
      <c r="U935" s="99">
        <f>IFERROR(__xludf.DUMMYFUNCTION("""COMPUTED_VALUE"""),0.0)</f>
        <v>0</v>
      </c>
      <c r="V935" s="99">
        <f>IFERROR(__xludf.DUMMYFUNCTION("""COMPUTED_VALUE"""),0.0)</f>
        <v>0</v>
      </c>
      <c r="W935" s="99">
        <f>IFERROR(__xludf.DUMMYFUNCTION("""COMPUTED_VALUE"""),0.0)</f>
        <v>0</v>
      </c>
    </row>
    <row r="936">
      <c r="N936" s="98">
        <f>IFERROR(__xludf.DUMMYFUNCTION("""COMPUTED_VALUE"""),44112.0)</f>
        <v>44112</v>
      </c>
      <c r="O936" s="96" t="str">
        <f>IFERROR(__xludf.DUMMYFUNCTION("""COMPUTED_VALUE"""),"OBI-DRIVER")</f>
        <v>OBI-DRIVER</v>
      </c>
      <c r="P936" s="96" t="str">
        <f>IFERROR(__xludf.DUMMYFUNCTION("""COMPUTED_VALUE"""),"FUEL/REPAIRE")</f>
        <v>FUEL/REPAIRE</v>
      </c>
      <c r="Q936" s="99">
        <f>IFERROR(__xludf.DUMMYFUNCTION("""COMPUTED_VALUE"""),7000.0)</f>
        <v>7000</v>
      </c>
      <c r="R936" s="96" t="str">
        <f>IFERROR(__xludf.DUMMYFUNCTION("""COMPUTED_VALUE"""),"General Expenses")</f>
        <v>General Expenses</v>
      </c>
      <c r="S936" s="99">
        <f>IFERROR(__xludf.DUMMYFUNCTION("""COMPUTED_VALUE"""),0.0)</f>
        <v>0</v>
      </c>
      <c r="T936" s="99">
        <f>IFERROR(__xludf.DUMMYFUNCTION("""COMPUTED_VALUE"""),7000.0)</f>
        <v>7000</v>
      </c>
      <c r="U936" s="99">
        <f>IFERROR(__xludf.DUMMYFUNCTION("""COMPUTED_VALUE"""),0.0)</f>
        <v>0</v>
      </c>
      <c r="V936" s="99">
        <f>IFERROR(__xludf.DUMMYFUNCTION("""COMPUTED_VALUE"""),0.0)</f>
        <v>0</v>
      </c>
      <c r="W936" s="99">
        <f>IFERROR(__xludf.DUMMYFUNCTION("""COMPUTED_VALUE"""),0.0)</f>
        <v>0</v>
      </c>
    </row>
    <row r="937">
      <c r="N937" s="98">
        <f>IFERROR(__xludf.DUMMYFUNCTION("""COMPUTED_VALUE"""),44112.0)</f>
        <v>44112</v>
      </c>
      <c r="O937" s="96" t="str">
        <f>IFERROR(__xludf.DUMMYFUNCTION("""COMPUTED_VALUE"""),"DIRECTOR")</f>
        <v>DIRECTOR</v>
      </c>
      <c r="P937" s="96" t="str">
        <f>IFERROR(__xludf.DUMMYFUNCTION("""COMPUTED_VALUE"""),"ABANG. KARIEN")</f>
        <v>ABANG. KARIEN</v>
      </c>
      <c r="Q937" s="99">
        <f>IFERROR(__xludf.DUMMYFUNCTION("""COMPUTED_VALUE"""),20000.0)</f>
        <v>20000</v>
      </c>
      <c r="R937" s="96" t="str">
        <f>IFERROR(__xludf.DUMMYFUNCTION("""COMPUTED_VALUE"""),"General Expenses")</f>
        <v>General Expenses</v>
      </c>
      <c r="S937" s="99">
        <f>IFERROR(__xludf.DUMMYFUNCTION("""COMPUTED_VALUE"""),0.0)</f>
        <v>0</v>
      </c>
      <c r="T937" s="99">
        <f>IFERROR(__xludf.DUMMYFUNCTION("""COMPUTED_VALUE"""),20000.0)</f>
        <v>20000</v>
      </c>
      <c r="U937" s="99">
        <f>IFERROR(__xludf.DUMMYFUNCTION("""COMPUTED_VALUE"""),0.0)</f>
        <v>0</v>
      </c>
      <c r="V937" s="99">
        <f>IFERROR(__xludf.DUMMYFUNCTION("""COMPUTED_VALUE"""),0.0)</f>
        <v>0</v>
      </c>
      <c r="W937" s="99">
        <f>IFERROR(__xludf.DUMMYFUNCTION("""COMPUTED_VALUE"""),0.0)</f>
        <v>0</v>
      </c>
    </row>
    <row r="938">
      <c r="N938" s="98">
        <f>IFERROR(__xludf.DUMMYFUNCTION("""COMPUTED_VALUE"""),44112.0)</f>
        <v>44112</v>
      </c>
      <c r="O938" s="96" t="str">
        <f>IFERROR(__xludf.DUMMYFUNCTION("""COMPUTED_VALUE"""),"LABOUR  BOY")</f>
        <v>LABOUR  BOY</v>
      </c>
      <c r="P938" s="96" t="str">
        <f>IFERROR(__xludf.DUMMYFUNCTION("""COMPUTED_VALUE"""),"WAGES ADVANCE")</f>
        <v>WAGES ADVANCE</v>
      </c>
      <c r="Q938" s="99">
        <f>IFERROR(__xludf.DUMMYFUNCTION("""COMPUTED_VALUE"""),8000.0)</f>
        <v>8000</v>
      </c>
      <c r="R938" s="96" t="str">
        <f>IFERROR(__xludf.DUMMYFUNCTION("""COMPUTED_VALUE"""),"General Expenses")</f>
        <v>General Expenses</v>
      </c>
      <c r="S938" s="99">
        <f>IFERROR(__xludf.DUMMYFUNCTION("""COMPUTED_VALUE"""),0.0)</f>
        <v>0</v>
      </c>
      <c r="T938" s="99">
        <f>IFERROR(__xludf.DUMMYFUNCTION("""COMPUTED_VALUE"""),8000.0)</f>
        <v>8000</v>
      </c>
      <c r="U938" s="99">
        <f>IFERROR(__xludf.DUMMYFUNCTION("""COMPUTED_VALUE"""),0.0)</f>
        <v>0</v>
      </c>
      <c r="V938" s="99">
        <f>IFERROR(__xludf.DUMMYFUNCTION("""COMPUTED_VALUE"""),0.0)</f>
        <v>0</v>
      </c>
      <c r="W938" s="99">
        <f>IFERROR(__xludf.DUMMYFUNCTION("""COMPUTED_VALUE"""),0.0)</f>
        <v>0</v>
      </c>
    </row>
    <row r="939">
      <c r="N939" s="98">
        <f>IFERROR(__xludf.DUMMYFUNCTION("""COMPUTED_VALUE"""),44112.0)</f>
        <v>44112</v>
      </c>
      <c r="O939" s="96" t="str">
        <f>IFERROR(__xludf.DUMMYFUNCTION("""COMPUTED_VALUE"""),"BLESSING AYUK")</f>
        <v>BLESSING AYUK</v>
      </c>
      <c r="P939" s="96" t="str">
        <f>IFERROR(__xludf.DUMMYFUNCTION("""COMPUTED_VALUE"""),"CASH COLLECTED")</f>
        <v>CASH COLLECTED</v>
      </c>
      <c r="Q939" s="99">
        <f>IFERROR(__xludf.DUMMYFUNCTION("""COMPUTED_VALUE"""),420700.0)</f>
        <v>420700</v>
      </c>
      <c r="R939" s="96" t="str">
        <f>IFERROR(__xludf.DUMMYFUNCTION("""COMPUTED_VALUE"""),"Petty Cash")</f>
        <v>Petty Cash</v>
      </c>
      <c r="S939" s="99">
        <f>IFERROR(__xludf.DUMMYFUNCTION("""COMPUTED_VALUE"""),0.0)</f>
        <v>0</v>
      </c>
      <c r="T939" s="99">
        <f>IFERROR(__xludf.DUMMYFUNCTION("""COMPUTED_VALUE"""),0.0)</f>
        <v>0</v>
      </c>
      <c r="U939" s="99">
        <f>IFERROR(__xludf.DUMMYFUNCTION("""COMPUTED_VALUE"""),0.0)</f>
        <v>0</v>
      </c>
      <c r="V939" s="99">
        <f>IFERROR(__xludf.DUMMYFUNCTION("""COMPUTED_VALUE"""),420700.0)</f>
        <v>420700</v>
      </c>
      <c r="W939" s="99">
        <f>IFERROR(__xludf.DUMMYFUNCTION("""COMPUTED_VALUE"""),0.0)</f>
        <v>0</v>
      </c>
    </row>
    <row r="940">
      <c r="N940" s="98">
        <f>IFERROR(__xludf.DUMMYFUNCTION("""COMPUTED_VALUE"""),44112.0)</f>
        <v>44112</v>
      </c>
      <c r="O940" s="96" t="str">
        <f>IFERROR(__xludf.DUMMYFUNCTION("""COMPUTED_VALUE"""),"DIRECTOR")</f>
        <v>DIRECTOR</v>
      </c>
      <c r="P940" s="96" t="str">
        <f>IFERROR(__xludf.DUMMYFUNCTION("""COMPUTED_VALUE"""),"CASH-IN")</f>
        <v>CASH-IN</v>
      </c>
      <c r="Q940" s="99">
        <f>IFERROR(__xludf.DUMMYFUNCTION("""COMPUTED_VALUE"""),4150000.0)</f>
        <v>4150000</v>
      </c>
      <c r="R940" s="96" t="str">
        <f>IFERROR(__xludf.DUMMYFUNCTION("""COMPUTED_VALUE"""),"From Bank")</f>
        <v>From Bank</v>
      </c>
      <c r="S940" s="99">
        <f>IFERROR(__xludf.DUMMYFUNCTION("""COMPUTED_VALUE"""),0.0)</f>
        <v>0</v>
      </c>
      <c r="T940" s="99">
        <f>IFERROR(__xludf.DUMMYFUNCTION("""COMPUTED_VALUE"""),0.0)</f>
        <v>0</v>
      </c>
      <c r="U940" s="99">
        <f>IFERROR(__xludf.DUMMYFUNCTION("""COMPUTED_VALUE"""),4150000.0)</f>
        <v>4150000</v>
      </c>
      <c r="V940" s="99">
        <f>IFERROR(__xludf.DUMMYFUNCTION("""COMPUTED_VALUE"""),0.0)</f>
        <v>0</v>
      </c>
      <c r="W940" s="99">
        <f>IFERROR(__xludf.DUMMYFUNCTION("""COMPUTED_VALUE"""),0.0)</f>
        <v>0</v>
      </c>
    </row>
    <row r="941">
      <c r="N941" s="98">
        <f>IFERROR(__xludf.DUMMYFUNCTION("""COMPUTED_VALUE"""),44100.0)</f>
        <v>44100</v>
      </c>
      <c r="O941" s="96" t="str">
        <f>IFERROR(__xludf.DUMMYFUNCTION("""COMPUTED_VALUE"""),"BLESSING CHAPMAN")</f>
        <v>BLESSING CHAPMAN</v>
      </c>
      <c r="P941" s="96" t="str">
        <f>IFERROR(__xludf.DUMMYFUNCTION("""COMPUTED_VALUE"""),"CORRECTION")</f>
        <v>CORRECTION</v>
      </c>
      <c r="Q941" s="99">
        <f>IFERROR(__xludf.DUMMYFUNCTION("""COMPUTED_VALUE"""),-2081400.0)</f>
        <v>-2081400</v>
      </c>
      <c r="R941" s="96" t="str">
        <f>IFERROR(__xludf.DUMMYFUNCTION("""COMPUTED_VALUE"""),"From Bank")</f>
        <v>From Bank</v>
      </c>
      <c r="S941" s="99">
        <f>IFERROR(__xludf.DUMMYFUNCTION("""COMPUTED_VALUE"""),0.0)</f>
        <v>0</v>
      </c>
      <c r="T941" s="99">
        <f>IFERROR(__xludf.DUMMYFUNCTION("""COMPUTED_VALUE"""),0.0)</f>
        <v>0</v>
      </c>
      <c r="U941" s="99">
        <f>IFERROR(__xludf.DUMMYFUNCTION("""COMPUTED_VALUE"""),-2081400.0)</f>
        <v>-2081400</v>
      </c>
      <c r="V941" s="99">
        <f>IFERROR(__xludf.DUMMYFUNCTION("""COMPUTED_VALUE"""),0.0)</f>
        <v>0</v>
      </c>
      <c r="W941" s="99">
        <f>IFERROR(__xludf.DUMMYFUNCTION("""COMPUTED_VALUE"""),0.0)</f>
        <v>0</v>
      </c>
    </row>
    <row r="942">
      <c r="N942" s="98">
        <f>IFERROR(__xludf.DUMMYFUNCTION("""COMPUTED_VALUE"""),44113.0)</f>
        <v>44113</v>
      </c>
      <c r="O942" s="96" t="str">
        <f>IFERROR(__xludf.DUMMYFUNCTION("""COMPUTED_VALUE"""),"PRINNESS")</f>
        <v>PRINNESS</v>
      </c>
      <c r="P942" s="96" t="str">
        <f>IFERROR(__xludf.DUMMYFUNCTION("""COMPUTED_VALUE"""),"ADVANCE")</f>
        <v>ADVANCE</v>
      </c>
      <c r="Q942" s="99">
        <f>IFERROR(__xludf.DUMMYFUNCTION("""COMPUTED_VALUE"""),400000.0)</f>
        <v>400000</v>
      </c>
      <c r="R942" s="96" t="str">
        <f>IFERROR(__xludf.DUMMYFUNCTION("""COMPUTED_VALUE"""),"Prefinance")</f>
        <v>Prefinance</v>
      </c>
      <c r="S942" s="99">
        <f>IFERROR(__xludf.DUMMYFUNCTION("""COMPUTED_VALUE"""),0.0)</f>
        <v>0</v>
      </c>
      <c r="T942" s="99">
        <f>IFERROR(__xludf.DUMMYFUNCTION("""COMPUTED_VALUE"""),0.0)</f>
        <v>0</v>
      </c>
      <c r="U942" s="99">
        <f>IFERROR(__xludf.DUMMYFUNCTION("""COMPUTED_VALUE"""),0.0)</f>
        <v>0</v>
      </c>
      <c r="V942" s="99">
        <f>IFERROR(__xludf.DUMMYFUNCTION("""COMPUTED_VALUE"""),0.0)</f>
        <v>0</v>
      </c>
      <c r="W942" s="99">
        <f>IFERROR(__xludf.DUMMYFUNCTION("""COMPUTED_VALUE"""),0.0)</f>
        <v>0</v>
      </c>
    </row>
    <row r="943">
      <c r="N943" s="98">
        <f>IFERROR(__xludf.DUMMYFUNCTION("""COMPUTED_VALUE"""),44113.0)</f>
        <v>44113</v>
      </c>
      <c r="O943" s="96" t="str">
        <f>IFERROR(__xludf.DUMMYFUNCTION("""COMPUTED_VALUE"""),"LIVINUS")</f>
        <v>LIVINUS</v>
      </c>
      <c r="P943" s="96" t="str">
        <f>IFERROR(__xludf.DUMMYFUNCTION("""COMPUTED_VALUE"""),"ADVANCE")</f>
        <v>ADVANCE</v>
      </c>
      <c r="Q943" s="99">
        <f>IFERROR(__xludf.DUMMYFUNCTION("""COMPUTED_VALUE"""),300000.0)</f>
        <v>300000</v>
      </c>
      <c r="R943" s="96" t="str">
        <f>IFERROR(__xludf.DUMMYFUNCTION("""COMPUTED_VALUE"""),"Prefinance")</f>
        <v>Prefinance</v>
      </c>
      <c r="S943" s="99">
        <f>IFERROR(__xludf.DUMMYFUNCTION("""COMPUTED_VALUE"""),0.0)</f>
        <v>0</v>
      </c>
      <c r="T943" s="99">
        <f>IFERROR(__xludf.DUMMYFUNCTION("""COMPUTED_VALUE"""),0.0)</f>
        <v>0</v>
      </c>
      <c r="U943" s="99">
        <f>IFERROR(__xludf.DUMMYFUNCTION("""COMPUTED_VALUE"""),0.0)</f>
        <v>0</v>
      </c>
      <c r="V943" s="99">
        <f>IFERROR(__xludf.DUMMYFUNCTION("""COMPUTED_VALUE"""),0.0)</f>
        <v>0</v>
      </c>
      <c r="W943" s="99">
        <f>IFERROR(__xludf.DUMMYFUNCTION("""COMPUTED_VALUE"""),0.0)</f>
        <v>0</v>
      </c>
    </row>
    <row r="944">
      <c r="N944" s="98">
        <f>IFERROR(__xludf.DUMMYFUNCTION("""COMPUTED_VALUE"""),44113.0)</f>
        <v>44113</v>
      </c>
      <c r="O944" s="96" t="str">
        <f>IFERROR(__xludf.DUMMYFUNCTION("""COMPUTED_VALUE"""),"NDOMA PRIN")</f>
        <v>NDOMA PRIN</v>
      </c>
      <c r="P944" s="96" t="str">
        <f>IFERROR(__xludf.DUMMYFUNCTION("""COMPUTED_VALUE"""),"ADVANCE")</f>
        <v>ADVANCE</v>
      </c>
      <c r="Q944" s="99">
        <f>IFERROR(__xludf.DUMMYFUNCTION("""COMPUTED_VALUE"""),300000.0)</f>
        <v>300000</v>
      </c>
      <c r="R944" s="96" t="str">
        <f>IFERROR(__xludf.DUMMYFUNCTION("""COMPUTED_VALUE"""),"Prefinance")</f>
        <v>Prefinance</v>
      </c>
      <c r="S944" s="99">
        <f>IFERROR(__xludf.DUMMYFUNCTION("""COMPUTED_VALUE"""),0.0)</f>
        <v>0</v>
      </c>
      <c r="T944" s="99">
        <f>IFERROR(__xludf.DUMMYFUNCTION("""COMPUTED_VALUE"""),0.0)</f>
        <v>0</v>
      </c>
      <c r="U944" s="99">
        <f>IFERROR(__xludf.DUMMYFUNCTION("""COMPUTED_VALUE"""),0.0)</f>
        <v>0</v>
      </c>
      <c r="V944" s="99">
        <f>IFERROR(__xludf.DUMMYFUNCTION("""COMPUTED_VALUE"""),0.0)</f>
        <v>0</v>
      </c>
      <c r="W944" s="99">
        <f>IFERROR(__xludf.DUMMYFUNCTION("""COMPUTED_VALUE"""),0.0)</f>
        <v>0</v>
      </c>
    </row>
    <row r="945">
      <c r="N945" s="98">
        <f>IFERROR(__xludf.DUMMYFUNCTION("""COMPUTED_VALUE"""),44113.0)</f>
        <v>44113</v>
      </c>
      <c r="O945" s="96" t="str">
        <f>IFERROR(__xludf.DUMMYFUNCTION("""COMPUTED_VALUE"""),"BOSURU  BOSURU")</f>
        <v>BOSURU  BOSURU</v>
      </c>
      <c r="P945" s="96" t="str">
        <f>IFERROR(__xludf.DUMMYFUNCTION("""COMPUTED_VALUE"""),"ADVANCE")</f>
        <v>ADVANCE</v>
      </c>
      <c r="Q945" s="99">
        <f>IFERROR(__xludf.DUMMYFUNCTION("""COMPUTED_VALUE"""),250000.0)</f>
        <v>250000</v>
      </c>
      <c r="R945" s="96" t="str">
        <f>IFERROR(__xludf.DUMMYFUNCTION("""COMPUTED_VALUE"""),"Prefinance")</f>
        <v>Prefinance</v>
      </c>
      <c r="S945" s="99">
        <f>IFERROR(__xludf.DUMMYFUNCTION("""COMPUTED_VALUE"""),0.0)</f>
        <v>0</v>
      </c>
      <c r="T945" s="99">
        <f>IFERROR(__xludf.DUMMYFUNCTION("""COMPUTED_VALUE"""),0.0)</f>
        <v>0</v>
      </c>
      <c r="U945" s="99">
        <f>IFERROR(__xludf.DUMMYFUNCTION("""COMPUTED_VALUE"""),0.0)</f>
        <v>0</v>
      </c>
      <c r="V945" s="99">
        <f>IFERROR(__xludf.DUMMYFUNCTION("""COMPUTED_VALUE"""),0.0)</f>
        <v>0</v>
      </c>
      <c r="W945" s="99">
        <f>IFERROR(__xludf.DUMMYFUNCTION("""COMPUTED_VALUE"""),0.0)</f>
        <v>0</v>
      </c>
    </row>
    <row r="946">
      <c r="N946" s="98">
        <f>IFERROR(__xludf.DUMMYFUNCTION("""COMPUTED_VALUE"""),44113.0)</f>
        <v>44113</v>
      </c>
      <c r="O946" s="96" t="str">
        <f>IFERROR(__xludf.DUMMYFUNCTION("""COMPUTED_VALUE"""),"MATIAT Y")</f>
        <v>MATIAT Y</v>
      </c>
      <c r="P946" s="96" t="str">
        <f>IFERROR(__xludf.DUMMYFUNCTION("""COMPUTED_VALUE"""),"ADVANCE")</f>
        <v>ADVANCE</v>
      </c>
      <c r="Q946" s="99">
        <f>IFERROR(__xludf.DUMMYFUNCTION("""COMPUTED_VALUE"""),1200000.0)</f>
        <v>1200000</v>
      </c>
      <c r="R946" s="96" t="str">
        <f>IFERROR(__xludf.DUMMYFUNCTION("""COMPUTED_VALUE"""),"Prefinance")</f>
        <v>Prefinance</v>
      </c>
      <c r="S946" s="99">
        <f>IFERROR(__xludf.DUMMYFUNCTION("""COMPUTED_VALUE"""),0.0)</f>
        <v>0</v>
      </c>
      <c r="T946" s="99">
        <f>IFERROR(__xludf.DUMMYFUNCTION("""COMPUTED_VALUE"""),0.0)</f>
        <v>0</v>
      </c>
      <c r="U946" s="99">
        <f>IFERROR(__xludf.DUMMYFUNCTION("""COMPUTED_VALUE"""),0.0)</f>
        <v>0</v>
      </c>
      <c r="V946" s="99">
        <f>IFERROR(__xludf.DUMMYFUNCTION("""COMPUTED_VALUE"""),0.0)</f>
        <v>0</v>
      </c>
      <c r="W946" s="99">
        <f>IFERROR(__xludf.DUMMYFUNCTION("""COMPUTED_VALUE"""),0.0)</f>
        <v>0</v>
      </c>
    </row>
    <row r="947">
      <c r="N947" s="98">
        <f>IFERROR(__xludf.DUMMYFUNCTION("""COMPUTED_VALUE"""),44113.0)</f>
        <v>44113</v>
      </c>
      <c r="O947" s="96" t="str">
        <f>IFERROR(__xludf.DUMMYFUNCTION("""COMPUTED_VALUE"""),"ALFRED ALABI")</f>
        <v>ALFRED ALABI</v>
      </c>
      <c r="P947" s="96" t="str">
        <f>IFERROR(__xludf.DUMMYFUNCTION("""COMPUTED_VALUE"""),"TRANSPORT")</f>
        <v>TRANSPORT</v>
      </c>
      <c r="Q947" s="99">
        <f>IFERROR(__xludf.DUMMYFUNCTION("""COMPUTED_VALUE"""),6000.0)</f>
        <v>6000</v>
      </c>
      <c r="R947" s="96" t="str">
        <f>IFERROR(__xludf.DUMMYFUNCTION("""COMPUTED_VALUE"""),"Prefinance")</f>
        <v>Prefinance</v>
      </c>
      <c r="S947" s="99">
        <f>IFERROR(__xludf.DUMMYFUNCTION("""COMPUTED_VALUE"""),0.0)</f>
        <v>0</v>
      </c>
      <c r="T947" s="99">
        <f>IFERROR(__xludf.DUMMYFUNCTION("""COMPUTED_VALUE"""),0.0)</f>
        <v>0</v>
      </c>
      <c r="U947" s="99">
        <f>IFERROR(__xludf.DUMMYFUNCTION("""COMPUTED_VALUE"""),0.0)</f>
        <v>0</v>
      </c>
      <c r="V947" s="99">
        <f>IFERROR(__xludf.DUMMYFUNCTION("""COMPUTED_VALUE"""),0.0)</f>
        <v>0</v>
      </c>
      <c r="W947" s="99">
        <f>IFERROR(__xludf.DUMMYFUNCTION("""COMPUTED_VALUE"""),0.0)</f>
        <v>0</v>
      </c>
    </row>
    <row r="948">
      <c r="N948" s="98">
        <f>IFERROR(__xludf.DUMMYFUNCTION("""COMPUTED_VALUE"""),44113.0)</f>
        <v>44113</v>
      </c>
      <c r="O948" s="96" t="str">
        <f>IFERROR(__xludf.DUMMYFUNCTION("""COMPUTED_VALUE"""),"BOSURU  BOSURU")</f>
        <v>BOSURU  BOSURU</v>
      </c>
      <c r="P948" s="96" t="str">
        <f>IFERROR(__xludf.DUMMYFUNCTION("""COMPUTED_VALUE"""),"PAYMENT")</f>
        <v>PAYMENT</v>
      </c>
      <c r="Q948" s="99">
        <f>IFERROR(__xludf.DUMMYFUNCTION("""COMPUTED_VALUE"""),1661000.0)</f>
        <v>1661000</v>
      </c>
      <c r="R948" s="96" t="str">
        <f>IFERROR(__xludf.DUMMYFUNCTION("""COMPUTED_VALUE"""),"Prefinance")</f>
        <v>Prefinance</v>
      </c>
      <c r="S948" s="99">
        <f>IFERROR(__xludf.DUMMYFUNCTION("""COMPUTED_VALUE"""),0.0)</f>
        <v>0</v>
      </c>
      <c r="T948" s="99">
        <f>IFERROR(__xludf.DUMMYFUNCTION("""COMPUTED_VALUE"""),0.0)</f>
        <v>0</v>
      </c>
      <c r="U948" s="99">
        <f>IFERROR(__xludf.DUMMYFUNCTION("""COMPUTED_VALUE"""),0.0)</f>
        <v>0</v>
      </c>
      <c r="V948" s="99">
        <f>IFERROR(__xludf.DUMMYFUNCTION("""COMPUTED_VALUE"""),0.0)</f>
        <v>0</v>
      </c>
      <c r="W948" s="99">
        <f>IFERROR(__xludf.DUMMYFUNCTION("""COMPUTED_VALUE"""),0.0)</f>
        <v>0</v>
      </c>
    </row>
    <row r="949">
      <c r="N949" s="98">
        <f>IFERROR(__xludf.DUMMYFUNCTION("""COMPUTED_VALUE"""),44113.0)</f>
        <v>44113</v>
      </c>
      <c r="O949" s="96" t="str">
        <f>IFERROR(__xludf.DUMMYFUNCTION("""COMPUTED_VALUE"""),"SAMUEL KEIBO")</f>
        <v>SAMUEL KEIBO</v>
      </c>
      <c r="P949" s="96" t="str">
        <f>IFERROR(__xludf.DUMMYFUNCTION("""COMPUTED_VALUE"""),"ADVANCE")</f>
        <v>ADVANCE</v>
      </c>
      <c r="Q949" s="99">
        <f>IFERROR(__xludf.DUMMYFUNCTION("""COMPUTED_VALUE"""),570000.0)</f>
        <v>570000</v>
      </c>
      <c r="R949" s="96" t="str">
        <f>IFERROR(__xludf.DUMMYFUNCTION("""COMPUTED_VALUE"""),"Prefinance")</f>
        <v>Prefinance</v>
      </c>
      <c r="S949" s="99">
        <f>IFERROR(__xludf.DUMMYFUNCTION("""COMPUTED_VALUE"""),0.0)</f>
        <v>0</v>
      </c>
      <c r="T949" s="99">
        <f>IFERROR(__xludf.DUMMYFUNCTION("""COMPUTED_VALUE"""),0.0)</f>
        <v>0</v>
      </c>
      <c r="U949" s="99">
        <f>IFERROR(__xludf.DUMMYFUNCTION("""COMPUTED_VALUE"""),0.0)</f>
        <v>0</v>
      </c>
      <c r="V949" s="99">
        <f>IFERROR(__xludf.DUMMYFUNCTION("""COMPUTED_VALUE"""),0.0)</f>
        <v>0</v>
      </c>
      <c r="W949" s="99">
        <f>IFERROR(__xludf.DUMMYFUNCTION("""COMPUTED_VALUE"""),0.0)</f>
        <v>0</v>
      </c>
    </row>
    <row r="950">
      <c r="N950" s="98">
        <f>IFERROR(__xludf.DUMMYFUNCTION("""COMPUTED_VALUE"""),44113.0)</f>
        <v>44113</v>
      </c>
      <c r="O950" s="96" t="str">
        <f>IFERROR(__xludf.DUMMYFUNCTION("""COMPUTED_VALUE"""),"AGEGE BOY")</f>
        <v>AGEGE BOY</v>
      </c>
      <c r="P950" s="96" t="str">
        <f>IFERROR(__xludf.DUMMYFUNCTION("""COMPUTED_VALUE"""),"PAYMENT")</f>
        <v>PAYMENT</v>
      </c>
      <c r="Q950" s="99">
        <f>IFERROR(__xludf.DUMMYFUNCTION("""COMPUTED_VALUE"""),1780700.0)</f>
        <v>1780700</v>
      </c>
      <c r="R950" s="96" t="str">
        <f>IFERROR(__xludf.DUMMYFUNCTION("""COMPUTED_VALUE"""),"Prefinance")</f>
        <v>Prefinance</v>
      </c>
      <c r="S950" s="99">
        <f>IFERROR(__xludf.DUMMYFUNCTION("""COMPUTED_VALUE"""),0.0)</f>
        <v>0</v>
      </c>
      <c r="T950" s="99">
        <f>IFERROR(__xludf.DUMMYFUNCTION("""COMPUTED_VALUE"""),0.0)</f>
        <v>0</v>
      </c>
      <c r="U950" s="99">
        <f>IFERROR(__xludf.DUMMYFUNCTION("""COMPUTED_VALUE"""),0.0)</f>
        <v>0</v>
      </c>
      <c r="V950" s="99">
        <f>IFERROR(__xludf.DUMMYFUNCTION("""COMPUTED_VALUE"""),0.0)</f>
        <v>0</v>
      </c>
      <c r="W950" s="99">
        <f>IFERROR(__xludf.DUMMYFUNCTION("""COMPUTED_VALUE"""),0.0)</f>
        <v>0</v>
      </c>
    </row>
    <row r="951">
      <c r="N951" s="98">
        <f>IFERROR(__xludf.DUMMYFUNCTION("""COMPUTED_VALUE"""),44113.0)</f>
        <v>44113</v>
      </c>
      <c r="O951" s="96" t="str">
        <f>IFERROR(__xludf.DUMMYFUNCTION("""COMPUTED_VALUE"""),"SECURITY")</f>
        <v>SECURITY</v>
      </c>
      <c r="P951" s="96" t="str">
        <f>IFERROR(__xludf.DUMMYFUNCTION("""COMPUTED_VALUE"""),"SALARY")</f>
        <v>SALARY</v>
      </c>
      <c r="Q951" s="99">
        <f>IFERROR(__xludf.DUMMYFUNCTION("""COMPUTED_VALUE"""),10000.0)</f>
        <v>10000</v>
      </c>
      <c r="R951" s="96" t="str">
        <f>IFERROR(__xludf.DUMMYFUNCTION("""COMPUTED_VALUE"""),"General Expenses")</f>
        <v>General Expenses</v>
      </c>
      <c r="S951" s="99">
        <f>IFERROR(__xludf.DUMMYFUNCTION("""COMPUTED_VALUE"""),0.0)</f>
        <v>0</v>
      </c>
      <c r="T951" s="99">
        <f>IFERROR(__xludf.DUMMYFUNCTION("""COMPUTED_VALUE"""),10000.0)</f>
        <v>10000</v>
      </c>
      <c r="U951" s="99">
        <f>IFERROR(__xludf.DUMMYFUNCTION("""COMPUTED_VALUE"""),0.0)</f>
        <v>0</v>
      </c>
      <c r="V951" s="99">
        <f>IFERROR(__xludf.DUMMYFUNCTION("""COMPUTED_VALUE"""),0.0)</f>
        <v>0</v>
      </c>
      <c r="W951" s="99">
        <f>IFERROR(__xludf.DUMMYFUNCTION("""COMPUTED_VALUE"""),0.0)</f>
        <v>0</v>
      </c>
    </row>
    <row r="952">
      <c r="N952" s="98">
        <f>IFERROR(__xludf.DUMMYFUNCTION("""COMPUTED_VALUE"""),44113.0)</f>
        <v>44113</v>
      </c>
      <c r="O952" s="96" t="str">
        <f>IFERROR(__xludf.DUMMYFUNCTION("""COMPUTED_VALUE"""),"MANAGER")</f>
        <v>MANAGER</v>
      </c>
      <c r="P952" s="96" t="str">
        <f>IFERROR(__xludf.DUMMYFUNCTION("""COMPUTED_VALUE"""),"SALARY ADVANCE")</f>
        <v>SALARY ADVANCE</v>
      </c>
      <c r="Q952" s="99">
        <f>IFERROR(__xludf.DUMMYFUNCTION("""COMPUTED_VALUE"""),5000.0)</f>
        <v>5000</v>
      </c>
      <c r="R952" s="96" t="str">
        <f>IFERROR(__xludf.DUMMYFUNCTION("""COMPUTED_VALUE"""),"General Expenses")</f>
        <v>General Expenses</v>
      </c>
      <c r="S952" s="99">
        <f>IFERROR(__xludf.DUMMYFUNCTION("""COMPUTED_VALUE"""),0.0)</f>
        <v>0</v>
      </c>
      <c r="T952" s="99">
        <f>IFERROR(__xludf.DUMMYFUNCTION("""COMPUTED_VALUE"""),5000.0)</f>
        <v>5000</v>
      </c>
      <c r="U952" s="99">
        <f>IFERROR(__xludf.DUMMYFUNCTION("""COMPUTED_VALUE"""),0.0)</f>
        <v>0</v>
      </c>
      <c r="V952" s="99">
        <f>IFERROR(__xludf.DUMMYFUNCTION("""COMPUTED_VALUE"""),0.0)</f>
        <v>0</v>
      </c>
      <c r="W952" s="99">
        <f>IFERROR(__xludf.DUMMYFUNCTION("""COMPUTED_VALUE"""),0.0)</f>
        <v>0</v>
      </c>
    </row>
    <row r="953">
      <c r="N953" s="98">
        <f>IFERROR(__xludf.DUMMYFUNCTION("""COMPUTED_VALUE"""),44113.0)</f>
        <v>44113</v>
      </c>
      <c r="O953" s="96" t="str">
        <f>IFERROR(__xludf.DUMMYFUNCTION("""COMPUTED_VALUE"""),"MATIAT ANNA")</f>
        <v>MATIAT ANNA</v>
      </c>
      <c r="P953" s="96" t="str">
        <f>IFERROR(__xludf.DUMMYFUNCTION("""COMPUTED_VALUE"""),"DIRECTOR ORDER")</f>
        <v>DIRECTOR ORDER</v>
      </c>
      <c r="Q953" s="99">
        <f>IFERROR(__xludf.DUMMYFUNCTION("""COMPUTED_VALUE"""),5000.0)</f>
        <v>5000</v>
      </c>
      <c r="R953" s="96" t="str">
        <f>IFERROR(__xludf.DUMMYFUNCTION("""COMPUTED_VALUE"""),"General Expenses")</f>
        <v>General Expenses</v>
      </c>
      <c r="S953" s="99">
        <f>IFERROR(__xludf.DUMMYFUNCTION("""COMPUTED_VALUE"""),0.0)</f>
        <v>0</v>
      </c>
      <c r="T953" s="99">
        <f>IFERROR(__xludf.DUMMYFUNCTION("""COMPUTED_VALUE"""),5000.0)</f>
        <v>5000</v>
      </c>
      <c r="U953" s="99">
        <f>IFERROR(__xludf.DUMMYFUNCTION("""COMPUTED_VALUE"""),0.0)</f>
        <v>0</v>
      </c>
      <c r="V953" s="99">
        <f>IFERROR(__xludf.DUMMYFUNCTION("""COMPUTED_VALUE"""),0.0)</f>
        <v>0</v>
      </c>
      <c r="W953" s="99">
        <f>IFERROR(__xludf.DUMMYFUNCTION("""COMPUTED_VALUE"""),0.0)</f>
        <v>0</v>
      </c>
    </row>
    <row r="954">
      <c r="N954" s="98">
        <f>IFERROR(__xludf.DUMMYFUNCTION("""COMPUTED_VALUE"""),44113.0)</f>
        <v>44113</v>
      </c>
      <c r="O954" s="96" t="str">
        <f>IFERROR(__xludf.DUMMYFUNCTION("""COMPUTED_VALUE"""),"DIESEL BOY")</f>
        <v>DIESEL BOY</v>
      </c>
      <c r="P954" s="96" t="str">
        <f>IFERROR(__xludf.DUMMYFUNCTION("""COMPUTED_VALUE"""),"DIESEL")</f>
        <v>DIESEL</v>
      </c>
      <c r="Q954" s="99">
        <f>IFERROR(__xludf.DUMMYFUNCTION("""COMPUTED_VALUE"""),30000.0)</f>
        <v>30000</v>
      </c>
      <c r="R954" s="96" t="str">
        <f>IFERROR(__xludf.DUMMYFUNCTION("""COMPUTED_VALUE"""),"General Expenses")</f>
        <v>General Expenses</v>
      </c>
      <c r="S954" s="99">
        <f>IFERROR(__xludf.DUMMYFUNCTION("""COMPUTED_VALUE"""),0.0)</f>
        <v>0</v>
      </c>
      <c r="T954" s="99">
        <f>IFERROR(__xludf.DUMMYFUNCTION("""COMPUTED_VALUE"""),30000.0)</f>
        <v>30000</v>
      </c>
      <c r="U954" s="99">
        <f>IFERROR(__xludf.DUMMYFUNCTION("""COMPUTED_VALUE"""),0.0)</f>
        <v>0</v>
      </c>
      <c r="V954" s="99">
        <f>IFERROR(__xludf.DUMMYFUNCTION("""COMPUTED_VALUE"""),0.0)</f>
        <v>0</v>
      </c>
      <c r="W954" s="99">
        <f>IFERROR(__xludf.DUMMYFUNCTION("""COMPUTED_VALUE"""),0.0)</f>
        <v>0</v>
      </c>
    </row>
    <row r="955">
      <c r="N955" s="98">
        <f>IFERROR(__xludf.DUMMYFUNCTION("""COMPUTED_VALUE"""),44113.0)</f>
        <v>44113</v>
      </c>
      <c r="O955" s="96" t="str">
        <f>IFERROR(__xludf.DUMMYFUNCTION("""COMPUTED_VALUE"""),"MATIAT")</f>
        <v>MATIAT</v>
      </c>
      <c r="P955" s="96" t="str">
        <f>IFERROR(__xludf.DUMMYFUNCTION("""COMPUTED_VALUE"""),"TAPOLINE")</f>
        <v>TAPOLINE</v>
      </c>
      <c r="Q955" s="99">
        <f>IFERROR(__xludf.DUMMYFUNCTION("""COMPUTED_VALUE"""),240000.0)</f>
        <v>240000</v>
      </c>
      <c r="R955" s="96" t="str">
        <f>IFERROR(__xludf.DUMMYFUNCTION("""COMPUTED_VALUE"""),"General Expenses")</f>
        <v>General Expenses</v>
      </c>
      <c r="S955" s="99">
        <f>IFERROR(__xludf.DUMMYFUNCTION("""COMPUTED_VALUE"""),0.0)</f>
        <v>0</v>
      </c>
      <c r="T955" s="99">
        <f>IFERROR(__xludf.DUMMYFUNCTION("""COMPUTED_VALUE"""),240000.0)</f>
        <v>240000</v>
      </c>
      <c r="U955" s="99">
        <f>IFERROR(__xludf.DUMMYFUNCTION("""COMPUTED_VALUE"""),0.0)</f>
        <v>0</v>
      </c>
      <c r="V955" s="99">
        <f>IFERROR(__xludf.DUMMYFUNCTION("""COMPUTED_VALUE"""),0.0)</f>
        <v>0</v>
      </c>
      <c r="W955" s="99">
        <f>IFERROR(__xludf.DUMMYFUNCTION("""COMPUTED_VALUE"""),0.0)</f>
        <v>0</v>
      </c>
    </row>
    <row r="956">
      <c r="N956" s="98">
        <f>IFERROR(__xludf.DUMMYFUNCTION("""COMPUTED_VALUE"""),44113.0)</f>
        <v>44113</v>
      </c>
      <c r="O956" s="96" t="str">
        <f>IFERROR(__xludf.DUMMYFUNCTION("""COMPUTED_VALUE"""),"BLESSING")</f>
        <v>BLESSING</v>
      </c>
      <c r="P956" s="96" t="str">
        <f>IFERROR(__xludf.DUMMYFUNCTION("""COMPUTED_VALUE"""),"DATA")</f>
        <v>DATA</v>
      </c>
      <c r="Q956" s="99">
        <f>IFERROR(__xludf.DUMMYFUNCTION("""COMPUTED_VALUE"""),200.0)</f>
        <v>200</v>
      </c>
      <c r="R956" s="96" t="str">
        <f>IFERROR(__xludf.DUMMYFUNCTION("""COMPUTED_VALUE"""),"General Expenses")</f>
        <v>General Expenses</v>
      </c>
      <c r="S956" s="99">
        <f>IFERROR(__xludf.DUMMYFUNCTION("""COMPUTED_VALUE"""),0.0)</f>
        <v>0</v>
      </c>
      <c r="T956" s="99">
        <f>IFERROR(__xludf.DUMMYFUNCTION("""COMPUTED_VALUE"""),200.0)</f>
        <v>200</v>
      </c>
      <c r="U956" s="99">
        <f>IFERROR(__xludf.DUMMYFUNCTION("""COMPUTED_VALUE"""),0.0)</f>
        <v>0</v>
      </c>
      <c r="V956" s="99">
        <f>IFERROR(__xludf.DUMMYFUNCTION("""COMPUTED_VALUE"""),0.0)</f>
        <v>0</v>
      </c>
      <c r="W956" s="99">
        <f>IFERROR(__xludf.DUMMYFUNCTION("""COMPUTED_VALUE"""),0.0)</f>
        <v>0</v>
      </c>
    </row>
    <row r="957">
      <c r="N957" s="98">
        <f>IFERROR(__xludf.DUMMYFUNCTION("""COMPUTED_VALUE"""),44113.0)</f>
        <v>44113</v>
      </c>
      <c r="O957" s="96" t="str">
        <f>IFERROR(__xludf.DUMMYFUNCTION("""COMPUTED_VALUE"""),"LABOUR  BOY")</f>
        <v>LABOUR  BOY</v>
      </c>
      <c r="P957" s="96" t="str">
        <f>IFERROR(__xludf.DUMMYFUNCTION("""COMPUTED_VALUE"""),"WAGE ADVANCE")</f>
        <v>WAGE ADVANCE</v>
      </c>
      <c r="Q957" s="99">
        <f>IFERROR(__xludf.DUMMYFUNCTION("""COMPUTED_VALUE"""),8500.0)</f>
        <v>8500</v>
      </c>
      <c r="R957" s="96" t="str">
        <f>IFERROR(__xludf.DUMMYFUNCTION("""COMPUTED_VALUE"""),"General Expenses")</f>
        <v>General Expenses</v>
      </c>
      <c r="S957" s="99">
        <f>IFERROR(__xludf.DUMMYFUNCTION("""COMPUTED_VALUE"""),0.0)</f>
        <v>0</v>
      </c>
      <c r="T957" s="99">
        <f>IFERROR(__xludf.DUMMYFUNCTION("""COMPUTED_VALUE"""),8500.0)</f>
        <v>8500</v>
      </c>
      <c r="U957" s="99">
        <f>IFERROR(__xludf.DUMMYFUNCTION("""COMPUTED_VALUE"""),0.0)</f>
        <v>0</v>
      </c>
      <c r="V957" s="99">
        <f>IFERROR(__xludf.DUMMYFUNCTION("""COMPUTED_VALUE"""),0.0)</f>
        <v>0</v>
      </c>
      <c r="W957" s="99">
        <f>IFERROR(__xludf.DUMMYFUNCTION("""COMPUTED_VALUE"""),0.0)</f>
        <v>0</v>
      </c>
    </row>
    <row r="958">
      <c r="N958" s="98">
        <f>IFERROR(__xludf.DUMMYFUNCTION("""COMPUTED_VALUE"""),44113.0)</f>
        <v>44113</v>
      </c>
      <c r="O958" s="96" t="str">
        <f>IFERROR(__xludf.DUMMYFUNCTION("""COMPUTED_VALUE"""),"ESCORT PETER")</f>
        <v>ESCORT PETER</v>
      </c>
      <c r="P958" s="96" t="str">
        <f>IFERROR(__xludf.DUMMYFUNCTION("""COMPUTED_VALUE"""),"ESCORT FEE")</f>
        <v>ESCORT FEE</v>
      </c>
      <c r="Q958" s="99">
        <f>IFERROR(__xludf.DUMMYFUNCTION("""COMPUTED_VALUE"""),70000.0)</f>
        <v>70000</v>
      </c>
      <c r="R958" s="96" t="str">
        <f>IFERROR(__xludf.DUMMYFUNCTION("""COMPUTED_VALUE"""),"General Expenses")</f>
        <v>General Expenses</v>
      </c>
      <c r="S958" s="99">
        <f>IFERROR(__xludf.DUMMYFUNCTION("""COMPUTED_VALUE"""),0.0)</f>
        <v>0</v>
      </c>
      <c r="T958" s="99">
        <f>IFERROR(__xludf.DUMMYFUNCTION("""COMPUTED_VALUE"""),70000.0)</f>
        <v>70000</v>
      </c>
      <c r="U958" s="99">
        <f>IFERROR(__xludf.DUMMYFUNCTION("""COMPUTED_VALUE"""),0.0)</f>
        <v>0</v>
      </c>
      <c r="V958" s="99">
        <f>IFERROR(__xludf.DUMMYFUNCTION("""COMPUTED_VALUE"""),0.0)</f>
        <v>0</v>
      </c>
      <c r="W958" s="99">
        <f>IFERROR(__xludf.DUMMYFUNCTION("""COMPUTED_VALUE"""),0.0)</f>
        <v>0</v>
      </c>
    </row>
    <row r="959">
      <c r="N959" s="98">
        <f>IFERROR(__xludf.DUMMYFUNCTION("""COMPUTED_VALUE"""),44113.0)</f>
        <v>44113</v>
      </c>
      <c r="O959" s="96" t="str">
        <f>IFERROR(__xludf.DUMMYFUNCTION("""COMPUTED_VALUE"""),"BLESSING AYUK")</f>
        <v>BLESSING AYUK</v>
      </c>
      <c r="P959" s="96" t="str">
        <f>IFERROR(__xludf.DUMMYFUNCTION("""COMPUTED_VALUE"""),"CASH COLLETED")</f>
        <v>CASH COLLETED</v>
      </c>
      <c r="Q959" s="99">
        <f>IFERROR(__xludf.DUMMYFUNCTION("""COMPUTED_VALUE"""),368700.0)</f>
        <v>368700</v>
      </c>
      <c r="R959" s="96" t="str">
        <f>IFERROR(__xludf.DUMMYFUNCTION("""COMPUTED_VALUE"""),"Petty Cash")</f>
        <v>Petty Cash</v>
      </c>
      <c r="S959" s="99">
        <f>IFERROR(__xludf.DUMMYFUNCTION("""COMPUTED_VALUE"""),0.0)</f>
        <v>0</v>
      </c>
      <c r="T959" s="99">
        <f>IFERROR(__xludf.DUMMYFUNCTION("""COMPUTED_VALUE"""),0.0)</f>
        <v>0</v>
      </c>
      <c r="U959" s="99">
        <f>IFERROR(__xludf.DUMMYFUNCTION("""COMPUTED_VALUE"""),0.0)</f>
        <v>0</v>
      </c>
      <c r="V959" s="99">
        <f>IFERROR(__xludf.DUMMYFUNCTION("""COMPUTED_VALUE"""),368700.0)</f>
        <v>368700</v>
      </c>
      <c r="W959" s="99">
        <f>IFERROR(__xludf.DUMMYFUNCTION("""COMPUTED_VALUE"""),0.0)</f>
        <v>0</v>
      </c>
    </row>
    <row r="960">
      <c r="N960" s="98">
        <f>IFERROR(__xludf.DUMMYFUNCTION("""COMPUTED_VALUE"""),44113.0)</f>
        <v>44113</v>
      </c>
      <c r="O960" s="96" t="str">
        <f>IFERROR(__xludf.DUMMYFUNCTION("""COMPUTED_VALUE"""),"DIRECTOR")</f>
        <v>DIRECTOR</v>
      </c>
      <c r="P960" s="96" t="str">
        <f>IFERROR(__xludf.DUMMYFUNCTION("""COMPUTED_VALUE"""),"CASH-IN")</f>
        <v>CASH-IN</v>
      </c>
      <c r="Q960" s="99">
        <f>IFERROR(__xludf.DUMMYFUNCTION("""COMPUTED_VALUE"""),5250000.0)</f>
        <v>5250000</v>
      </c>
      <c r="R960" s="96" t="str">
        <f>IFERROR(__xludf.DUMMYFUNCTION("""COMPUTED_VALUE"""),"From Bank")</f>
        <v>From Bank</v>
      </c>
      <c r="S960" s="99">
        <f>IFERROR(__xludf.DUMMYFUNCTION("""COMPUTED_VALUE"""),0.0)</f>
        <v>0</v>
      </c>
      <c r="T960" s="99">
        <f>IFERROR(__xludf.DUMMYFUNCTION("""COMPUTED_VALUE"""),0.0)</f>
        <v>0</v>
      </c>
      <c r="U960" s="99">
        <f>IFERROR(__xludf.DUMMYFUNCTION("""COMPUTED_VALUE"""),5250000.0)</f>
        <v>5250000</v>
      </c>
      <c r="V960" s="99">
        <f>IFERROR(__xludf.DUMMYFUNCTION("""COMPUTED_VALUE"""),0.0)</f>
        <v>0</v>
      </c>
      <c r="W960" s="99">
        <f>IFERROR(__xludf.DUMMYFUNCTION("""COMPUTED_VALUE"""),0.0)</f>
        <v>0</v>
      </c>
    </row>
    <row r="961">
      <c r="N961" s="98">
        <f>IFERROR(__xludf.DUMMYFUNCTION("""COMPUTED_VALUE"""),44114.0)</f>
        <v>44114</v>
      </c>
      <c r="O961" s="96" t="str">
        <f>IFERROR(__xludf.DUMMYFUNCTION("""COMPUTED_VALUE"""),"OTU KOKO KEIBO")</f>
        <v>OTU KOKO KEIBO</v>
      </c>
      <c r="P961" s="96" t="str">
        <f>IFERROR(__xludf.DUMMYFUNCTION("""COMPUTED_VALUE"""),"OLORLOR")</f>
        <v>OLORLOR</v>
      </c>
      <c r="Q961" s="99">
        <f>IFERROR(__xludf.DUMMYFUNCTION("""COMPUTED_VALUE"""),800000.0)</f>
        <v>800000</v>
      </c>
      <c r="R961" s="96" t="str">
        <f>IFERROR(__xludf.DUMMYFUNCTION("""COMPUTED_VALUE"""),"Prefinance")</f>
        <v>Prefinance</v>
      </c>
      <c r="S961" s="99">
        <f>IFERROR(__xludf.DUMMYFUNCTION("""COMPUTED_VALUE"""),0.0)</f>
        <v>0</v>
      </c>
      <c r="T961" s="99">
        <f>IFERROR(__xludf.DUMMYFUNCTION("""COMPUTED_VALUE"""),0.0)</f>
        <v>0</v>
      </c>
      <c r="U961" s="99">
        <f>IFERROR(__xludf.DUMMYFUNCTION("""COMPUTED_VALUE"""),0.0)</f>
        <v>0</v>
      </c>
      <c r="V961" s="99">
        <f>IFERROR(__xludf.DUMMYFUNCTION("""COMPUTED_VALUE"""),0.0)</f>
        <v>0</v>
      </c>
      <c r="W961" s="99">
        <f>IFERROR(__xludf.DUMMYFUNCTION("""COMPUTED_VALUE"""),0.0)</f>
        <v>0</v>
      </c>
    </row>
    <row r="962">
      <c r="N962" s="98">
        <f>IFERROR(__xludf.DUMMYFUNCTION("""COMPUTED_VALUE"""),44114.0)</f>
        <v>44114</v>
      </c>
      <c r="O962" s="96" t="str">
        <f>IFERROR(__xludf.DUMMYFUNCTION("""COMPUTED_VALUE"""),"OTU KOKO KEIBO")</f>
        <v>OTU KOKO KEIBO</v>
      </c>
      <c r="P962" s="96" t="str">
        <f>IFERROR(__xludf.DUMMYFUNCTION("""COMPUTED_VALUE"""),"SUNDAY")</f>
        <v>SUNDAY</v>
      </c>
      <c r="Q962" s="99">
        <f>IFERROR(__xludf.DUMMYFUNCTION("""COMPUTED_VALUE"""),800000.0)</f>
        <v>800000</v>
      </c>
      <c r="R962" s="96" t="str">
        <f>IFERROR(__xludf.DUMMYFUNCTION("""COMPUTED_VALUE"""),"Prefinance")</f>
        <v>Prefinance</v>
      </c>
      <c r="S962" s="99">
        <f>IFERROR(__xludf.DUMMYFUNCTION("""COMPUTED_VALUE"""),0.0)</f>
        <v>0</v>
      </c>
      <c r="T962" s="99">
        <f>IFERROR(__xludf.DUMMYFUNCTION("""COMPUTED_VALUE"""),0.0)</f>
        <v>0</v>
      </c>
      <c r="U962" s="99">
        <f>IFERROR(__xludf.DUMMYFUNCTION("""COMPUTED_VALUE"""),0.0)</f>
        <v>0</v>
      </c>
      <c r="V962" s="99">
        <f>IFERROR(__xludf.DUMMYFUNCTION("""COMPUTED_VALUE"""),0.0)</f>
        <v>0</v>
      </c>
      <c r="W962" s="99">
        <f>IFERROR(__xludf.DUMMYFUNCTION("""COMPUTED_VALUE"""),0.0)</f>
        <v>0</v>
      </c>
    </row>
    <row r="963">
      <c r="N963" s="98">
        <f>IFERROR(__xludf.DUMMYFUNCTION("""COMPUTED_VALUE"""),44114.0)</f>
        <v>44114</v>
      </c>
      <c r="O963" s="96" t="str">
        <f>IFERROR(__xludf.DUMMYFUNCTION("""COMPUTED_VALUE"""),"R.  MAXWELL AGRO")</f>
        <v>R.  MAXWELL AGRO</v>
      </c>
      <c r="P963" s="96" t="str">
        <f>IFERROR(__xludf.DUMMYFUNCTION("""COMPUTED_VALUE"""),"CLOVIS")</f>
        <v>CLOVIS</v>
      </c>
      <c r="Q963" s="99">
        <f>IFERROR(__xludf.DUMMYFUNCTION("""COMPUTED_VALUE"""),12000.0)</f>
        <v>12000</v>
      </c>
      <c r="R963" s="96" t="str">
        <f>IFERROR(__xludf.DUMMYFUNCTION("""COMPUTED_VALUE"""),"Prefinance")</f>
        <v>Prefinance</v>
      </c>
      <c r="S963" s="99">
        <f>IFERROR(__xludf.DUMMYFUNCTION("""COMPUTED_VALUE"""),0.0)</f>
        <v>0</v>
      </c>
      <c r="T963" s="99">
        <f>IFERROR(__xludf.DUMMYFUNCTION("""COMPUTED_VALUE"""),0.0)</f>
        <v>0</v>
      </c>
      <c r="U963" s="99">
        <f>IFERROR(__xludf.DUMMYFUNCTION("""COMPUTED_VALUE"""),0.0)</f>
        <v>0</v>
      </c>
      <c r="V963" s="99">
        <f>IFERROR(__xludf.DUMMYFUNCTION("""COMPUTED_VALUE"""),0.0)</f>
        <v>0</v>
      </c>
      <c r="W963" s="99">
        <f>IFERROR(__xludf.DUMMYFUNCTION("""COMPUTED_VALUE"""),0.0)</f>
        <v>0</v>
      </c>
    </row>
    <row r="964">
      <c r="N964" s="98">
        <f>IFERROR(__xludf.DUMMYFUNCTION("""COMPUTED_VALUE"""),44114.0)</f>
        <v>44114</v>
      </c>
      <c r="O964" s="96" t="str">
        <f>IFERROR(__xludf.DUMMYFUNCTION("""COMPUTED_VALUE"""),"OTU KOKO KEIBO")</f>
        <v>OTU KOKO KEIBO</v>
      </c>
      <c r="P964" s="96" t="str">
        <f>IFERROR(__xludf.DUMMYFUNCTION("""COMPUTED_VALUE"""),"Dr. AKOMBA")</f>
        <v>Dr. AKOMBA</v>
      </c>
      <c r="Q964" s="99">
        <f>IFERROR(__xludf.DUMMYFUNCTION("""COMPUTED_VALUE"""),800000.0)</f>
        <v>800000</v>
      </c>
      <c r="R964" s="96" t="str">
        <f>IFERROR(__xludf.DUMMYFUNCTION("""COMPUTED_VALUE"""),"Prefinance")</f>
        <v>Prefinance</v>
      </c>
      <c r="S964" s="99">
        <f>IFERROR(__xludf.DUMMYFUNCTION("""COMPUTED_VALUE"""),0.0)</f>
        <v>0</v>
      </c>
      <c r="T964" s="99">
        <f>IFERROR(__xludf.DUMMYFUNCTION("""COMPUTED_VALUE"""),0.0)</f>
        <v>0</v>
      </c>
      <c r="U964" s="99">
        <f>IFERROR(__xludf.DUMMYFUNCTION("""COMPUTED_VALUE"""),0.0)</f>
        <v>0</v>
      </c>
      <c r="V964" s="99">
        <f>IFERROR(__xludf.DUMMYFUNCTION("""COMPUTED_VALUE"""),0.0)</f>
        <v>0</v>
      </c>
      <c r="W964" s="99">
        <f>IFERROR(__xludf.DUMMYFUNCTION("""COMPUTED_VALUE"""),0.0)</f>
        <v>0</v>
      </c>
    </row>
    <row r="965">
      <c r="N965" s="98">
        <f>IFERROR(__xludf.DUMMYFUNCTION("""COMPUTED_VALUE"""),44114.0)</f>
        <v>44114</v>
      </c>
      <c r="O965" s="96" t="str">
        <f>IFERROR(__xludf.DUMMYFUNCTION("""COMPUTED_VALUE"""),"NELSON &amp; PALUS")</f>
        <v>NELSON &amp; PALUS</v>
      </c>
      <c r="P965" s="96" t="str">
        <f>IFERROR(__xludf.DUMMYFUNCTION("""COMPUTED_VALUE"""),"PAYMENT")</f>
        <v>PAYMENT</v>
      </c>
      <c r="Q965" s="99">
        <f>IFERROR(__xludf.DUMMYFUNCTION("""COMPUTED_VALUE"""),12000.0)</f>
        <v>12000</v>
      </c>
      <c r="R965" s="96" t="str">
        <f>IFERROR(__xludf.DUMMYFUNCTION("""COMPUTED_VALUE"""),"Prefinance")</f>
        <v>Prefinance</v>
      </c>
      <c r="S965" s="99">
        <f>IFERROR(__xludf.DUMMYFUNCTION("""COMPUTED_VALUE"""),0.0)</f>
        <v>0</v>
      </c>
      <c r="T965" s="99">
        <f>IFERROR(__xludf.DUMMYFUNCTION("""COMPUTED_VALUE"""),0.0)</f>
        <v>0</v>
      </c>
      <c r="U965" s="99">
        <f>IFERROR(__xludf.DUMMYFUNCTION("""COMPUTED_VALUE"""),0.0)</f>
        <v>0</v>
      </c>
      <c r="V965" s="99">
        <f>IFERROR(__xludf.DUMMYFUNCTION("""COMPUTED_VALUE"""),0.0)</f>
        <v>0</v>
      </c>
      <c r="W965" s="99">
        <f>IFERROR(__xludf.DUMMYFUNCTION("""COMPUTED_VALUE"""),0.0)</f>
        <v>0</v>
      </c>
    </row>
    <row r="966">
      <c r="N966" s="98">
        <f>IFERROR(__xludf.DUMMYFUNCTION("""COMPUTED_VALUE"""),44114.0)</f>
        <v>44114</v>
      </c>
      <c r="O966" s="96" t="str">
        <f>IFERROR(__xludf.DUMMYFUNCTION("""COMPUTED_VALUE"""),"KOKOK NYIAN")</f>
        <v>KOKOK NYIAN</v>
      </c>
      <c r="P966" s="96" t="str">
        <f>IFERROR(__xludf.DUMMYFUNCTION("""COMPUTED_VALUE"""),"CEMENT")</f>
        <v>CEMENT</v>
      </c>
      <c r="Q966" s="99">
        <f>IFERROR(__xludf.DUMMYFUNCTION("""COMPUTED_VALUE"""),22500.0)</f>
        <v>22500</v>
      </c>
      <c r="R966" s="96" t="str">
        <f>IFERROR(__xludf.DUMMYFUNCTION("""COMPUTED_VALUE"""),"General Expenses")</f>
        <v>General Expenses</v>
      </c>
      <c r="S966" s="99">
        <f>IFERROR(__xludf.DUMMYFUNCTION("""COMPUTED_VALUE"""),0.0)</f>
        <v>0</v>
      </c>
      <c r="T966" s="99">
        <f>IFERROR(__xludf.DUMMYFUNCTION("""COMPUTED_VALUE"""),22500.0)</f>
        <v>22500</v>
      </c>
      <c r="U966" s="99">
        <f>IFERROR(__xludf.DUMMYFUNCTION("""COMPUTED_VALUE"""),0.0)</f>
        <v>0</v>
      </c>
      <c r="V966" s="99">
        <f>IFERROR(__xludf.DUMMYFUNCTION("""COMPUTED_VALUE"""),0.0)</f>
        <v>0</v>
      </c>
      <c r="W966" s="99">
        <f>IFERROR(__xludf.DUMMYFUNCTION("""COMPUTED_VALUE"""),0.0)</f>
        <v>0</v>
      </c>
    </row>
    <row r="967">
      <c r="N967" s="98">
        <f>IFERROR(__xludf.DUMMYFUNCTION("""COMPUTED_VALUE"""),44114.0)</f>
        <v>44114</v>
      </c>
      <c r="O967" s="96" t="str">
        <f>IFERROR(__xludf.DUMMYFUNCTION("""COMPUTED_VALUE"""),"DIRECTOR")</f>
        <v>DIRECTOR</v>
      </c>
      <c r="P967" s="96" t="str">
        <f>IFERROR(__xludf.DUMMYFUNCTION("""COMPUTED_VALUE"""),"PERSONAL USE")</f>
        <v>PERSONAL USE</v>
      </c>
      <c r="Q967" s="99">
        <f>IFERROR(__xludf.DUMMYFUNCTION("""COMPUTED_VALUE"""),28000.0)</f>
        <v>28000</v>
      </c>
      <c r="R967" s="96" t="str">
        <f>IFERROR(__xludf.DUMMYFUNCTION("""COMPUTED_VALUE"""),"General Expenses")</f>
        <v>General Expenses</v>
      </c>
      <c r="S967" s="99">
        <f>IFERROR(__xludf.DUMMYFUNCTION("""COMPUTED_VALUE"""),0.0)</f>
        <v>0</v>
      </c>
      <c r="T967" s="99">
        <f>IFERROR(__xludf.DUMMYFUNCTION("""COMPUTED_VALUE"""),28000.0)</f>
        <v>28000</v>
      </c>
      <c r="U967" s="99">
        <f>IFERROR(__xludf.DUMMYFUNCTION("""COMPUTED_VALUE"""),0.0)</f>
        <v>0</v>
      </c>
      <c r="V967" s="99">
        <f>IFERROR(__xludf.DUMMYFUNCTION("""COMPUTED_VALUE"""),0.0)</f>
        <v>0</v>
      </c>
      <c r="W967" s="99">
        <f>IFERROR(__xludf.DUMMYFUNCTION("""COMPUTED_VALUE"""),0.0)</f>
        <v>0</v>
      </c>
    </row>
    <row r="968">
      <c r="N968" s="98">
        <f>IFERROR(__xludf.DUMMYFUNCTION("""COMPUTED_VALUE"""),44114.0)</f>
        <v>44114</v>
      </c>
      <c r="O968" s="96" t="str">
        <f>IFERROR(__xludf.DUMMYFUNCTION("""COMPUTED_VALUE"""),"ABANG. MI.D")</f>
        <v>ABANG. MI.D</v>
      </c>
      <c r="P968" s="96" t="str">
        <f>IFERROR(__xludf.DUMMYFUNCTION("""COMPUTED_VALUE"""),"TRANSPORT")</f>
        <v>TRANSPORT</v>
      </c>
      <c r="Q968" s="99">
        <f>IFERROR(__xludf.DUMMYFUNCTION("""COMPUTED_VALUE"""),20000.0)</f>
        <v>20000</v>
      </c>
      <c r="R968" s="96" t="str">
        <f>IFERROR(__xludf.DUMMYFUNCTION("""COMPUTED_VALUE"""),"General Expenses")</f>
        <v>General Expenses</v>
      </c>
      <c r="S968" s="99">
        <f>IFERROR(__xludf.DUMMYFUNCTION("""COMPUTED_VALUE"""),0.0)</f>
        <v>0</v>
      </c>
      <c r="T968" s="99">
        <f>IFERROR(__xludf.DUMMYFUNCTION("""COMPUTED_VALUE"""),20000.0)</f>
        <v>20000</v>
      </c>
      <c r="U968" s="99">
        <f>IFERROR(__xludf.DUMMYFUNCTION("""COMPUTED_VALUE"""),0.0)</f>
        <v>0</v>
      </c>
      <c r="V968" s="99">
        <f>IFERROR(__xludf.DUMMYFUNCTION("""COMPUTED_VALUE"""),0.0)</f>
        <v>0</v>
      </c>
      <c r="W968" s="99">
        <f>IFERROR(__xludf.DUMMYFUNCTION("""COMPUTED_VALUE"""),0.0)</f>
        <v>0</v>
      </c>
    </row>
    <row r="969">
      <c r="N969" s="98">
        <f>IFERROR(__xludf.DUMMYFUNCTION("""COMPUTED_VALUE"""),44114.0)</f>
        <v>44114</v>
      </c>
      <c r="O969" s="96" t="str">
        <f>IFERROR(__xludf.DUMMYFUNCTION("""COMPUTED_VALUE"""),"AMBA")</f>
        <v>AMBA</v>
      </c>
      <c r="P969" s="96" t="str">
        <f>IFERROR(__xludf.DUMMYFUNCTION("""COMPUTED_VALUE"""),"HAULAGE")</f>
        <v>HAULAGE</v>
      </c>
      <c r="Q969" s="99">
        <f>IFERROR(__xludf.DUMMYFUNCTION("""COMPUTED_VALUE"""),16600.0)</f>
        <v>16600</v>
      </c>
      <c r="R969" s="96" t="str">
        <f>IFERROR(__xludf.DUMMYFUNCTION("""COMPUTED_VALUE"""),"General Expenses")</f>
        <v>General Expenses</v>
      </c>
      <c r="S969" s="99">
        <f>IFERROR(__xludf.DUMMYFUNCTION("""COMPUTED_VALUE"""),0.0)</f>
        <v>0</v>
      </c>
      <c r="T969" s="99">
        <f>IFERROR(__xludf.DUMMYFUNCTION("""COMPUTED_VALUE"""),16600.0)</f>
        <v>16600</v>
      </c>
      <c r="U969" s="99">
        <f>IFERROR(__xludf.DUMMYFUNCTION("""COMPUTED_VALUE"""),0.0)</f>
        <v>0</v>
      </c>
      <c r="V969" s="99">
        <f>IFERROR(__xludf.DUMMYFUNCTION("""COMPUTED_VALUE"""),0.0)</f>
        <v>0</v>
      </c>
      <c r="W969" s="99">
        <f>IFERROR(__xludf.DUMMYFUNCTION("""COMPUTED_VALUE"""),0.0)</f>
        <v>0</v>
      </c>
    </row>
    <row r="970">
      <c r="N970" s="98">
        <f>IFERROR(__xludf.DUMMYFUNCTION("""COMPUTED_VALUE"""),44114.0)</f>
        <v>44114</v>
      </c>
      <c r="O970" s="96" t="str">
        <f>IFERROR(__xludf.DUMMYFUNCTION("""COMPUTED_VALUE"""),"BLESSING CHAPMAN")</f>
        <v>BLESSING CHAPMAN</v>
      </c>
      <c r="P970" s="96" t="str">
        <f>IFERROR(__xludf.DUMMYFUNCTION("""COMPUTED_VALUE"""),"DIRECTOR ORDER")</f>
        <v>DIRECTOR ORDER</v>
      </c>
      <c r="Q970" s="99">
        <f>IFERROR(__xludf.DUMMYFUNCTION("""COMPUTED_VALUE"""),2000.0)</f>
        <v>2000</v>
      </c>
      <c r="R970" s="96" t="str">
        <f>IFERROR(__xludf.DUMMYFUNCTION("""COMPUTED_VALUE"""),"General Expenses")</f>
        <v>General Expenses</v>
      </c>
      <c r="S970" s="99">
        <f>IFERROR(__xludf.DUMMYFUNCTION("""COMPUTED_VALUE"""),0.0)</f>
        <v>0</v>
      </c>
      <c r="T970" s="99">
        <f>IFERROR(__xludf.DUMMYFUNCTION("""COMPUTED_VALUE"""),2000.0)</f>
        <v>2000</v>
      </c>
      <c r="U970" s="99">
        <f>IFERROR(__xludf.DUMMYFUNCTION("""COMPUTED_VALUE"""),0.0)</f>
        <v>0</v>
      </c>
      <c r="V970" s="99">
        <f>IFERROR(__xludf.DUMMYFUNCTION("""COMPUTED_VALUE"""),0.0)</f>
        <v>0</v>
      </c>
      <c r="W970" s="99">
        <f>IFERROR(__xludf.DUMMYFUNCTION("""COMPUTED_VALUE"""),0.0)</f>
        <v>0</v>
      </c>
    </row>
    <row r="971">
      <c r="N971" s="98">
        <f>IFERROR(__xludf.DUMMYFUNCTION("""COMPUTED_VALUE"""),44114.0)</f>
        <v>44114</v>
      </c>
      <c r="O971" s="96" t="str">
        <f>IFERROR(__xludf.DUMMYFUNCTION("""COMPUTED_VALUE"""),"CHIDI")</f>
        <v>CHIDI</v>
      </c>
      <c r="P971" s="96" t="str">
        <f>IFERROR(__xludf.DUMMYFUNCTION("""COMPUTED_VALUE"""),"DIRECTOR ORDER")</f>
        <v>DIRECTOR ORDER</v>
      </c>
      <c r="Q971" s="99">
        <f>IFERROR(__xludf.DUMMYFUNCTION("""COMPUTED_VALUE"""),3000.0)</f>
        <v>3000</v>
      </c>
      <c r="R971" s="96" t="str">
        <f>IFERROR(__xludf.DUMMYFUNCTION("""COMPUTED_VALUE"""),"General Expenses")</f>
        <v>General Expenses</v>
      </c>
      <c r="S971" s="99">
        <f>IFERROR(__xludf.DUMMYFUNCTION("""COMPUTED_VALUE"""),0.0)</f>
        <v>0</v>
      </c>
      <c r="T971" s="99">
        <f>IFERROR(__xludf.DUMMYFUNCTION("""COMPUTED_VALUE"""),3000.0)</f>
        <v>3000</v>
      </c>
      <c r="U971" s="99">
        <f>IFERROR(__xludf.DUMMYFUNCTION("""COMPUTED_VALUE"""),0.0)</f>
        <v>0</v>
      </c>
      <c r="V971" s="99">
        <f>IFERROR(__xludf.DUMMYFUNCTION("""COMPUTED_VALUE"""),0.0)</f>
        <v>0</v>
      </c>
      <c r="W971" s="99">
        <f>IFERROR(__xludf.DUMMYFUNCTION("""COMPUTED_VALUE"""),0.0)</f>
        <v>0</v>
      </c>
    </row>
    <row r="972">
      <c r="N972" s="98">
        <f>IFERROR(__xludf.DUMMYFUNCTION("""COMPUTED_VALUE"""),44114.0)</f>
        <v>44114</v>
      </c>
      <c r="O972" s="96" t="str">
        <f>IFERROR(__xludf.DUMMYFUNCTION("""COMPUTED_VALUE"""),"E-BOY")</f>
        <v>E-BOY</v>
      </c>
      <c r="P972" s="96" t="str">
        <f>IFERROR(__xludf.DUMMYFUNCTION("""COMPUTED_VALUE"""),"UNIFORM")</f>
        <v>UNIFORM</v>
      </c>
      <c r="Q972" s="99">
        <f>IFERROR(__xludf.DUMMYFUNCTION("""COMPUTED_VALUE"""),1000.0)</f>
        <v>1000</v>
      </c>
      <c r="R972" s="96" t="str">
        <f>IFERROR(__xludf.DUMMYFUNCTION("""COMPUTED_VALUE"""),"General Expenses")</f>
        <v>General Expenses</v>
      </c>
      <c r="S972" s="99">
        <f>IFERROR(__xludf.DUMMYFUNCTION("""COMPUTED_VALUE"""),0.0)</f>
        <v>0</v>
      </c>
      <c r="T972" s="99">
        <f>IFERROR(__xludf.DUMMYFUNCTION("""COMPUTED_VALUE"""),1000.0)</f>
        <v>1000</v>
      </c>
      <c r="U972" s="99">
        <f>IFERROR(__xludf.DUMMYFUNCTION("""COMPUTED_VALUE"""),0.0)</f>
        <v>0</v>
      </c>
      <c r="V972" s="99">
        <f>IFERROR(__xludf.DUMMYFUNCTION("""COMPUTED_VALUE"""),0.0)</f>
        <v>0</v>
      </c>
      <c r="W972" s="99">
        <f>IFERROR(__xludf.DUMMYFUNCTION("""COMPUTED_VALUE"""),0.0)</f>
        <v>0</v>
      </c>
    </row>
    <row r="973">
      <c r="N973" s="98">
        <f>IFERROR(__xludf.DUMMYFUNCTION("""COMPUTED_VALUE"""),44114.0)</f>
        <v>44114</v>
      </c>
      <c r="O973" s="96" t="str">
        <f>IFERROR(__xludf.DUMMYFUNCTION("""COMPUTED_VALUE"""),"LABOUR  BOY")</f>
        <v>LABOUR  BOY</v>
      </c>
      <c r="P973" s="96" t="str">
        <f>IFERROR(__xludf.DUMMYFUNCTION("""COMPUTED_VALUE"""),"WAGES")</f>
        <v>WAGES</v>
      </c>
      <c r="Q973" s="99">
        <f>IFERROR(__xludf.DUMMYFUNCTION("""COMPUTED_VALUE"""),49200.0)</f>
        <v>49200</v>
      </c>
      <c r="R973" s="96" t="str">
        <f>IFERROR(__xludf.DUMMYFUNCTION("""COMPUTED_VALUE"""),"General Expenses")</f>
        <v>General Expenses</v>
      </c>
      <c r="S973" s="99">
        <f>IFERROR(__xludf.DUMMYFUNCTION("""COMPUTED_VALUE"""),0.0)</f>
        <v>0</v>
      </c>
      <c r="T973" s="99">
        <f>IFERROR(__xludf.DUMMYFUNCTION("""COMPUTED_VALUE"""),49200.0)</f>
        <v>49200</v>
      </c>
      <c r="U973" s="99">
        <f>IFERROR(__xludf.DUMMYFUNCTION("""COMPUTED_VALUE"""),0.0)</f>
        <v>0</v>
      </c>
      <c r="V973" s="99">
        <f>IFERROR(__xludf.DUMMYFUNCTION("""COMPUTED_VALUE"""),0.0)</f>
        <v>0</v>
      </c>
      <c r="W973" s="99">
        <f>IFERROR(__xludf.DUMMYFUNCTION("""COMPUTED_VALUE"""),0.0)</f>
        <v>0</v>
      </c>
    </row>
    <row r="974">
      <c r="N974" s="98">
        <f>IFERROR(__xludf.DUMMYFUNCTION("""COMPUTED_VALUE"""),44114.0)</f>
        <v>44114</v>
      </c>
      <c r="O974" s="96" t="str">
        <f>IFERROR(__xludf.DUMMYFUNCTION("""COMPUTED_VALUE"""),"BONNY ESCORT")</f>
        <v>BONNY ESCORT</v>
      </c>
      <c r="P974" s="96" t="str">
        <f>IFERROR(__xludf.DUMMYFUNCTION("""COMPUTED_VALUE"""),"ESCORT FEE")</f>
        <v>ESCORT FEE</v>
      </c>
      <c r="Q974" s="99">
        <f>IFERROR(__xludf.DUMMYFUNCTION("""COMPUTED_VALUE"""),70000.0)</f>
        <v>70000</v>
      </c>
      <c r="R974" s="96" t="str">
        <f>IFERROR(__xludf.DUMMYFUNCTION("""COMPUTED_VALUE"""),"General Expenses")</f>
        <v>General Expenses</v>
      </c>
      <c r="S974" s="99">
        <f>IFERROR(__xludf.DUMMYFUNCTION("""COMPUTED_VALUE"""),0.0)</f>
        <v>0</v>
      </c>
      <c r="T974" s="99">
        <f>IFERROR(__xludf.DUMMYFUNCTION("""COMPUTED_VALUE"""),70000.0)</f>
        <v>70000</v>
      </c>
      <c r="U974" s="99">
        <f>IFERROR(__xludf.DUMMYFUNCTION("""COMPUTED_VALUE"""),0.0)</f>
        <v>0</v>
      </c>
      <c r="V974" s="99">
        <f>IFERROR(__xludf.DUMMYFUNCTION("""COMPUTED_VALUE"""),0.0)</f>
        <v>0</v>
      </c>
      <c r="W974" s="99">
        <f>IFERROR(__xludf.DUMMYFUNCTION("""COMPUTED_VALUE"""),0.0)</f>
        <v>0</v>
      </c>
    </row>
    <row r="975">
      <c r="N975" s="98">
        <f>IFERROR(__xludf.DUMMYFUNCTION("""COMPUTED_VALUE"""),44114.0)</f>
        <v>44114</v>
      </c>
      <c r="O975" s="96" t="str">
        <f>IFERROR(__xludf.DUMMYFUNCTION("""COMPUTED_VALUE"""),"BLESSING AYUK")</f>
        <v>BLESSING AYUK</v>
      </c>
      <c r="P975" s="96" t="str">
        <f>IFERROR(__xludf.DUMMYFUNCTION("""COMPUTED_VALUE"""),"CASH COLLECTED")</f>
        <v>CASH COLLECTED</v>
      </c>
      <c r="Q975" s="99">
        <f>IFERROR(__xludf.DUMMYFUNCTION("""COMPUTED_VALUE"""),344700.0)</f>
        <v>344700</v>
      </c>
      <c r="R975" s="96" t="str">
        <f>IFERROR(__xludf.DUMMYFUNCTION("""COMPUTED_VALUE"""),"Petty Cash")</f>
        <v>Petty Cash</v>
      </c>
      <c r="S975" s="99">
        <f>IFERROR(__xludf.DUMMYFUNCTION("""COMPUTED_VALUE"""),0.0)</f>
        <v>0</v>
      </c>
      <c r="T975" s="99">
        <f>IFERROR(__xludf.DUMMYFUNCTION("""COMPUTED_VALUE"""),0.0)</f>
        <v>0</v>
      </c>
      <c r="U975" s="99">
        <f>IFERROR(__xludf.DUMMYFUNCTION("""COMPUTED_VALUE"""),0.0)</f>
        <v>0</v>
      </c>
      <c r="V975" s="99">
        <f>IFERROR(__xludf.DUMMYFUNCTION("""COMPUTED_VALUE"""),344700.0)</f>
        <v>344700</v>
      </c>
      <c r="W975" s="99">
        <f>IFERROR(__xludf.DUMMYFUNCTION("""COMPUTED_VALUE"""),0.0)</f>
        <v>0</v>
      </c>
    </row>
    <row r="976">
      <c r="N976" s="98">
        <f>IFERROR(__xludf.DUMMYFUNCTION("""COMPUTED_VALUE"""),44114.0)</f>
        <v>44114</v>
      </c>
      <c r="O976" s="96" t="str">
        <f>IFERROR(__xludf.DUMMYFUNCTION("""COMPUTED_VALUE"""),"DIRECTOR")</f>
        <v>DIRECTOR</v>
      </c>
      <c r="P976" s="96" t="str">
        <f>IFERROR(__xludf.DUMMYFUNCTION("""COMPUTED_VALUE"""),"CASH-IN")</f>
        <v>CASH-IN</v>
      </c>
      <c r="Q976" s="99">
        <f>IFERROR(__xludf.DUMMYFUNCTION("""COMPUTED_VALUE"""),1860000.0)</f>
        <v>1860000</v>
      </c>
      <c r="R976" s="96" t="str">
        <f>IFERROR(__xludf.DUMMYFUNCTION("""COMPUTED_VALUE"""),"From Bank")</f>
        <v>From Bank</v>
      </c>
      <c r="S976" s="99">
        <f>IFERROR(__xludf.DUMMYFUNCTION("""COMPUTED_VALUE"""),0.0)</f>
        <v>0</v>
      </c>
      <c r="T976" s="99">
        <f>IFERROR(__xludf.DUMMYFUNCTION("""COMPUTED_VALUE"""),0.0)</f>
        <v>0</v>
      </c>
      <c r="U976" s="99">
        <f>IFERROR(__xludf.DUMMYFUNCTION("""COMPUTED_VALUE"""),1860000.0)</f>
        <v>1860000</v>
      </c>
      <c r="V976" s="99">
        <f>IFERROR(__xludf.DUMMYFUNCTION("""COMPUTED_VALUE"""),0.0)</f>
        <v>0</v>
      </c>
      <c r="W976" s="99">
        <f>IFERROR(__xludf.DUMMYFUNCTION("""COMPUTED_VALUE"""),0.0)</f>
        <v>0</v>
      </c>
    </row>
    <row r="977">
      <c r="N977" s="98">
        <f>IFERROR(__xludf.DUMMYFUNCTION("""COMPUTED_VALUE"""),44116.0)</f>
        <v>44116</v>
      </c>
      <c r="O977" s="96" t="str">
        <f>IFERROR(__xludf.DUMMYFUNCTION("""COMPUTED_VALUE"""),"EZU MECHANIC")</f>
        <v>EZU MECHANIC</v>
      </c>
      <c r="P977" s="96" t="str">
        <f>IFERROR(__xludf.DUMMYFUNCTION("""COMPUTED_VALUE"""),"REPAIRS")</f>
        <v>REPAIRS</v>
      </c>
      <c r="Q977" s="99">
        <f>IFERROR(__xludf.DUMMYFUNCTION("""COMPUTED_VALUE"""),5000.0)</f>
        <v>5000</v>
      </c>
      <c r="R977" s="96" t="str">
        <f>IFERROR(__xludf.DUMMYFUNCTION("""COMPUTED_VALUE"""),"General Expenses")</f>
        <v>General Expenses</v>
      </c>
      <c r="S977" s="99">
        <f>IFERROR(__xludf.DUMMYFUNCTION("""COMPUTED_VALUE"""),0.0)</f>
        <v>0</v>
      </c>
      <c r="T977" s="99">
        <f>IFERROR(__xludf.DUMMYFUNCTION("""COMPUTED_VALUE"""),5000.0)</f>
        <v>5000</v>
      </c>
      <c r="U977" s="99">
        <f>IFERROR(__xludf.DUMMYFUNCTION("""COMPUTED_VALUE"""),0.0)</f>
        <v>0</v>
      </c>
      <c r="V977" s="99">
        <f>IFERROR(__xludf.DUMMYFUNCTION("""COMPUTED_VALUE"""),0.0)</f>
        <v>0</v>
      </c>
      <c r="W977" s="99">
        <f>IFERROR(__xludf.DUMMYFUNCTION("""COMPUTED_VALUE"""),0.0)</f>
        <v>0</v>
      </c>
    </row>
    <row r="978">
      <c r="N978" s="98">
        <f>IFERROR(__xludf.DUMMYFUNCTION("""COMPUTED_VALUE"""),44116.0)</f>
        <v>44116</v>
      </c>
      <c r="O978" s="96" t="str">
        <f>IFERROR(__xludf.DUMMYFUNCTION("""COMPUTED_VALUE"""),"AMBA")</f>
        <v>AMBA</v>
      </c>
      <c r="P978" s="96" t="str">
        <f>IFERROR(__xludf.DUMMYFUNCTION("""COMPUTED_VALUE"""),"HAULAGE")</f>
        <v>HAULAGE</v>
      </c>
      <c r="Q978" s="99">
        <f>IFERROR(__xludf.DUMMYFUNCTION("""COMPUTED_VALUE"""),16600.0)</f>
        <v>16600</v>
      </c>
      <c r="R978" s="96" t="str">
        <f>IFERROR(__xludf.DUMMYFUNCTION("""COMPUTED_VALUE"""),"General Expenses")</f>
        <v>General Expenses</v>
      </c>
      <c r="S978" s="99">
        <f>IFERROR(__xludf.DUMMYFUNCTION("""COMPUTED_VALUE"""),0.0)</f>
        <v>0</v>
      </c>
      <c r="T978" s="99">
        <f>IFERROR(__xludf.DUMMYFUNCTION("""COMPUTED_VALUE"""),16600.0)</f>
        <v>16600</v>
      </c>
      <c r="U978" s="99">
        <f>IFERROR(__xludf.DUMMYFUNCTION("""COMPUTED_VALUE"""),0.0)</f>
        <v>0</v>
      </c>
      <c r="V978" s="99">
        <f>IFERROR(__xludf.DUMMYFUNCTION("""COMPUTED_VALUE"""),0.0)</f>
        <v>0</v>
      </c>
      <c r="W978" s="99">
        <f>IFERROR(__xludf.DUMMYFUNCTION("""COMPUTED_VALUE"""),0.0)</f>
        <v>0</v>
      </c>
    </row>
    <row r="979">
      <c r="N979" s="98">
        <f>IFERROR(__xludf.DUMMYFUNCTION("""COMPUTED_VALUE"""),44116.0)</f>
        <v>44116</v>
      </c>
      <c r="O979" s="96" t="str">
        <f>IFERROR(__xludf.DUMMYFUNCTION("""COMPUTED_VALUE"""),"UNCLE BIGGIE")</f>
        <v>UNCLE BIGGIE</v>
      </c>
      <c r="P979" s="96" t="str">
        <f>IFERROR(__xludf.DUMMYFUNCTION("""COMPUTED_VALUE"""),"ADVANCE")</f>
        <v>ADVANCE</v>
      </c>
      <c r="Q979" s="99">
        <f>IFERROR(__xludf.DUMMYFUNCTION("""COMPUTED_VALUE"""),100000.0)</f>
        <v>100000</v>
      </c>
      <c r="R979" s="96" t="str">
        <f>IFERROR(__xludf.DUMMYFUNCTION("""COMPUTED_VALUE"""),"Prefinance")</f>
        <v>Prefinance</v>
      </c>
      <c r="S979" s="99">
        <f>IFERROR(__xludf.DUMMYFUNCTION("""COMPUTED_VALUE"""),0.0)</f>
        <v>0</v>
      </c>
      <c r="T979" s="99">
        <f>IFERROR(__xludf.DUMMYFUNCTION("""COMPUTED_VALUE"""),0.0)</f>
        <v>0</v>
      </c>
      <c r="U979" s="99">
        <f>IFERROR(__xludf.DUMMYFUNCTION("""COMPUTED_VALUE"""),0.0)</f>
        <v>0</v>
      </c>
      <c r="V979" s="99">
        <f>IFERROR(__xludf.DUMMYFUNCTION("""COMPUTED_VALUE"""),0.0)</f>
        <v>0</v>
      </c>
      <c r="W979" s="99">
        <f>IFERROR(__xludf.DUMMYFUNCTION("""COMPUTED_VALUE"""),0.0)</f>
        <v>0</v>
      </c>
    </row>
    <row r="980">
      <c r="N980" s="98">
        <f>IFERROR(__xludf.DUMMYFUNCTION("""COMPUTED_VALUE"""),44116.0)</f>
        <v>44116</v>
      </c>
      <c r="O980" s="96" t="str">
        <f>IFERROR(__xludf.DUMMYFUNCTION("""COMPUTED_VALUE"""),"OTU KOKO KEIBO")</f>
        <v>OTU KOKO KEIBO</v>
      </c>
      <c r="P980" s="96" t="str">
        <f>IFERROR(__xludf.DUMMYFUNCTION("""COMPUTED_VALUE"""),"OLORLOR")</f>
        <v>OLORLOR</v>
      </c>
      <c r="Q980" s="99">
        <f>IFERROR(__xludf.DUMMYFUNCTION("""COMPUTED_VALUE"""),120000.0)</f>
        <v>120000</v>
      </c>
      <c r="R980" s="96" t="str">
        <f>IFERROR(__xludf.DUMMYFUNCTION("""COMPUTED_VALUE"""),"Prefinance")</f>
        <v>Prefinance</v>
      </c>
      <c r="S980" s="99">
        <f>IFERROR(__xludf.DUMMYFUNCTION("""COMPUTED_VALUE"""),0.0)</f>
        <v>0</v>
      </c>
      <c r="T980" s="99">
        <f>IFERROR(__xludf.DUMMYFUNCTION("""COMPUTED_VALUE"""),0.0)</f>
        <v>0</v>
      </c>
      <c r="U980" s="99">
        <f>IFERROR(__xludf.DUMMYFUNCTION("""COMPUTED_VALUE"""),0.0)</f>
        <v>0</v>
      </c>
      <c r="V980" s="99">
        <f>IFERROR(__xludf.DUMMYFUNCTION("""COMPUTED_VALUE"""),0.0)</f>
        <v>0</v>
      </c>
      <c r="W980" s="99">
        <f>IFERROR(__xludf.DUMMYFUNCTION("""COMPUTED_VALUE"""),0.0)</f>
        <v>0</v>
      </c>
    </row>
    <row r="981">
      <c r="N981" s="98">
        <f>IFERROR(__xludf.DUMMYFUNCTION("""COMPUTED_VALUE"""),44116.0)</f>
        <v>44116</v>
      </c>
      <c r="O981" s="96" t="str">
        <f>IFERROR(__xludf.DUMMYFUNCTION("""COMPUTED_VALUE"""),"OTU KOKO KEIBO")</f>
        <v>OTU KOKO KEIBO</v>
      </c>
      <c r="P981" s="96" t="str">
        <f>IFERROR(__xludf.DUMMYFUNCTION("""COMPUTED_VALUE"""),"OLORLOR")</f>
        <v>OLORLOR</v>
      </c>
      <c r="Q981" s="99">
        <f>IFERROR(__xludf.DUMMYFUNCTION("""COMPUTED_VALUE"""),160400.0)</f>
        <v>160400</v>
      </c>
      <c r="R981" s="96" t="str">
        <f>IFERROR(__xludf.DUMMYFUNCTION("""COMPUTED_VALUE"""),"Prefinance")</f>
        <v>Prefinance</v>
      </c>
      <c r="S981" s="99">
        <f>IFERROR(__xludf.DUMMYFUNCTION("""COMPUTED_VALUE"""),0.0)</f>
        <v>0</v>
      </c>
      <c r="T981" s="99">
        <f>IFERROR(__xludf.DUMMYFUNCTION("""COMPUTED_VALUE"""),0.0)</f>
        <v>0</v>
      </c>
      <c r="U981" s="99">
        <f>IFERROR(__xludf.DUMMYFUNCTION("""COMPUTED_VALUE"""),0.0)</f>
        <v>0</v>
      </c>
      <c r="V981" s="99">
        <f>IFERROR(__xludf.DUMMYFUNCTION("""COMPUTED_VALUE"""),0.0)</f>
        <v>0</v>
      </c>
      <c r="W981" s="99">
        <f>IFERROR(__xludf.DUMMYFUNCTION("""COMPUTED_VALUE"""),0.0)</f>
        <v>0</v>
      </c>
    </row>
    <row r="982">
      <c r="N982" s="98">
        <f>IFERROR(__xludf.DUMMYFUNCTION("""COMPUTED_VALUE"""),44116.0)</f>
        <v>44116</v>
      </c>
      <c r="O982" s="96" t="str">
        <f>IFERROR(__xludf.DUMMYFUNCTION("""COMPUTED_VALUE"""),"OTU KOKO KEIBO")</f>
        <v>OTU KOKO KEIBO</v>
      </c>
      <c r="P982" s="96" t="str">
        <f>IFERROR(__xludf.DUMMYFUNCTION("""COMPUTED_VALUE"""),"HAULAGE(BASSIL)")</f>
        <v>HAULAGE(BASSIL)</v>
      </c>
      <c r="Q982" s="99">
        <f>IFERROR(__xludf.DUMMYFUNCTION("""COMPUTED_VALUE"""),73500.0)</f>
        <v>73500</v>
      </c>
      <c r="R982" s="96" t="str">
        <f>IFERROR(__xludf.DUMMYFUNCTION("""COMPUTED_VALUE"""),"Prefinance")</f>
        <v>Prefinance</v>
      </c>
      <c r="S982" s="99">
        <f>IFERROR(__xludf.DUMMYFUNCTION("""COMPUTED_VALUE"""),0.0)</f>
        <v>0</v>
      </c>
      <c r="T982" s="99">
        <f>IFERROR(__xludf.DUMMYFUNCTION("""COMPUTED_VALUE"""),0.0)</f>
        <v>0</v>
      </c>
      <c r="U982" s="99">
        <f>IFERROR(__xludf.DUMMYFUNCTION("""COMPUTED_VALUE"""),0.0)</f>
        <v>0</v>
      </c>
      <c r="V982" s="99">
        <f>IFERROR(__xludf.DUMMYFUNCTION("""COMPUTED_VALUE"""),0.0)</f>
        <v>0</v>
      </c>
      <c r="W982" s="99">
        <f>IFERROR(__xludf.DUMMYFUNCTION("""COMPUTED_VALUE"""),0.0)</f>
        <v>0</v>
      </c>
    </row>
    <row r="983">
      <c r="N983" s="98">
        <f>IFERROR(__xludf.DUMMYFUNCTION("""COMPUTED_VALUE"""),44116.0)</f>
        <v>44116</v>
      </c>
      <c r="O983" s="96" t="str">
        <f>IFERROR(__xludf.DUMMYFUNCTION("""COMPUTED_VALUE"""),"OTU KOKO KEIBO")</f>
        <v>OTU KOKO KEIBO</v>
      </c>
      <c r="P983" s="96" t="str">
        <f>IFERROR(__xludf.DUMMYFUNCTION("""COMPUTED_VALUE"""),"ADVANCE")</f>
        <v>ADVANCE</v>
      </c>
      <c r="Q983" s="99">
        <f>IFERROR(__xludf.DUMMYFUNCTION("""COMPUTED_VALUE"""),150000.0)</f>
        <v>150000</v>
      </c>
      <c r="R983" s="96" t="str">
        <f>IFERROR(__xludf.DUMMYFUNCTION("""COMPUTED_VALUE"""),"Prefinance")</f>
        <v>Prefinance</v>
      </c>
      <c r="S983" s="99">
        <f>IFERROR(__xludf.DUMMYFUNCTION("""COMPUTED_VALUE"""),0.0)</f>
        <v>0</v>
      </c>
      <c r="T983" s="99">
        <f>IFERROR(__xludf.DUMMYFUNCTION("""COMPUTED_VALUE"""),0.0)</f>
        <v>0</v>
      </c>
      <c r="U983" s="99">
        <f>IFERROR(__xludf.DUMMYFUNCTION("""COMPUTED_VALUE"""),0.0)</f>
        <v>0</v>
      </c>
      <c r="V983" s="99">
        <f>IFERROR(__xludf.DUMMYFUNCTION("""COMPUTED_VALUE"""),0.0)</f>
        <v>0</v>
      </c>
      <c r="W983" s="99">
        <f>IFERROR(__xludf.DUMMYFUNCTION("""COMPUTED_VALUE"""),0.0)</f>
        <v>0</v>
      </c>
    </row>
    <row r="984">
      <c r="N984" s="98">
        <f>IFERROR(__xludf.DUMMYFUNCTION("""COMPUTED_VALUE"""),44116.0)</f>
        <v>44116</v>
      </c>
      <c r="O984" s="96" t="str">
        <f>IFERROR(__xludf.DUMMYFUNCTION("""COMPUTED_VALUE"""),"OTU KOKO KEIBO")</f>
        <v>OTU KOKO KEIBO</v>
      </c>
      <c r="P984" s="96" t="str">
        <f>IFERROR(__xludf.DUMMYFUNCTION("""COMPUTED_VALUE"""),"DOUGLAS")</f>
        <v>DOUGLAS</v>
      </c>
      <c r="Q984" s="99">
        <f>IFERROR(__xludf.DUMMYFUNCTION("""COMPUTED_VALUE"""),234000.0)</f>
        <v>234000</v>
      </c>
      <c r="R984" s="96" t="str">
        <f>IFERROR(__xludf.DUMMYFUNCTION("""COMPUTED_VALUE"""),"Prefinance")</f>
        <v>Prefinance</v>
      </c>
      <c r="S984" s="99">
        <f>IFERROR(__xludf.DUMMYFUNCTION("""COMPUTED_VALUE"""),0.0)</f>
        <v>0</v>
      </c>
      <c r="T984" s="99">
        <f>IFERROR(__xludf.DUMMYFUNCTION("""COMPUTED_VALUE"""),0.0)</f>
        <v>0</v>
      </c>
      <c r="U984" s="99">
        <f>IFERROR(__xludf.DUMMYFUNCTION("""COMPUTED_VALUE"""),0.0)</f>
        <v>0</v>
      </c>
      <c r="V984" s="99">
        <f>IFERROR(__xludf.DUMMYFUNCTION("""COMPUTED_VALUE"""),0.0)</f>
        <v>0</v>
      </c>
      <c r="W984" s="99">
        <f>IFERROR(__xludf.DUMMYFUNCTION("""COMPUTED_VALUE"""),0.0)</f>
        <v>0</v>
      </c>
    </row>
    <row r="985">
      <c r="N985" s="98">
        <f>IFERROR(__xludf.DUMMYFUNCTION("""COMPUTED_VALUE"""),44116.0)</f>
        <v>44116</v>
      </c>
      <c r="O985" s="96" t="str">
        <f>IFERROR(__xludf.DUMMYFUNCTION("""COMPUTED_VALUE"""),"REIMON ALABA")</f>
        <v>REIMON ALABA</v>
      </c>
      <c r="P985" s="96" t="str">
        <f>IFERROR(__xludf.DUMMYFUNCTION("""COMPUTED_VALUE"""),"ADVANCE")</f>
        <v>ADVANCE</v>
      </c>
      <c r="Q985" s="99">
        <f>IFERROR(__xludf.DUMMYFUNCTION("""COMPUTED_VALUE"""),50000.0)</f>
        <v>50000</v>
      </c>
      <c r="R985" s="96" t="str">
        <f>IFERROR(__xludf.DUMMYFUNCTION("""COMPUTED_VALUE"""),"Prefinance")</f>
        <v>Prefinance</v>
      </c>
      <c r="S985" s="99">
        <f>IFERROR(__xludf.DUMMYFUNCTION("""COMPUTED_VALUE"""),0.0)</f>
        <v>0</v>
      </c>
      <c r="T985" s="99">
        <f>IFERROR(__xludf.DUMMYFUNCTION("""COMPUTED_VALUE"""),0.0)</f>
        <v>0</v>
      </c>
      <c r="U985" s="99">
        <f>IFERROR(__xludf.DUMMYFUNCTION("""COMPUTED_VALUE"""),0.0)</f>
        <v>0</v>
      </c>
      <c r="V985" s="99">
        <f>IFERROR(__xludf.DUMMYFUNCTION("""COMPUTED_VALUE"""),0.0)</f>
        <v>0</v>
      </c>
      <c r="W985" s="99">
        <f>IFERROR(__xludf.DUMMYFUNCTION("""COMPUTED_VALUE"""),0.0)</f>
        <v>0</v>
      </c>
    </row>
    <row r="986">
      <c r="N986" s="98">
        <f>IFERROR(__xludf.DUMMYFUNCTION("""COMPUTED_VALUE"""),44116.0)</f>
        <v>44116</v>
      </c>
      <c r="O986" s="96" t="str">
        <f>IFERROR(__xludf.DUMMYFUNCTION("""COMPUTED_VALUE""")," MAXWELL AGRO")</f>
        <v> MAXWELL AGRO</v>
      </c>
      <c r="P986" s="96" t="str">
        <f>IFERROR(__xludf.DUMMYFUNCTION("""COMPUTED_VALUE"""),"ADVANCE")</f>
        <v>ADVANCE</v>
      </c>
      <c r="Q986" s="99">
        <f>IFERROR(__xludf.DUMMYFUNCTION("""COMPUTED_VALUE"""),280000.0)</f>
        <v>280000</v>
      </c>
      <c r="R986" s="96" t="str">
        <f>IFERROR(__xludf.DUMMYFUNCTION("""COMPUTED_VALUE"""),"Prefinance")</f>
        <v>Prefinance</v>
      </c>
      <c r="S986" s="99">
        <f>IFERROR(__xludf.DUMMYFUNCTION("""COMPUTED_VALUE"""),0.0)</f>
        <v>0</v>
      </c>
      <c r="T986" s="99">
        <f>IFERROR(__xludf.DUMMYFUNCTION("""COMPUTED_VALUE"""),0.0)</f>
        <v>0</v>
      </c>
      <c r="U986" s="99">
        <f>IFERROR(__xludf.DUMMYFUNCTION("""COMPUTED_VALUE"""),0.0)</f>
        <v>0</v>
      </c>
      <c r="V986" s="99">
        <f>IFERROR(__xludf.DUMMYFUNCTION("""COMPUTED_VALUE"""),0.0)</f>
        <v>0</v>
      </c>
      <c r="W986" s="99">
        <f>IFERROR(__xludf.DUMMYFUNCTION("""COMPUTED_VALUE"""),0.0)</f>
        <v>0</v>
      </c>
    </row>
    <row r="987">
      <c r="N987" s="98">
        <f>IFERROR(__xludf.DUMMYFUNCTION("""COMPUTED_VALUE"""),44116.0)</f>
        <v>44116</v>
      </c>
      <c r="O987" s="96" t="str">
        <f>IFERROR(__xludf.DUMMYFUNCTION("""COMPUTED_VALUE"""),"BLESSING AYUK")</f>
        <v>BLESSING AYUK</v>
      </c>
      <c r="P987" s="96" t="str">
        <f>IFERROR(__xludf.DUMMYFUNCTION("""COMPUTED_VALUE"""),"CASH COLLECTED")</f>
        <v>CASH COLLECTED</v>
      </c>
      <c r="Q987" s="99">
        <f>IFERROR(__xludf.DUMMYFUNCTION("""COMPUTED_VALUE"""),21600.0)</f>
        <v>21600</v>
      </c>
      <c r="R987" s="96" t="str">
        <f>IFERROR(__xludf.DUMMYFUNCTION("""COMPUTED_VALUE"""),"Petty Cash")</f>
        <v>Petty Cash</v>
      </c>
      <c r="S987" s="99">
        <f>IFERROR(__xludf.DUMMYFUNCTION("""COMPUTED_VALUE"""),0.0)</f>
        <v>0</v>
      </c>
      <c r="T987" s="99">
        <f>IFERROR(__xludf.DUMMYFUNCTION("""COMPUTED_VALUE"""),0.0)</f>
        <v>0</v>
      </c>
      <c r="U987" s="99">
        <f>IFERROR(__xludf.DUMMYFUNCTION("""COMPUTED_VALUE"""),0.0)</f>
        <v>0</v>
      </c>
      <c r="V987" s="99">
        <f>IFERROR(__xludf.DUMMYFUNCTION("""COMPUTED_VALUE"""),21600.0)</f>
        <v>21600</v>
      </c>
      <c r="W987" s="99">
        <f>IFERROR(__xludf.DUMMYFUNCTION("""COMPUTED_VALUE"""),0.0)</f>
        <v>0</v>
      </c>
    </row>
    <row r="988">
      <c r="N988" s="98">
        <f>IFERROR(__xludf.DUMMYFUNCTION("""COMPUTED_VALUE"""),44116.0)</f>
        <v>44116</v>
      </c>
      <c r="O988" s="96" t="str">
        <f>IFERROR(__xludf.DUMMYFUNCTION("""COMPUTED_VALUE"""),"OTU KOKO KEIBO")</f>
        <v>OTU KOKO KEIBO</v>
      </c>
      <c r="P988" s="96" t="str">
        <f>IFERROR(__xludf.DUMMYFUNCTION("""COMPUTED_VALUE"""),"CASH-IN")</f>
        <v>CASH-IN</v>
      </c>
      <c r="Q988" s="99">
        <f>IFERROR(__xludf.DUMMYFUNCTION("""COMPUTED_VALUE"""),3000000.0)</f>
        <v>3000000</v>
      </c>
      <c r="R988" s="96" t="str">
        <f>IFERROR(__xludf.DUMMYFUNCTION("""COMPUTED_VALUE"""),"From Bank")</f>
        <v>From Bank</v>
      </c>
      <c r="S988" s="99">
        <f>IFERROR(__xludf.DUMMYFUNCTION("""COMPUTED_VALUE"""),0.0)</f>
        <v>0</v>
      </c>
      <c r="T988" s="99">
        <f>IFERROR(__xludf.DUMMYFUNCTION("""COMPUTED_VALUE"""),0.0)</f>
        <v>0</v>
      </c>
      <c r="U988" s="99">
        <f>IFERROR(__xludf.DUMMYFUNCTION("""COMPUTED_VALUE"""),3000000.0)</f>
        <v>3000000</v>
      </c>
      <c r="V988" s="99">
        <f>IFERROR(__xludf.DUMMYFUNCTION("""COMPUTED_VALUE"""),0.0)</f>
        <v>0</v>
      </c>
      <c r="W988" s="99">
        <f>IFERROR(__xludf.DUMMYFUNCTION("""COMPUTED_VALUE"""),0.0)</f>
        <v>0</v>
      </c>
    </row>
    <row r="989">
      <c r="N989" s="98">
        <f>IFERROR(__xludf.DUMMYFUNCTION("""COMPUTED_VALUE"""),44116.0)</f>
        <v>44116</v>
      </c>
      <c r="O989" s="96" t="str">
        <f>IFERROR(__xludf.DUMMYFUNCTION("""COMPUTED_VALUE"""),"DIRECTOR")</f>
        <v>DIRECTOR</v>
      </c>
      <c r="P989" s="96" t="str">
        <f>IFERROR(__xludf.DUMMYFUNCTION("""COMPUTED_VALUE"""),"CASH-IN")</f>
        <v>CASH-IN</v>
      </c>
      <c r="Q989" s="99">
        <f>IFERROR(__xludf.DUMMYFUNCTION("""COMPUTED_VALUE"""),350000.0)</f>
        <v>350000</v>
      </c>
      <c r="R989" s="96"/>
      <c r="S989" s="99">
        <f>IFERROR(__xludf.DUMMYFUNCTION("""COMPUTED_VALUE"""),0.0)</f>
        <v>0</v>
      </c>
      <c r="T989" s="99">
        <f>IFERROR(__xludf.DUMMYFUNCTION("""COMPUTED_VALUE"""),0.0)</f>
        <v>0</v>
      </c>
      <c r="U989" s="99">
        <f>IFERROR(__xludf.DUMMYFUNCTION("""COMPUTED_VALUE"""),0.0)</f>
        <v>0</v>
      </c>
      <c r="V989" s="99">
        <f>IFERROR(__xludf.DUMMYFUNCTION("""COMPUTED_VALUE"""),0.0)</f>
        <v>0</v>
      </c>
      <c r="W989" s="99">
        <f>IFERROR(__xludf.DUMMYFUNCTION("""COMPUTED_VALUE"""),0.0)</f>
        <v>0</v>
      </c>
    </row>
    <row r="990">
      <c r="N990" s="98"/>
      <c r="O990" s="96"/>
      <c r="P990" s="96"/>
      <c r="Q990" s="99"/>
      <c r="R990" s="96"/>
      <c r="S990" s="99"/>
      <c r="T990" s="99"/>
      <c r="U990" s="99"/>
      <c r="V990" s="99"/>
      <c r="W990" s="9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24.25"/>
  </cols>
  <sheetData>
    <row r="1">
      <c r="A1" s="28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>
      <c r="A2" s="28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>
      <c r="A3" s="28" t="s">
        <v>211</v>
      </c>
      <c r="B3" s="80"/>
      <c r="C3" s="28" t="s">
        <v>555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>
      <c r="A4" s="28" t="s">
        <v>201</v>
      </c>
      <c r="B4" s="80"/>
      <c r="C4" s="21" t="s">
        <v>164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>
      <c r="A5" s="28"/>
      <c r="B5" s="80"/>
      <c r="C5" s="80" t="s">
        <v>98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>
      <c r="A6" s="28" t="s">
        <v>205</v>
      </c>
      <c r="B6" s="80"/>
      <c r="C6" s="21" t="s">
        <v>99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>
      <c r="A7" s="28" t="s">
        <v>202</v>
      </c>
      <c r="B7" s="80"/>
      <c r="C7" s="21" t="s">
        <v>46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>
      <c r="A8" s="21" t="s">
        <v>502</v>
      </c>
      <c r="B8" s="80"/>
      <c r="C8" s="21" t="s">
        <v>100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>
      <c r="A9" s="80"/>
      <c r="B9" s="80"/>
      <c r="C9" s="21" t="s">
        <v>101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>
      <c r="A10" s="80"/>
      <c r="B10" s="80"/>
      <c r="C10" s="21" t="s">
        <v>102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>
      <c r="A11" s="80"/>
      <c r="B11" s="80"/>
      <c r="C11" s="21" t="s">
        <v>103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>
      <c r="A12" s="80"/>
      <c r="B12" s="80"/>
      <c r="C12" s="21" t="s">
        <v>104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>
      <c r="A13" s="80"/>
      <c r="B13" s="80"/>
      <c r="C13" s="21" t="s">
        <v>105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>
      <c r="A14" s="80"/>
      <c r="B14" s="80"/>
      <c r="C14" s="21" t="s">
        <v>106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>
      <c r="A15" s="80"/>
      <c r="B15" s="80"/>
      <c r="C15" s="21" t="s">
        <v>107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>
      <c r="A16" s="80"/>
      <c r="B16" s="80"/>
      <c r="C16" s="80" t="s">
        <v>108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>
      <c r="A17" s="80"/>
      <c r="B17" s="80"/>
      <c r="C17" s="21" t="s">
        <v>109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>
      <c r="A18" s="80"/>
      <c r="B18" s="80"/>
      <c r="C18" s="80" t="s">
        <v>110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>
      <c r="A19" s="80"/>
      <c r="B19" s="80"/>
      <c r="C19" s="80" t="s">
        <v>111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>
      <c r="A20" s="80"/>
      <c r="B20" s="80"/>
      <c r="C20" s="80" t="s">
        <v>112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>
      <c r="A21" s="80"/>
      <c r="B21" s="80"/>
      <c r="C21" s="21" t="s">
        <v>113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>
      <c r="A22" s="80"/>
      <c r="B22" s="80"/>
      <c r="C22" s="80" t="s">
        <v>114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>
      <c r="A23" s="80"/>
      <c r="B23" s="80"/>
      <c r="C23" s="80" t="s">
        <v>115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>
      <c r="A24" s="80"/>
      <c r="B24" s="80"/>
      <c r="C24" s="80" t="s">
        <v>116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>
      <c r="A25" s="80"/>
      <c r="B25" s="80"/>
      <c r="C25" s="21" t="s">
        <v>117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>
      <c r="A26" s="80"/>
      <c r="B26" s="80"/>
      <c r="C26" s="21" t="s">
        <v>118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>
      <c r="A27" s="80"/>
      <c r="B27" s="80"/>
      <c r="C27" s="21" t="s">
        <v>119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>
      <c r="A28" s="80"/>
      <c r="B28" s="80"/>
      <c r="C28" s="21" t="s">
        <v>120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>
      <c r="A29" s="80"/>
      <c r="B29" s="80"/>
      <c r="C29" s="21" t="s">
        <v>121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>
      <c r="A30" s="80"/>
      <c r="B30" s="80"/>
      <c r="C30" s="21" t="s">
        <v>122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>
      <c r="A31" s="80"/>
      <c r="B31" s="80"/>
      <c r="C31" s="21" t="s">
        <v>123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>
      <c r="A32" s="80"/>
      <c r="B32" s="80"/>
      <c r="C32" s="21" t="s">
        <v>181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>
      <c r="A33" s="80"/>
      <c r="B33" s="80"/>
      <c r="C33" s="80" t="s">
        <v>158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>
      <c r="A34" s="80"/>
      <c r="B34" s="80"/>
      <c r="C34" s="21" t="s">
        <v>124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>
      <c r="A35" s="80"/>
      <c r="B35" s="80"/>
      <c r="C35" s="21" t="s">
        <v>125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>
      <c r="A36" s="80"/>
      <c r="B36" s="80"/>
      <c r="C36" s="21" t="s">
        <v>126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>
      <c r="A37" s="80"/>
      <c r="B37" s="80"/>
      <c r="C37" s="21" t="s">
        <v>127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>
      <c r="A38" s="80"/>
      <c r="B38" s="80"/>
      <c r="C38" s="21" t="s">
        <v>128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>
      <c r="A39" s="80"/>
      <c r="B39" s="80"/>
      <c r="C39" s="21" t="s">
        <v>129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>
      <c r="A40" s="80"/>
      <c r="B40" s="80"/>
      <c r="C40" s="21" t="s">
        <v>130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>
      <c r="A41" s="80"/>
      <c r="B41" s="80"/>
      <c r="C41" s="21" t="s">
        <v>131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>
      <c r="A42" s="80"/>
      <c r="B42" s="80"/>
      <c r="C42" s="80" t="s">
        <v>132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>
      <c r="A43" s="80"/>
      <c r="B43" s="80"/>
      <c r="C43" s="21" t="s">
        <v>133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>
      <c r="A44" s="80"/>
      <c r="B44" s="80"/>
      <c r="C44" s="21" t="s">
        <v>134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>
      <c r="A45" s="80"/>
      <c r="B45" s="80"/>
      <c r="C45" s="21" t="s">
        <v>135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>
      <c r="A46" s="80"/>
      <c r="B46" s="80"/>
      <c r="C46" s="21" t="s">
        <v>136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>
      <c r="A47" s="80"/>
      <c r="B47" s="80"/>
      <c r="C47" s="28" t="s">
        <v>556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>
      <c r="A48" s="80"/>
      <c r="B48" s="80"/>
      <c r="C48" s="21" t="s">
        <v>137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>
      <c r="A49" s="80"/>
      <c r="B49" s="80"/>
      <c r="C49" s="21" t="s">
        <v>138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>
      <c r="A50" s="80"/>
      <c r="B50" s="80"/>
      <c r="C50" s="21" t="s">
        <v>139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>
      <c r="A51" s="80"/>
      <c r="B51" s="80"/>
      <c r="C51" s="21" t="s">
        <v>140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>
      <c r="A52" s="80"/>
      <c r="B52" s="80"/>
      <c r="C52" s="21" t="s">
        <v>141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>
      <c r="A53" s="80"/>
      <c r="B53" s="80"/>
      <c r="C53" s="21" t="s">
        <v>142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>
      <c r="A54" s="80"/>
      <c r="B54" s="80"/>
      <c r="C54" s="21" t="s">
        <v>143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>
      <c r="A55" s="80"/>
      <c r="B55" s="80"/>
      <c r="C55" s="21" t="s">
        <v>144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>
      <c r="A56" s="80"/>
      <c r="B56" s="80"/>
      <c r="C56" s="21" t="s">
        <v>145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>
      <c r="A57" s="80"/>
      <c r="B57" s="80"/>
      <c r="C57" s="21" t="s">
        <v>146</v>
      </c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>
      <c r="A58" s="80"/>
      <c r="B58" s="80"/>
      <c r="C58" s="21" t="s">
        <v>25</v>
      </c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>
      <c r="A59" s="80"/>
      <c r="B59" s="80"/>
      <c r="C59" s="21" t="s">
        <v>147</v>
      </c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>
      <c r="A60" s="80"/>
      <c r="B60" s="80"/>
      <c r="C60" s="21" t="s">
        <v>148</v>
      </c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>
      <c r="A61" s="80"/>
      <c r="B61" s="80"/>
      <c r="C61" s="21" t="s">
        <v>149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>
      <c r="A62" s="80"/>
      <c r="B62" s="80"/>
      <c r="C62" s="21" t="s">
        <v>216</v>
      </c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>
      <c r="A63" s="80"/>
      <c r="B63" s="80"/>
      <c r="C63" s="21" t="s">
        <v>150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>
      <c r="A64" s="80"/>
      <c r="B64" s="80"/>
      <c r="C64" s="21" t="s">
        <v>151</v>
      </c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>
      <c r="A65" s="80"/>
      <c r="B65" s="80"/>
      <c r="C65" s="21" t="s">
        <v>291</v>
      </c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>
      <c r="A66" s="80"/>
      <c r="B66" s="80"/>
      <c r="C66" s="21" t="s">
        <v>209</v>
      </c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>
      <c r="A67" s="80"/>
      <c r="B67" s="80"/>
      <c r="C67" s="21" t="s">
        <v>152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>
      <c r="A68" s="80"/>
      <c r="B68" s="80"/>
      <c r="C68" s="21" t="s">
        <v>228</v>
      </c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>
      <c r="A69" s="80"/>
      <c r="B69" s="80"/>
      <c r="C69" s="21" t="s">
        <v>220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>
      <c r="A70" s="80"/>
      <c r="B70" s="80"/>
      <c r="C70" s="21" t="s">
        <v>222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>
      <c r="A71" s="80"/>
      <c r="B71" s="80"/>
      <c r="C71" s="21" t="s">
        <v>557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>
      <c r="A72" s="80"/>
      <c r="B72" s="80"/>
      <c r="C72" s="21" t="s">
        <v>153</v>
      </c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>
      <c r="A73" s="80"/>
      <c r="B73" s="80"/>
      <c r="C73" s="21" t="s">
        <v>225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>
      <c r="A74" s="80"/>
      <c r="B74" s="80"/>
      <c r="C74" s="21" t="s">
        <v>155</v>
      </c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>
      <c r="A75" s="80"/>
      <c r="B75" s="80"/>
      <c r="C75" s="21" t="s">
        <v>154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>
      <c r="A76" s="80"/>
      <c r="B76" s="80"/>
      <c r="C76" s="21" t="s">
        <v>155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>
      <c r="A77" s="80"/>
      <c r="B77" s="80"/>
      <c r="C77" s="21" t="s">
        <v>558</v>
      </c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>
      <c r="A78" s="80"/>
      <c r="B78" s="80"/>
      <c r="C78" s="21" t="s">
        <v>263</v>
      </c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>
      <c r="A79" s="80"/>
      <c r="B79" s="80"/>
      <c r="C79" s="21" t="s">
        <v>183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>
      <c r="A80" s="80"/>
      <c r="B80" s="80"/>
      <c r="C80" s="21" t="s">
        <v>156</v>
      </c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>
      <c r="A81" s="80"/>
      <c r="B81" s="80"/>
      <c r="C81" s="21" t="s">
        <v>238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>
      <c r="A82" s="80"/>
      <c r="B82" s="80"/>
      <c r="C82" s="21" t="s">
        <v>296</v>
      </c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>
      <c r="A83" s="80"/>
      <c r="B83" s="80"/>
      <c r="C83" s="21" t="s">
        <v>157</v>
      </c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>
      <c r="A84" s="80"/>
      <c r="B84" s="80"/>
      <c r="C84" s="21" t="s">
        <v>159</v>
      </c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>
      <c r="A85" s="80"/>
      <c r="B85" s="80"/>
      <c r="C85" s="21" t="s">
        <v>160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>
      <c r="A86" s="80"/>
      <c r="B86" s="80"/>
      <c r="C86" s="21" t="s">
        <v>248</v>
      </c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>
      <c r="A87" s="80"/>
      <c r="B87" s="80"/>
      <c r="C87" s="21" t="s">
        <v>250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>
      <c r="A88" s="80"/>
      <c r="B88" s="80"/>
      <c r="C88" s="21" t="s">
        <v>252</v>
      </c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>
      <c r="A89" s="80"/>
      <c r="B89" s="80"/>
      <c r="C89" s="21" t="s">
        <v>559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>
      <c r="A90" s="80"/>
      <c r="B90" s="80"/>
      <c r="C90" s="21" t="s">
        <v>258</v>
      </c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>
      <c r="A91" s="80"/>
      <c r="B91" s="80"/>
      <c r="C91" s="21" t="s">
        <v>161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>
      <c r="A92" s="80"/>
      <c r="B92" s="80"/>
      <c r="C92" s="21" t="s">
        <v>162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>
      <c r="A93" s="80"/>
      <c r="B93" s="80"/>
      <c r="C93" s="21" t="s">
        <v>331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>
      <c r="A94" s="80"/>
      <c r="B94" s="80"/>
      <c r="C94" s="21" t="s">
        <v>315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>
      <c r="A95" s="80"/>
      <c r="B95" s="80"/>
      <c r="C95" s="21" t="s">
        <v>268</v>
      </c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>
      <c r="A96" s="80"/>
      <c r="B96" s="80"/>
      <c r="C96" s="21" t="s">
        <v>163</v>
      </c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>
      <c r="A97" s="80"/>
      <c r="B97" s="80"/>
      <c r="C97" s="21" t="s">
        <v>165</v>
      </c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>
      <c r="A98" s="80"/>
      <c r="B98" s="80"/>
      <c r="C98" s="21" t="s">
        <v>166</v>
      </c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>
      <c r="A99" s="80"/>
      <c r="B99" s="80"/>
      <c r="C99" s="21" t="s">
        <v>276</v>
      </c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>
      <c r="A100" s="80"/>
      <c r="B100" s="80"/>
      <c r="C100" s="21" t="s">
        <v>279</v>
      </c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>
      <c r="A101" s="80"/>
      <c r="B101" s="80"/>
      <c r="C101" s="21" t="s">
        <v>273</v>
      </c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>
      <c r="A102" s="80"/>
      <c r="B102" s="80"/>
      <c r="C102" s="21" t="s">
        <v>281</v>
      </c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>
      <c r="A103" s="80"/>
      <c r="B103" s="80"/>
      <c r="C103" s="21" t="s">
        <v>169</v>
      </c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>
      <c r="A104" s="80"/>
      <c r="B104" s="80"/>
      <c r="C104" s="21" t="s">
        <v>289</v>
      </c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>
      <c r="A105" s="80"/>
      <c r="B105" s="80"/>
      <c r="C105" s="21" t="s">
        <v>514</v>
      </c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>
      <c r="A106" s="80"/>
      <c r="B106" s="80"/>
      <c r="C106" s="21" t="s">
        <v>293</v>
      </c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>
      <c r="A107" s="80"/>
      <c r="B107" s="80"/>
      <c r="C107" s="21" t="s">
        <v>168</v>
      </c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>
      <c r="A108" s="80"/>
      <c r="B108" s="80"/>
      <c r="C108" s="21" t="s">
        <v>167</v>
      </c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>
      <c r="A109" s="80"/>
      <c r="B109" s="80"/>
      <c r="C109" s="21" t="s">
        <v>302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>
      <c r="A110" s="80"/>
      <c r="B110" s="80"/>
      <c r="C110" s="21" t="s">
        <v>560</v>
      </c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>
      <c r="A111" s="80"/>
      <c r="B111" s="80"/>
      <c r="C111" s="21" t="s">
        <v>36</v>
      </c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>
      <c r="A112" s="80"/>
      <c r="B112" s="80"/>
      <c r="C112" s="21" t="s">
        <v>328</v>
      </c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>
      <c r="A113" s="80"/>
      <c r="B113" s="80"/>
      <c r="C113" s="21" t="s">
        <v>329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>
      <c r="A114" s="80"/>
      <c r="B114" s="80"/>
      <c r="C114" s="21" t="s">
        <v>333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>
      <c r="A115" s="80"/>
      <c r="B115" s="80"/>
      <c r="C115" s="21" t="s">
        <v>340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>
      <c r="A116" s="80"/>
      <c r="B116" s="80"/>
      <c r="C116" s="21" t="s">
        <v>170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>
      <c r="A117" s="80"/>
      <c r="B117" s="80"/>
      <c r="C117" s="21" t="s">
        <v>350</v>
      </c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>
      <c r="A118" s="80"/>
      <c r="B118" s="80"/>
      <c r="C118" s="21" t="s">
        <v>356</v>
      </c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>
      <c r="A119" s="80"/>
      <c r="B119" s="80"/>
      <c r="C119" s="21" t="s">
        <v>43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>
      <c r="A120" s="80"/>
      <c r="B120" s="80"/>
      <c r="C120" s="21" t="s">
        <v>367</v>
      </c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>
      <c r="A121" s="80"/>
      <c r="B121" s="80"/>
      <c r="C121" s="21" t="s">
        <v>369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>
      <c r="A122" s="80"/>
      <c r="B122" s="80"/>
      <c r="C122" s="21" t="s">
        <v>370</v>
      </c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>
      <c r="A123" s="80"/>
      <c r="B123" s="80"/>
      <c r="C123" s="21" t="s">
        <v>373</v>
      </c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>
      <c r="A124" s="80"/>
      <c r="B124" s="80"/>
      <c r="C124" s="21" t="s">
        <v>376</v>
      </c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>
      <c r="A125" s="80"/>
      <c r="B125" s="80"/>
      <c r="C125" s="21" t="s">
        <v>378</v>
      </c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>
      <c r="A126" s="80"/>
      <c r="B126" s="80"/>
      <c r="C126" s="21" t="s">
        <v>431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>
      <c r="A127" s="80"/>
      <c r="B127" s="80"/>
      <c r="C127" s="21" t="s">
        <v>561</v>
      </c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>
      <c r="A128" s="80"/>
      <c r="B128" s="80"/>
      <c r="C128" s="21" t="s">
        <v>386</v>
      </c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>
      <c r="A129" s="80"/>
      <c r="B129" s="80"/>
      <c r="C129" s="21" t="s">
        <v>395</v>
      </c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>
      <c r="A130" s="80"/>
      <c r="B130" s="80"/>
      <c r="C130" s="21" t="s">
        <v>396</v>
      </c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>
      <c r="A131" s="80"/>
      <c r="B131" s="80"/>
      <c r="C131" s="21" t="s">
        <v>171</v>
      </c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>
      <c r="A132" s="80"/>
      <c r="B132" s="80"/>
      <c r="C132" s="21" t="s">
        <v>400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>
      <c r="A133" s="80"/>
      <c r="B133" s="80"/>
      <c r="C133" s="21" t="s">
        <v>401</v>
      </c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>
      <c r="A134" s="80"/>
      <c r="B134" s="80"/>
      <c r="C134" s="21" t="s">
        <v>406</v>
      </c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>
      <c r="A135" s="80"/>
      <c r="B135" s="80"/>
      <c r="C135" s="21" t="s">
        <v>172</v>
      </c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>
      <c r="A136" s="80"/>
      <c r="B136" s="80"/>
      <c r="C136" s="21" t="s">
        <v>416</v>
      </c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>
      <c r="A137" s="80"/>
      <c r="B137" s="80"/>
      <c r="C137" s="21" t="s">
        <v>423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>
      <c r="A138" s="80"/>
      <c r="B138" s="80"/>
      <c r="C138" s="21" t="s">
        <v>177</v>
      </c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>
      <c r="A139" s="80"/>
      <c r="B139" s="80"/>
      <c r="C139" s="21" t="s">
        <v>425</v>
      </c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>
      <c r="A140" s="80"/>
      <c r="B140" s="80"/>
      <c r="C140" s="21" t="s">
        <v>173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>
      <c r="A141" s="80"/>
      <c r="B141" s="80"/>
      <c r="C141" s="21" t="s">
        <v>429</v>
      </c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>
      <c r="A142" s="80"/>
      <c r="B142" s="80"/>
      <c r="C142" s="21" t="s">
        <v>439</v>
      </c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>
      <c r="A143" s="80"/>
      <c r="B143" s="80"/>
      <c r="C143" s="21" t="s">
        <v>174</v>
      </c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>
      <c r="A144" s="80"/>
      <c r="B144" s="80"/>
      <c r="C144" s="21" t="s">
        <v>45</v>
      </c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>
      <c r="A145" s="80"/>
      <c r="B145" s="80"/>
      <c r="C145" s="21" t="s">
        <v>175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>
      <c r="A146" s="80"/>
      <c r="B146" s="80"/>
      <c r="C146" s="21" t="s">
        <v>66</v>
      </c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>
      <c r="A147" s="80"/>
      <c r="B147" s="80"/>
      <c r="C147" s="21" t="s">
        <v>176</v>
      </c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>
      <c r="A148" s="80"/>
      <c r="B148" s="80"/>
      <c r="C148" s="21" t="s">
        <v>452</v>
      </c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>
      <c r="A149" s="80"/>
      <c r="B149" s="80"/>
      <c r="C149" s="21" t="s">
        <v>454</v>
      </c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>
      <c r="A150" s="80"/>
      <c r="B150" s="80"/>
      <c r="C150" s="21" t="s">
        <v>456</v>
      </c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>
      <c r="A151" s="80"/>
      <c r="B151" s="80"/>
      <c r="C151" s="21" t="s">
        <v>458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>
      <c r="A152" s="80"/>
      <c r="B152" s="80"/>
      <c r="C152" s="21" t="s">
        <v>178</v>
      </c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>
      <c r="A153" s="80"/>
      <c r="B153" s="80"/>
      <c r="C153" s="21" t="s">
        <v>58</v>
      </c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>
      <c r="A154" s="80"/>
      <c r="B154" s="80"/>
      <c r="C154" s="21" t="s">
        <v>271</v>
      </c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>
      <c r="A155" s="80"/>
      <c r="B155" s="80"/>
      <c r="C155" s="21" t="s">
        <v>466</v>
      </c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>
      <c r="A156" s="80"/>
      <c r="B156" s="80"/>
      <c r="C156" s="21" t="s">
        <v>467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>
      <c r="A157" s="80"/>
      <c r="B157" s="80"/>
      <c r="C157" s="21" t="s">
        <v>468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>
      <c r="A158" s="80"/>
      <c r="B158" s="80"/>
      <c r="C158" s="21" t="s">
        <v>475</v>
      </c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>
      <c r="A159" s="80"/>
      <c r="B159" s="80"/>
      <c r="C159" s="21" t="s">
        <v>478</v>
      </c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>
      <c r="A160" s="80"/>
      <c r="B160" s="80"/>
      <c r="C160" s="21" t="s">
        <v>479</v>
      </c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>
      <c r="A161" s="80"/>
      <c r="B161" s="80"/>
      <c r="C161" s="21" t="s">
        <v>497</v>
      </c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>
      <c r="A162" s="80"/>
      <c r="B162" s="80"/>
      <c r="C162" s="21" t="s">
        <v>500</v>
      </c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>
      <c r="A163" s="80"/>
      <c r="B163" s="80"/>
      <c r="C163" s="21" t="s">
        <v>179</v>
      </c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>
      <c r="A164" s="80"/>
      <c r="B164" s="80"/>
      <c r="C164" s="21" t="s">
        <v>180</v>
      </c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>
      <c r="A165" s="80"/>
      <c r="B165" s="80"/>
      <c r="C165" s="21" t="s">
        <v>511</v>
      </c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>
      <c r="A166" s="80"/>
      <c r="B166" s="80"/>
      <c r="C166" s="21" t="s">
        <v>512</v>
      </c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>
      <c r="A167" s="80"/>
      <c r="B167" s="80"/>
      <c r="C167" s="21" t="s">
        <v>516</v>
      </c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>
      <c r="A168" s="80"/>
      <c r="B168" s="80"/>
      <c r="C168" s="21" t="s">
        <v>519</v>
      </c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>
      <c r="A169" s="80"/>
      <c r="B169" s="80"/>
      <c r="C169" s="21" t="s">
        <v>522</v>
      </c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>
      <c r="A170" s="80"/>
      <c r="B170" s="80"/>
      <c r="C170" s="21" t="s">
        <v>562</v>
      </c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>
      <c r="A171" s="80"/>
      <c r="B171" s="80"/>
      <c r="C171" s="21" t="s">
        <v>182</v>
      </c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>
      <c r="A172" s="80"/>
      <c r="B172" s="80"/>
      <c r="C172" s="21" t="s">
        <v>525</v>
      </c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>
      <c r="A173" s="80"/>
      <c r="B173" s="80"/>
      <c r="C173" s="21" t="s">
        <v>528</v>
      </c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>
      <c r="A174" s="80"/>
      <c r="B174" s="80"/>
      <c r="C174" s="21" t="s">
        <v>529</v>
      </c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>
      <c r="A175" s="80"/>
      <c r="B175" s="80"/>
      <c r="C175" s="21" t="s">
        <v>74</v>
      </c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>
      <c r="A176" s="80"/>
      <c r="B176" s="80"/>
      <c r="C176" s="21" t="s">
        <v>530</v>
      </c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>
      <c r="A177" s="80"/>
      <c r="B177" s="80"/>
      <c r="C177" s="21" t="s">
        <v>184</v>
      </c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>
      <c r="A178" s="80"/>
      <c r="B178" s="80"/>
      <c r="C178" s="21" t="s">
        <v>185</v>
      </c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>
      <c r="A179" s="80"/>
      <c r="B179" s="80"/>
      <c r="C179" s="21" t="s">
        <v>186</v>
      </c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>
      <c r="A180" s="80"/>
      <c r="B180" s="80"/>
      <c r="C180" s="21" t="s">
        <v>535</v>
      </c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>
      <c r="A181" s="80"/>
      <c r="B181" s="80"/>
      <c r="C181" s="21" t="s">
        <v>542</v>
      </c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2" max="2" width="24.75"/>
    <col customWidth="1" min="3" max="3" width="22.88"/>
    <col customWidth="1" min="4" max="4" width="12.5"/>
    <col customWidth="1" min="5" max="5" width="15.38"/>
    <col customWidth="1" hidden="1" min="6" max="10" width="15.38"/>
  </cols>
  <sheetData>
    <row r="1" ht="22.5" customHeight="1">
      <c r="A1" s="179"/>
      <c r="F1" s="180"/>
      <c r="G1" s="180"/>
      <c r="H1" s="180"/>
      <c r="I1" s="180"/>
      <c r="J1" s="180"/>
    </row>
    <row r="2" ht="25.5" customHeight="1">
      <c r="A2" s="181" t="s">
        <v>563</v>
      </c>
      <c r="D2" s="182" t="s">
        <v>82</v>
      </c>
      <c r="E2" s="183">
        <f>Finance!G1</f>
        <v>44116</v>
      </c>
      <c r="F2" s="2"/>
      <c r="G2" s="2"/>
      <c r="H2" s="2"/>
      <c r="I2" s="2"/>
      <c r="J2" s="2"/>
    </row>
    <row r="3" ht="3.0" customHeight="1">
      <c r="A3" s="5"/>
      <c r="B3" s="138"/>
      <c r="C3" s="2"/>
      <c r="D3" s="184"/>
      <c r="E3" s="2"/>
      <c r="F3" s="2"/>
      <c r="G3" s="2"/>
      <c r="H3" s="2"/>
      <c r="I3" s="2"/>
      <c r="J3" s="2"/>
    </row>
    <row r="4">
      <c r="A4" s="185"/>
      <c r="B4" s="186"/>
      <c r="C4" s="187"/>
      <c r="D4" s="188"/>
      <c r="E4" s="186"/>
      <c r="F4" s="186"/>
      <c r="G4" s="186"/>
      <c r="H4" s="186"/>
      <c r="I4" s="186"/>
      <c r="J4" s="186"/>
    </row>
    <row r="5">
      <c r="A5" s="189" t="s">
        <v>190</v>
      </c>
      <c r="B5" s="190" t="s">
        <v>191</v>
      </c>
      <c r="C5" s="190" t="s">
        <v>192</v>
      </c>
      <c r="D5" s="191" t="s">
        <v>193</v>
      </c>
      <c r="E5" s="190" t="s">
        <v>194</v>
      </c>
      <c r="F5" s="192"/>
      <c r="G5" s="192"/>
      <c r="H5" s="192"/>
      <c r="I5" s="192"/>
      <c r="J5" s="192" t="s">
        <v>564</v>
      </c>
    </row>
    <row r="6">
      <c r="A6" s="193">
        <v>44281.0</v>
      </c>
      <c r="B6" s="194" t="s">
        <v>98</v>
      </c>
      <c r="C6" s="194"/>
      <c r="D6" s="195"/>
      <c r="E6" s="196" t="s">
        <v>211</v>
      </c>
      <c r="F6" s="197">
        <f t="shared" ref="F6:F9" si="1">IF(B6="","",if(E6="Advance",D6,0))</f>
        <v>0</v>
      </c>
      <c r="G6" s="197">
        <f>IF(B6="","",IFERROR(IFS(E6=lists!$A$6,$D6),0))</f>
        <v>0</v>
      </c>
      <c r="H6" s="197">
        <f t="shared" ref="H6:H9" si="2">IF(B6="","",if(E6="From Bank",D6,0))</f>
        <v>0</v>
      </c>
      <c r="I6" s="198" t="str">
        <f t="shared" ref="I6:I9" si="3">IF(B6="","",if(E6="Petty Cash",D6,0))</f>
        <v/>
      </c>
      <c r="J6" s="197">
        <f t="shared" ref="J6:J9" si="4">IF(B6="","",if(E6="Cashier Refund",D6,0))</f>
        <v>0</v>
      </c>
    </row>
    <row r="7">
      <c r="A7" s="193"/>
      <c r="B7" s="194"/>
      <c r="C7" s="194"/>
      <c r="D7" s="195"/>
      <c r="E7" s="196"/>
      <c r="F7" s="197" t="str">
        <f t="shared" si="1"/>
        <v/>
      </c>
      <c r="G7" s="197" t="str">
        <f>IF(B7="","",IFERROR(IFS(E7=lists!$A$6,$D7),0))</f>
        <v/>
      </c>
      <c r="H7" s="197" t="str">
        <f t="shared" si="2"/>
        <v/>
      </c>
      <c r="I7" s="197" t="str">
        <f t="shared" si="3"/>
        <v/>
      </c>
      <c r="J7" s="197" t="str">
        <f t="shared" si="4"/>
        <v/>
      </c>
    </row>
    <row r="8">
      <c r="A8" s="193"/>
      <c r="B8" s="194"/>
      <c r="C8" s="194"/>
      <c r="D8" s="195"/>
      <c r="E8" s="196"/>
      <c r="F8" s="197" t="str">
        <f t="shared" si="1"/>
        <v/>
      </c>
      <c r="G8" s="197" t="str">
        <f>IF(B8="","",IFERROR(IFS(E8=lists!$A$6,$D8),0))</f>
        <v/>
      </c>
      <c r="H8" s="197" t="str">
        <f t="shared" si="2"/>
        <v/>
      </c>
      <c r="I8" s="197" t="str">
        <f t="shared" si="3"/>
        <v/>
      </c>
      <c r="J8" s="197" t="str">
        <f t="shared" si="4"/>
        <v/>
      </c>
    </row>
    <row r="9">
      <c r="A9" s="193"/>
      <c r="B9" s="194"/>
      <c r="C9" s="194"/>
      <c r="D9" s="195"/>
      <c r="E9" s="196"/>
      <c r="F9" s="197" t="str">
        <f t="shared" si="1"/>
        <v/>
      </c>
      <c r="G9" s="197" t="str">
        <f>IF(B9="","",IFERROR(IFS(E9=lists!$A$6,$D9),0))</f>
        <v/>
      </c>
      <c r="H9" s="197" t="str">
        <f t="shared" si="2"/>
        <v/>
      </c>
      <c r="I9" s="197" t="str">
        <f t="shared" si="3"/>
        <v/>
      </c>
      <c r="J9" s="197" t="str">
        <f t="shared" si="4"/>
        <v/>
      </c>
    </row>
    <row r="10">
      <c r="A10" s="193"/>
      <c r="B10" s="194"/>
      <c r="C10" s="194"/>
      <c r="D10" s="195"/>
      <c r="E10" s="196"/>
      <c r="F10" s="197"/>
      <c r="G10" s="197"/>
      <c r="H10" s="197"/>
      <c r="I10" s="197"/>
      <c r="J10" s="197"/>
    </row>
    <row r="11">
      <c r="A11" s="193"/>
      <c r="B11" s="194"/>
      <c r="C11" s="194"/>
      <c r="D11" s="195"/>
      <c r="E11" s="196"/>
      <c r="F11" s="197"/>
      <c r="G11" s="197"/>
      <c r="H11" s="197"/>
      <c r="I11" s="197"/>
      <c r="J11" s="197"/>
    </row>
    <row r="12">
      <c r="A12" s="193"/>
      <c r="B12" s="194"/>
      <c r="C12" s="194"/>
      <c r="D12" s="195"/>
      <c r="E12" s="196"/>
      <c r="F12" s="197"/>
      <c r="G12" s="197"/>
      <c r="H12" s="197"/>
      <c r="I12" s="197"/>
      <c r="J12" s="197"/>
    </row>
    <row r="13">
      <c r="A13" s="193"/>
      <c r="B13" s="194"/>
      <c r="C13" s="194"/>
      <c r="D13" s="195"/>
      <c r="E13" s="196"/>
      <c r="F13" s="197"/>
      <c r="G13" s="197"/>
      <c r="H13" s="197"/>
      <c r="I13" s="197"/>
      <c r="J13" s="197"/>
    </row>
    <row r="14">
      <c r="A14" s="193"/>
      <c r="B14" s="194"/>
      <c r="C14" s="194"/>
      <c r="D14" s="195"/>
      <c r="E14" s="196"/>
      <c r="F14" s="197"/>
      <c r="G14" s="197"/>
      <c r="H14" s="197"/>
      <c r="I14" s="197"/>
      <c r="J14" s="197"/>
    </row>
    <row r="15">
      <c r="A15" s="193"/>
      <c r="B15" s="194"/>
      <c r="C15" s="194"/>
      <c r="D15" s="195"/>
      <c r="E15" s="196"/>
      <c r="F15" s="197"/>
      <c r="G15" s="197"/>
      <c r="H15" s="197"/>
      <c r="I15" s="197"/>
      <c r="J15" s="197"/>
    </row>
    <row r="16">
      <c r="A16" s="193"/>
      <c r="B16" s="194"/>
      <c r="C16" s="194"/>
      <c r="D16" s="195"/>
      <c r="E16" s="196"/>
      <c r="F16" s="197"/>
      <c r="G16" s="197"/>
      <c r="H16" s="197"/>
      <c r="I16" s="197"/>
      <c r="J16" s="197"/>
    </row>
    <row r="17">
      <c r="A17" s="193"/>
      <c r="B17" s="194"/>
      <c r="C17" s="194"/>
      <c r="D17" s="195"/>
      <c r="E17" s="196"/>
      <c r="F17" s="197"/>
      <c r="G17" s="197"/>
      <c r="H17" s="197"/>
      <c r="I17" s="197"/>
      <c r="J17" s="197"/>
    </row>
    <row r="18">
      <c r="A18" s="193"/>
      <c r="B18" s="194"/>
      <c r="C18" s="194"/>
      <c r="D18" s="195"/>
      <c r="E18" s="196"/>
      <c r="F18" s="197"/>
      <c r="G18" s="197"/>
      <c r="H18" s="197"/>
      <c r="I18" s="197"/>
      <c r="J18" s="197"/>
    </row>
    <row r="19">
      <c r="A19" s="193"/>
      <c r="B19" s="194"/>
      <c r="C19" s="194"/>
      <c r="D19" s="195"/>
      <c r="E19" s="196"/>
      <c r="F19" s="197"/>
      <c r="G19" s="197"/>
      <c r="H19" s="197"/>
      <c r="I19" s="197"/>
      <c r="J19" s="197"/>
    </row>
    <row r="20">
      <c r="A20" s="193"/>
      <c r="B20" s="194"/>
      <c r="C20" s="194"/>
      <c r="D20" s="195"/>
      <c r="E20" s="196"/>
      <c r="F20" s="197"/>
      <c r="G20" s="197"/>
      <c r="H20" s="197"/>
      <c r="I20" s="197"/>
      <c r="J20" s="197"/>
    </row>
    <row r="21">
      <c r="A21" s="193"/>
      <c r="B21" s="194"/>
      <c r="C21" s="194"/>
      <c r="D21" s="195"/>
      <c r="E21" s="196"/>
      <c r="F21" s="197"/>
      <c r="G21" s="197"/>
      <c r="H21" s="197"/>
      <c r="I21" s="197"/>
      <c r="J21" s="197"/>
    </row>
    <row r="22">
      <c r="A22" s="193"/>
      <c r="B22" s="194"/>
      <c r="C22" s="194"/>
      <c r="D22" s="195"/>
      <c r="E22" s="196"/>
      <c r="F22" s="197"/>
      <c r="G22" s="197"/>
      <c r="H22" s="197"/>
      <c r="I22" s="197"/>
      <c r="J22" s="197"/>
    </row>
    <row r="23">
      <c r="A23" s="193"/>
      <c r="B23" s="194"/>
      <c r="C23" s="194"/>
      <c r="D23" s="195"/>
      <c r="E23" s="196"/>
      <c r="F23" s="197"/>
      <c r="G23" s="197"/>
      <c r="H23" s="197"/>
      <c r="I23" s="197"/>
      <c r="J23" s="197"/>
    </row>
    <row r="24">
      <c r="A24" s="193"/>
      <c r="B24" s="194"/>
      <c r="C24" s="194"/>
      <c r="D24" s="195"/>
      <c r="E24" s="196"/>
      <c r="F24" s="197"/>
      <c r="G24" s="197"/>
      <c r="H24" s="197"/>
      <c r="I24" s="197"/>
      <c r="J24" s="197"/>
    </row>
    <row r="25">
      <c r="A25" s="193"/>
      <c r="B25" s="194"/>
      <c r="C25" s="194"/>
      <c r="D25" s="195"/>
      <c r="E25" s="196"/>
      <c r="F25" s="197"/>
      <c r="G25" s="197"/>
      <c r="H25" s="197"/>
      <c r="I25" s="197"/>
      <c r="J25" s="197"/>
    </row>
    <row r="26">
      <c r="A26" s="193"/>
      <c r="B26" s="194"/>
      <c r="C26" s="194"/>
      <c r="D26" s="195"/>
      <c r="E26" s="196"/>
      <c r="F26" s="197"/>
      <c r="G26" s="197"/>
      <c r="H26" s="197"/>
      <c r="I26" s="197"/>
      <c r="J26" s="197"/>
    </row>
    <row r="27">
      <c r="A27" s="193"/>
      <c r="B27" s="194"/>
      <c r="C27" s="194"/>
      <c r="D27" s="195"/>
      <c r="E27" s="196"/>
      <c r="F27" s="197"/>
      <c r="G27" s="197"/>
      <c r="H27" s="197"/>
      <c r="I27" s="197"/>
      <c r="J27" s="197"/>
    </row>
    <row r="28">
      <c r="A28" s="193"/>
      <c r="B28" s="194"/>
      <c r="C28" s="194"/>
      <c r="D28" s="195"/>
      <c r="E28" s="196"/>
      <c r="F28" s="197"/>
      <c r="G28" s="197"/>
      <c r="H28" s="197"/>
      <c r="I28" s="197"/>
      <c r="J28" s="197"/>
    </row>
    <row r="29">
      <c r="A29" s="193"/>
      <c r="B29" s="194"/>
      <c r="C29" s="194"/>
      <c r="D29" s="195"/>
      <c r="E29" s="196"/>
      <c r="F29" s="197"/>
      <c r="G29" s="197"/>
      <c r="H29" s="197"/>
      <c r="I29" s="197"/>
      <c r="J29" s="197"/>
    </row>
    <row r="30">
      <c r="A30" s="193"/>
      <c r="B30" s="194"/>
      <c r="C30" s="194"/>
      <c r="D30" s="195"/>
      <c r="E30" s="196"/>
      <c r="F30" s="197"/>
      <c r="G30" s="197"/>
      <c r="H30" s="197"/>
      <c r="I30" s="197"/>
      <c r="J30" s="197"/>
    </row>
    <row r="31">
      <c r="A31" s="193"/>
      <c r="B31" s="194"/>
      <c r="C31" s="194"/>
      <c r="D31" s="195"/>
      <c r="E31" s="196"/>
      <c r="F31" s="197"/>
      <c r="G31" s="197"/>
      <c r="H31" s="197"/>
      <c r="I31" s="197"/>
      <c r="J31" s="197"/>
    </row>
    <row r="32">
      <c r="A32" s="193"/>
      <c r="B32" s="194"/>
      <c r="C32" s="194"/>
      <c r="D32" s="195"/>
      <c r="E32" s="196"/>
      <c r="F32" s="197"/>
      <c r="G32" s="197"/>
      <c r="H32" s="197"/>
      <c r="I32" s="197"/>
      <c r="J32" s="197"/>
    </row>
    <row r="33">
      <c r="A33" s="193"/>
      <c r="B33" s="194"/>
      <c r="C33" s="194"/>
      <c r="D33" s="195"/>
      <c r="E33" s="196"/>
      <c r="F33" s="197"/>
      <c r="G33" s="197"/>
      <c r="H33" s="197"/>
      <c r="I33" s="197"/>
      <c r="J33" s="197"/>
    </row>
    <row r="34">
      <c r="A34" s="193"/>
      <c r="B34" s="194"/>
      <c r="C34" s="194"/>
      <c r="D34" s="195"/>
      <c r="E34" s="196"/>
      <c r="F34" s="197"/>
      <c r="G34" s="197"/>
      <c r="H34" s="197"/>
      <c r="I34" s="197"/>
      <c r="J34" s="197"/>
    </row>
    <row r="35">
      <c r="A35" s="193"/>
      <c r="B35" s="194"/>
      <c r="C35" s="194"/>
      <c r="D35" s="195"/>
      <c r="E35" s="196"/>
      <c r="F35" s="197"/>
      <c r="G35" s="197"/>
      <c r="H35" s="197"/>
      <c r="I35" s="197"/>
      <c r="J35" s="197"/>
    </row>
    <row r="36">
      <c r="A36" s="193"/>
      <c r="B36" s="194"/>
      <c r="C36" s="194"/>
      <c r="D36" s="195"/>
      <c r="E36" s="196"/>
      <c r="F36" s="197"/>
      <c r="G36" s="197"/>
      <c r="H36" s="197"/>
      <c r="I36" s="197"/>
      <c r="J36" s="197"/>
    </row>
    <row r="37">
      <c r="A37" s="193"/>
      <c r="B37" s="194"/>
      <c r="C37" s="194"/>
      <c r="D37" s="195"/>
      <c r="E37" s="196"/>
      <c r="F37" s="197"/>
      <c r="G37" s="197"/>
      <c r="H37" s="197"/>
      <c r="I37" s="197"/>
      <c r="J37" s="197"/>
    </row>
    <row r="38">
      <c r="A38" s="193"/>
      <c r="B38" s="194"/>
      <c r="C38" s="194"/>
      <c r="D38" s="195"/>
      <c r="E38" s="196"/>
      <c r="F38" s="197"/>
      <c r="G38" s="197"/>
      <c r="H38" s="197"/>
      <c r="I38" s="197"/>
      <c r="J38" s="197"/>
    </row>
    <row r="39">
      <c r="A39" s="193"/>
      <c r="B39" s="194"/>
      <c r="C39" s="194"/>
      <c r="D39" s="195"/>
      <c r="E39" s="196"/>
      <c r="F39" s="197"/>
      <c r="G39" s="197"/>
      <c r="H39" s="197"/>
      <c r="I39" s="197"/>
      <c r="J39" s="197"/>
    </row>
    <row r="40">
      <c r="A40" s="193"/>
      <c r="B40" s="194"/>
      <c r="C40" s="194"/>
      <c r="D40" s="195"/>
      <c r="E40" s="196"/>
      <c r="F40" s="197"/>
      <c r="G40" s="197"/>
      <c r="H40" s="197"/>
      <c r="I40" s="197"/>
      <c r="J40" s="197"/>
    </row>
    <row r="41">
      <c r="A41" s="193"/>
      <c r="B41" s="194"/>
      <c r="C41" s="194"/>
      <c r="D41" s="195"/>
      <c r="E41" s="196"/>
      <c r="F41" s="197"/>
      <c r="G41" s="197"/>
      <c r="H41" s="197"/>
      <c r="I41" s="197"/>
      <c r="J41" s="197"/>
    </row>
    <row r="42">
      <c r="A42" s="193"/>
      <c r="B42" s="194"/>
      <c r="C42" s="194"/>
      <c r="D42" s="195"/>
      <c r="E42" s="196"/>
      <c r="F42" s="197"/>
      <c r="G42" s="197"/>
      <c r="H42" s="197"/>
      <c r="I42" s="197"/>
      <c r="J42" s="197"/>
    </row>
    <row r="43">
      <c r="A43" s="193"/>
      <c r="B43" s="194"/>
      <c r="C43" s="194"/>
      <c r="D43" s="195"/>
      <c r="E43" s="196"/>
      <c r="F43" s="197"/>
      <c r="G43" s="197"/>
      <c r="H43" s="197"/>
      <c r="I43" s="197"/>
      <c r="J43" s="197"/>
    </row>
    <row r="44">
      <c r="A44" s="193"/>
      <c r="B44" s="194"/>
      <c r="C44" s="194"/>
      <c r="D44" s="195"/>
      <c r="E44" s="196"/>
      <c r="F44" s="197"/>
      <c r="G44" s="197"/>
      <c r="H44" s="197"/>
      <c r="I44" s="197"/>
      <c r="J44" s="197"/>
    </row>
    <row r="45">
      <c r="A45" s="193"/>
      <c r="B45" s="194"/>
      <c r="C45" s="194"/>
      <c r="D45" s="195"/>
      <c r="E45" s="196"/>
      <c r="F45" s="197"/>
      <c r="G45" s="197"/>
      <c r="H45" s="197"/>
      <c r="I45" s="197"/>
      <c r="J45" s="197"/>
    </row>
    <row r="46">
      <c r="A46" s="193"/>
      <c r="B46" s="194"/>
      <c r="C46" s="194"/>
      <c r="D46" s="195"/>
      <c r="E46" s="196"/>
      <c r="F46" s="197"/>
      <c r="G46" s="197"/>
      <c r="H46" s="197"/>
      <c r="I46" s="197"/>
      <c r="J46" s="197"/>
    </row>
    <row r="47">
      <c r="A47" s="193"/>
      <c r="B47" s="194"/>
      <c r="C47" s="194"/>
      <c r="D47" s="195"/>
      <c r="E47" s="196"/>
      <c r="F47" s="197"/>
      <c r="G47" s="197"/>
      <c r="H47" s="197"/>
      <c r="I47" s="197"/>
      <c r="J47" s="197"/>
    </row>
    <row r="48">
      <c r="A48" s="193"/>
      <c r="B48" s="194"/>
      <c r="C48" s="194"/>
      <c r="D48" s="195"/>
      <c r="E48" s="196"/>
      <c r="F48" s="197"/>
      <c r="G48" s="197"/>
      <c r="H48" s="197"/>
      <c r="I48" s="197"/>
      <c r="J48" s="197"/>
    </row>
    <row r="49">
      <c r="A49" s="193"/>
      <c r="B49" s="194"/>
      <c r="C49" s="194"/>
      <c r="D49" s="195"/>
      <c r="E49" s="196"/>
      <c r="F49" s="197"/>
      <c r="G49" s="197"/>
      <c r="H49" s="197"/>
      <c r="I49" s="197"/>
      <c r="J49" s="197"/>
    </row>
    <row r="50">
      <c r="A50" s="193"/>
      <c r="B50" s="194"/>
      <c r="C50" s="194"/>
      <c r="D50" s="195"/>
      <c r="E50" s="196"/>
      <c r="F50" s="197"/>
      <c r="G50" s="197"/>
      <c r="H50" s="197"/>
      <c r="I50" s="197"/>
      <c r="J50" s="197"/>
    </row>
    <row r="51">
      <c r="A51" s="193"/>
      <c r="B51" s="194"/>
      <c r="C51" s="194"/>
      <c r="D51" s="195"/>
      <c r="E51" s="196"/>
      <c r="F51" s="197"/>
      <c r="G51" s="197"/>
      <c r="H51" s="197"/>
      <c r="I51" s="197"/>
      <c r="J51" s="197"/>
    </row>
    <row r="52">
      <c r="A52" s="193"/>
      <c r="B52" s="194"/>
      <c r="C52" s="194"/>
      <c r="D52" s="195"/>
      <c r="E52" s="196"/>
      <c r="F52" s="197"/>
      <c r="G52" s="197"/>
      <c r="H52" s="197"/>
      <c r="I52" s="197"/>
      <c r="J52" s="197"/>
    </row>
    <row r="53">
      <c r="A53" s="193"/>
      <c r="B53" s="194"/>
      <c r="C53" s="194"/>
      <c r="D53" s="195"/>
      <c r="E53" s="196"/>
      <c r="F53" s="197"/>
      <c r="G53" s="197"/>
      <c r="H53" s="197"/>
      <c r="I53" s="197"/>
      <c r="J53" s="197"/>
    </row>
    <row r="54">
      <c r="A54" s="193"/>
      <c r="B54" s="194"/>
      <c r="C54" s="194"/>
      <c r="D54" s="195"/>
      <c r="E54" s="196"/>
      <c r="F54" s="197"/>
      <c r="G54" s="197"/>
      <c r="H54" s="197"/>
      <c r="I54" s="197"/>
      <c r="J54" s="197"/>
    </row>
    <row r="55">
      <c r="A55" s="193"/>
      <c r="B55" s="194"/>
      <c r="C55" s="194"/>
      <c r="D55" s="195"/>
      <c r="E55" s="196"/>
      <c r="F55" s="197"/>
      <c r="G55" s="197"/>
      <c r="H55" s="197"/>
      <c r="I55" s="197"/>
      <c r="J55" s="197"/>
    </row>
    <row r="56">
      <c r="A56" s="193"/>
      <c r="B56" s="194"/>
      <c r="C56" s="194"/>
      <c r="D56" s="195"/>
      <c r="E56" s="196"/>
      <c r="F56" s="197"/>
      <c r="G56" s="197"/>
      <c r="H56" s="197"/>
      <c r="I56" s="197"/>
      <c r="J56" s="197"/>
    </row>
    <row r="57">
      <c r="A57" s="193"/>
      <c r="B57" s="194"/>
      <c r="C57" s="194"/>
      <c r="D57" s="195"/>
      <c r="E57" s="196"/>
      <c r="F57" s="197"/>
      <c r="G57" s="197"/>
      <c r="H57" s="197"/>
      <c r="I57" s="197"/>
      <c r="J57" s="197"/>
    </row>
    <row r="58">
      <c r="A58" s="193"/>
      <c r="B58" s="194"/>
      <c r="C58" s="194"/>
      <c r="D58" s="195"/>
      <c r="E58" s="196"/>
      <c r="F58" s="197"/>
      <c r="G58" s="197"/>
      <c r="H58" s="197"/>
      <c r="I58" s="197"/>
      <c r="J58" s="197"/>
    </row>
    <row r="59">
      <c r="A59" s="193"/>
      <c r="B59" s="194"/>
      <c r="C59" s="194"/>
      <c r="D59" s="195"/>
      <c r="E59" s="196"/>
      <c r="F59" s="197"/>
      <c r="G59" s="197"/>
      <c r="H59" s="197"/>
      <c r="I59" s="197"/>
      <c r="J59" s="197"/>
    </row>
    <row r="60">
      <c r="A60" s="193"/>
      <c r="B60" s="194"/>
      <c r="C60" s="194"/>
      <c r="D60" s="195"/>
      <c r="E60" s="196"/>
      <c r="F60" s="197"/>
      <c r="G60" s="197"/>
      <c r="H60" s="197"/>
      <c r="I60" s="197"/>
      <c r="J60" s="197"/>
    </row>
    <row r="61">
      <c r="A61" s="193"/>
      <c r="B61" s="194"/>
      <c r="C61" s="194"/>
      <c r="D61" s="195"/>
      <c r="E61" s="196"/>
      <c r="F61" s="197"/>
      <c r="G61" s="197"/>
      <c r="H61" s="197"/>
      <c r="I61" s="197"/>
      <c r="J61" s="197"/>
    </row>
    <row r="62">
      <c r="A62" s="193"/>
      <c r="B62" s="194"/>
      <c r="C62" s="194"/>
      <c r="D62" s="195"/>
      <c r="E62" s="196"/>
      <c r="F62" s="197"/>
      <c r="G62" s="197"/>
      <c r="H62" s="197"/>
      <c r="I62" s="197"/>
      <c r="J62" s="197"/>
    </row>
    <row r="63">
      <c r="A63" s="193"/>
      <c r="B63" s="194"/>
      <c r="C63" s="194"/>
      <c r="D63" s="195"/>
      <c r="E63" s="196"/>
      <c r="F63" s="197"/>
      <c r="G63" s="197"/>
      <c r="H63" s="197"/>
      <c r="I63" s="197"/>
      <c r="J63" s="197"/>
    </row>
    <row r="64">
      <c r="A64" s="193"/>
      <c r="B64" s="194"/>
      <c r="C64" s="194"/>
      <c r="D64" s="195"/>
      <c r="E64" s="196"/>
      <c r="F64" s="197"/>
      <c r="G64" s="197"/>
      <c r="H64" s="197"/>
      <c r="I64" s="197"/>
      <c r="J64" s="197"/>
    </row>
    <row r="65">
      <c r="A65" s="193"/>
      <c r="B65" s="194"/>
      <c r="C65" s="194"/>
      <c r="D65" s="195"/>
      <c r="E65" s="196"/>
      <c r="F65" s="197"/>
      <c r="G65" s="197"/>
      <c r="H65" s="197"/>
      <c r="I65" s="197"/>
      <c r="J65" s="197"/>
    </row>
    <row r="66">
      <c r="A66" s="193"/>
      <c r="B66" s="194"/>
      <c r="C66" s="194"/>
      <c r="D66" s="195"/>
      <c r="E66" s="196"/>
      <c r="F66" s="197"/>
      <c r="G66" s="197"/>
      <c r="H66" s="197"/>
      <c r="I66" s="197"/>
      <c r="J66" s="197"/>
    </row>
    <row r="67">
      <c r="A67" s="193"/>
      <c r="B67" s="194"/>
      <c r="C67" s="194"/>
      <c r="D67" s="195"/>
      <c r="E67" s="196"/>
      <c r="F67" s="197"/>
      <c r="G67" s="197"/>
      <c r="H67" s="197"/>
      <c r="I67" s="197"/>
      <c r="J67" s="197"/>
    </row>
    <row r="68">
      <c r="A68" s="193"/>
      <c r="B68" s="194"/>
      <c r="C68" s="194"/>
      <c r="D68" s="195"/>
      <c r="E68" s="196"/>
      <c r="F68" s="197"/>
      <c r="G68" s="197"/>
      <c r="H68" s="197"/>
      <c r="I68" s="197"/>
      <c r="J68" s="197"/>
    </row>
    <row r="69">
      <c r="A69" s="193"/>
      <c r="B69" s="194"/>
      <c r="C69" s="194"/>
      <c r="D69" s="195"/>
      <c r="E69" s="196"/>
      <c r="F69" s="197"/>
      <c r="G69" s="197"/>
      <c r="H69" s="197"/>
      <c r="I69" s="197"/>
      <c r="J69" s="197"/>
    </row>
    <row r="70">
      <c r="A70" s="193"/>
      <c r="B70" s="194"/>
      <c r="C70" s="194"/>
      <c r="D70" s="195"/>
      <c r="E70" s="196"/>
      <c r="F70" s="197"/>
      <c r="G70" s="197"/>
      <c r="H70" s="197"/>
      <c r="I70" s="197"/>
      <c r="J70" s="197"/>
    </row>
    <row r="71">
      <c r="A71" s="193"/>
      <c r="B71" s="194"/>
      <c r="C71" s="194"/>
      <c r="D71" s="195"/>
      <c r="E71" s="196"/>
      <c r="F71" s="197"/>
      <c r="G71" s="197"/>
      <c r="H71" s="197"/>
      <c r="I71" s="197"/>
      <c r="J71" s="197"/>
    </row>
    <row r="72">
      <c r="A72" s="193"/>
      <c r="B72" s="194"/>
      <c r="C72" s="194"/>
      <c r="D72" s="195"/>
      <c r="E72" s="196"/>
      <c r="F72" s="197"/>
      <c r="G72" s="197"/>
      <c r="H72" s="197"/>
      <c r="I72" s="197"/>
      <c r="J72" s="197"/>
    </row>
    <row r="73">
      <c r="A73" s="193"/>
      <c r="B73" s="194"/>
      <c r="C73" s="194"/>
      <c r="D73" s="195"/>
      <c r="E73" s="196"/>
      <c r="F73" s="197"/>
      <c r="G73" s="197"/>
      <c r="H73" s="197"/>
      <c r="I73" s="197"/>
      <c r="J73" s="197"/>
    </row>
    <row r="74">
      <c r="A74" s="193"/>
      <c r="B74" s="194"/>
      <c r="C74" s="194"/>
      <c r="D74" s="195"/>
      <c r="E74" s="196"/>
      <c r="F74" s="197"/>
      <c r="G74" s="197"/>
      <c r="H74" s="197"/>
      <c r="I74" s="197"/>
      <c r="J74" s="197"/>
    </row>
    <row r="75">
      <c r="A75" s="193"/>
      <c r="B75" s="194"/>
      <c r="C75" s="194"/>
      <c r="D75" s="195"/>
      <c r="E75" s="196"/>
      <c r="F75" s="197"/>
      <c r="G75" s="197"/>
      <c r="H75" s="197"/>
      <c r="I75" s="197"/>
      <c r="J75" s="197"/>
    </row>
    <row r="76">
      <c r="A76" s="193"/>
      <c r="B76" s="194"/>
      <c r="C76" s="194"/>
      <c r="D76" s="195"/>
      <c r="E76" s="196"/>
      <c r="F76" s="197"/>
      <c r="G76" s="197"/>
      <c r="H76" s="197"/>
      <c r="I76" s="197"/>
      <c r="J76" s="197"/>
    </row>
    <row r="77">
      <c r="A77" s="199"/>
      <c r="B77" s="200"/>
      <c r="C77" s="200"/>
      <c r="D77" s="201"/>
      <c r="E77" s="202"/>
      <c r="F77" s="197"/>
      <c r="G77" s="197"/>
      <c r="H77" s="197"/>
      <c r="I77" s="197"/>
      <c r="J77" s="197"/>
    </row>
    <row r="78">
      <c r="A78" s="193"/>
      <c r="B78" s="194"/>
      <c r="C78" s="194"/>
      <c r="D78" s="195"/>
      <c r="E78" s="196"/>
      <c r="F78" s="197"/>
      <c r="G78" s="197"/>
      <c r="H78" s="197"/>
      <c r="I78" s="197"/>
      <c r="J78" s="197"/>
    </row>
    <row r="79">
      <c r="A79" s="193"/>
      <c r="B79" s="194"/>
      <c r="C79" s="194"/>
      <c r="D79" s="195"/>
      <c r="E79" s="196"/>
      <c r="F79" s="197"/>
      <c r="G79" s="197"/>
      <c r="H79" s="197"/>
      <c r="I79" s="197"/>
      <c r="J79" s="197"/>
    </row>
    <row r="80">
      <c r="A80" s="193"/>
      <c r="B80" s="194"/>
      <c r="C80" s="194"/>
      <c r="D80" s="195"/>
      <c r="E80" s="196"/>
      <c r="F80" s="197"/>
      <c r="G80" s="197"/>
      <c r="H80" s="197"/>
      <c r="I80" s="197"/>
      <c r="J80" s="197"/>
    </row>
    <row r="81">
      <c r="A81" s="193"/>
      <c r="B81" s="194"/>
      <c r="C81" s="194"/>
      <c r="D81" s="195"/>
      <c r="E81" s="196"/>
      <c r="F81" s="197"/>
      <c r="G81" s="197"/>
      <c r="H81" s="197"/>
      <c r="I81" s="197"/>
      <c r="J81" s="197"/>
    </row>
    <row r="82">
      <c r="A82" s="193"/>
      <c r="B82" s="194"/>
      <c r="C82" s="194"/>
      <c r="D82" s="195"/>
      <c r="E82" s="196"/>
      <c r="F82" s="197"/>
      <c r="G82" s="197"/>
      <c r="H82" s="197"/>
      <c r="I82" s="197"/>
      <c r="J82" s="197"/>
    </row>
    <row r="83">
      <c r="A83" s="193"/>
      <c r="B83" s="194"/>
      <c r="C83" s="194"/>
      <c r="D83" s="195"/>
      <c r="E83" s="196"/>
      <c r="F83" s="197"/>
      <c r="G83" s="197"/>
      <c r="H83" s="197"/>
      <c r="I83" s="197"/>
      <c r="J83" s="197"/>
    </row>
    <row r="84">
      <c r="A84" s="193"/>
      <c r="B84" s="194"/>
      <c r="C84" s="194"/>
      <c r="D84" s="195"/>
      <c r="E84" s="196"/>
      <c r="F84" s="197"/>
      <c r="G84" s="197"/>
      <c r="H84" s="197"/>
      <c r="I84" s="197"/>
      <c r="J84" s="197"/>
    </row>
    <row r="85">
      <c r="A85" s="193"/>
      <c r="B85" s="194"/>
      <c r="C85" s="194"/>
      <c r="D85" s="195"/>
      <c r="E85" s="196"/>
      <c r="F85" s="197"/>
      <c r="G85" s="197"/>
      <c r="H85" s="197"/>
      <c r="I85" s="197"/>
      <c r="J85" s="197"/>
    </row>
    <row r="86">
      <c r="A86" s="193"/>
      <c r="B86" s="194"/>
      <c r="C86" s="194"/>
      <c r="D86" s="195"/>
      <c r="E86" s="196"/>
      <c r="F86" s="197"/>
      <c r="G86" s="197"/>
      <c r="H86" s="197"/>
      <c r="I86" s="197"/>
      <c r="J86" s="197"/>
    </row>
    <row r="87">
      <c r="A87" s="193"/>
      <c r="B87" s="194"/>
      <c r="C87" s="194"/>
      <c r="D87" s="195"/>
      <c r="E87" s="196"/>
      <c r="F87" s="197"/>
      <c r="G87" s="197"/>
      <c r="H87" s="197"/>
      <c r="I87" s="197"/>
      <c r="J87" s="197"/>
    </row>
    <row r="88">
      <c r="A88" s="193"/>
      <c r="B88" s="194"/>
      <c r="C88" s="194"/>
      <c r="D88" s="195"/>
      <c r="E88" s="196"/>
      <c r="F88" s="197"/>
      <c r="G88" s="197"/>
      <c r="H88" s="197"/>
      <c r="I88" s="197"/>
      <c r="J88" s="197"/>
    </row>
    <row r="89">
      <c r="A89" s="193"/>
      <c r="B89" s="194"/>
      <c r="C89" s="194"/>
      <c r="D89" s="195"/>
      <c r="E89" s="196"/>
      <c r="F89" s="197"/>
      <c r="G89" s="197"/>
      <c r="H89" s="197"/>
      <c r="I89" s="197"/>
      <c r="J89" s="197"/>
    </row>
    <row r="90">
      <c r="A90" s="193"/>
      <c r="B90" s="194"/>
      <c r="C90" s="194"/>
      <c r="D90" s="195"/>
      <c r="E90" s="196"/>
      <c r="F90" s="197"/>
      <c r="G90" s="197"/>
      <c r="H90" s="197"/>
      <c r="I90" s="197"/>
      <c r="J90" s="197"/>
    </row>
    <row r="91">
      <c r="A91" s="193"/>
      <c r="B91" s="194"/>
      <c r="C91" s="194"/>
      <c r="D91" s="195"/>
      <c r="E91" s="196"/>
      <c r="F91" s="197"/>
      <c r="G91" s="197"/>
      <c r="H91" s="197"/>
      <c r="I91" s="197"/>
      <c r="J91" s="197"/>
    </row>
    <row r="92">
      <c r="A92" s="193"/>
      <c r="B92" s="194"/>
      <c r="C92" s="194"/>
      <c r="D92" s="195"/>
      <c r="E92" s="196"/>
      <c r="F92" s="197"/>
      <c r="G92" s="197"/>
      <c r="H92" s="197"/>
      <c r="I92" s="197"/>
      <c r="J92" s="197"/>
    </row>
    <row r="93">
      <c r="A93" s="193"/>
      <c r="B93" s="194"/>
      <c r="C93" s="194"/>
      <c r="D93" s="195"/>
      <c r="E93" s="196"/>
      <c r="F93" s="197"/>
      <c r="G93" s="197"/>
      <c r="H93" s="197"/>
      <c r="I93" s="197"/>
      <c r="J93" s="197"/>
    </row>
    <row r="94">
      <c r="A94" s="193"/>
      <c r="B94" s="194"/>
      <c r="C94" s="194"/>
      <c r="D94" s="195"/>
      <c r="E94" s="196"/>
      <c r="F94" s="197"/>
      <c r="G94" s="197"/>
      <c r="H94" s="197"/>
      <c r="I94" s="197"/>
      <c r="J94" s="197"/>
    </row>
    <row r="95">
      <c r="A95" s="193"/>
      <c r="B95" s="194"/>
      <c r="C95" s="194"/>
      <c r="D95" s="195"/>
      <c r="E95" s="196"/>
      <c r="F95" s="197"/>
      <c r="G95" s="197"/>
      <c r="H95" s="197"/>
      <c r="I95" s="197"/>
      <c r="J95" s="197"/>
    </row>
    <row r="96">
      <c r="A96" s="193"/>
      <c r="B96" s="194"/>
      <c r="C96" s="194"/>
      <c r="D96" s="195"/>
      <c r="E96" s="196"/>
      <c r="F96" s="197"/>
      <c r="G96" s="197"/>
      <c r="H96" s="197"/>
      <c r="I96" s="197"/>
      <c r="J96" s="197"/>
    </row>
    <row r="97">
      <c r="A97" s="193"/>
      <c r="B97" s="194"/>
      <c r="C97" s="194"/>
      <c r="D97" s="195"/>
      <c r="E97" s="196"/>
      <c r="F97" s="197"/>
      <c r="G97" s="197"/>
      <c r="H97" s="197"/>
      <c r="I97" s="197"/>
      <c r="J97" s="197"/>
    </row>
    <row r="98">
      <c r="A98" s="193"/>
      <c r="B98" s="194"/>
      <c r="C98" s="194"/>
      <c r="D98" s="195"/>
      <c r="E98" s="196"/>
      <c r="F98" s="197"/>
      <c r="G98" s="197"/>
      <c r="H98" s="197"/>
      <c r="I98" s="197"/>
      <c r="J98" s="197"/>
    </row>
    <row r="99">
      <c r="A99" s="193"/>
      <c r="B99" s="194"/>
      <c r="C99" s="194"/>
      <c r="D99" s="195"/>
      <c r="E99" s="196"/>
      <c r="F99" s="197"/>
      <c r="G99" s="197"/>
      <c r="H99" s="197"/>
      <c r="I99" s="197"/>
      <c r="J99" s="197"/>
    </row>
    <row r="100">
      <c r="A100" s="193"/>
      <c r="B100" s="194"/>
      <c r="C100" s="194"/>
      <c r="D100" s="195"/>
      <c r="E100" s="196"/>
      <c r="F100" s="197"/>
      <c r="G100" s="197"/>
      <c r="H100" s="197"/>
      <c r="I100" s="197"/>
      <c r="J100" s="197"/>
    </row>
    <row r="101">
      <c r="A101" s="193"/>
      <c r="B101" s="194"/>
      <c r="C101" s="194"/>
      <c r="D101" s="195"/>
      <c r="E101" s="196"/>
      <c r="F101" s="197"/>
      <c r="G101" s="197"/>
      <c r="H101" s="197"/>
      <c r="I101" s="197"/>
      <c r="J101" s="197"/>
    </row>
    <row r="102">
      <c r="A102" s="193"/>
      <c r="B102" s="194"/>
      <c r="C102" s="194"/>
      <c r="D102" s="195"/>
      <c r="E102" s="196"/>
      <c r="F102" s="197"/>
      <c r="G102" s="197"/>
      <c r="H102" s="197"/>
      <c r="I102" s="197"/>
      <c r="J102" s="197"/>
    </row>
    <row r="103">
      <c r="A103" s="193"/>
      <c r="B103" s="200"/>
      <c r="C103" s="200"/>
      <c r="D103" s="201"/>
      <c r="E103" s="202"/>
      <c r="F103" s="197"/>
      <c r="G103" s="197"/>
      <c r="H103" s="197"/>
      <c r="I103" s="197"/>
      <c r="J103" s="197"/>
    </row>
    <row r="104">
      <c r="A104" s="193"/>
      <c r="B104" s="194"/>
      <c r="C104" s="194"/>
      <c r="D104" s="195"/>
      <c r="E104" s="196"/>
      <c r="F104" s="197"/>
      <c r="G104" s="197"/>
      <c r="H104" s="197"/>
      <c r="I104" s="197"/>
      <c r="J104" s="197"/>
    </row>
    <row r="105">
      <c r="A105" s="193"/>
      <c r="B105" s="194"/>
      <c r="C105" s="194"/>
      <c r="D105" s="195"/>
      <c r="E105" s="196"/>
      <c r="F105" s="197"/>
      <c r="G105" s="197"/>
      <c r="H105" s="197"/>
      <c r="I105" s="197"/>
      <c r="J105" s="197"/>
    </row>
    <row r="106">
      <c r="A106" s="193"/>
      <c r="B106" s="194"/>
      <c r="C106" s="194"/>
      <c r="D106" s="195"/>
      <c r="E106" s="196"/>
      <c r="F106" s="197"/>
      <c r="G106" s="197"/>
      <c r="H106" s="197"/>
      <c r="I106" s="197"/>
      <c r="J106" s="197"/>
    </row>
    <row r="107">
      <c r="A107" s="193"/>
      <c r="B107" s="194"/>
      <c r="C107" s="194"/>
      <c r="D107" s="195"/>
      <c r="E107" s="196"/>
      <c r="F107" s="197"/>
      <c r="G107" s="197"/>
      <c r="H107" s="197"/>
      <c r="I107" s="197"/>
      <c r="J107" s="197"/>
    </row>
    <row r="108">
      <c r="A108" s="193"/>
      <c r="B108" s="194"/>
      <c r="C108" s="194"/>
      <c r="D108" s="195"/>
      <c r="E108" s="196"/>
      <c r="F108" s="197"/>
      <c r="G108" s="197"/>
      <c r="H108" s="197"/>
      <c r="I108" s="197"/>
      <c r="J108" s="197"/>
    </row>
    <row r="109">
      <c r="A109" s="193"/>
      <c r="B109" s="194"/>
      <c r="C109" s="194"/>
      <c r="D109" s="195"/>
      <c r="E109" s="196"/>
      <c r="F109" s="197"/>
      <c r="G109" s="197"/>
      <c r="H109" s="197"/>
      <c r="I109" s="197"/>
      <c r="J109" s="197"/>
    </row>
    <row r="110">
      <c r="A110" s="193"/>
      <c r="B110" s="194"/>
      <c r="C110" s="194"/>
      <c r="D110" s="195"/>
      <c r="E110" s="196"/>
      <c r="F110" s="197"/>
      <c r="G110" s="197"/>
      <c r="H110" s="197"/>
      <c r="I110" s="197"/>
      <c r="J110" s="197"/>
    </row>
    <row r="111">
      <c r="A111" s="193"/>
      <c r="B111" s="194"/>
      <c r="C111" s="194"/>
      <c r="D111" s="195"/>
      <c r="E111" s="196"/>
      <c r="F111" s="197"/>
      <c r="G111" s="197"/>
      <c r="H111" s="197"/>
      <c r="I111" s="197"/>
      <c r="J111" s="197"/>
    </row>
    <row r="112">
      <c r="A112" s="193"/>
      <c r="B112" s="194"/>
      <c r="C112" s="194"/>
      <c r="D112" s="195"/>
      <c r="E112" s="196"/>
      <c r="F112" s="197"/>
      <c r="G112" s="197"/>
      <c r="H112" s="197"/>
      <c r="I112" s="197"/>
      <c r="J112" s="197"/>
    </row>
    <row r="113">
      <c r="A113" s="193"/>
      <c r="B113" s="194"/>
      <c r="C113" s="194"/>
      <c r="D113" s="195"/>
      <c r="E113" s="196"/>
      <c r="F113" s="197"/>
      <c r="G113" s="197"/>
      <c r="H113" s="197"/>
      <c r="I113" s="197"/>
      <c r="J113" s="197"/>
    </row>
    <row r="114">
      <c r="A114" s="193"/>
      <c r="B114" s="194"/>
      <c r="C114" s="194"/>
      <c r="D114" s="195"/>
      <c r="E114" s="196"/>
      <c r="F114" s="197"/>
      <c r="G114" s="197"/>
      <c r="H114" s="197"/>
      <c r="I114" s="197"/>
      <c r="J114" s="197"/>
    </row>
    <row r="115">
      <c r="A115" s="193"/>
      <c r="B115" s="194"/>
      <c r="C115" s="194"/>
      <c r="D115" s="195"/>
      <c r="E115" s="196"/>
      <c r="F115" s="197"/>
      <c r="G115" s="197"/>
      <c r="H115" s="197"/>
      <c r="I115" s="197"/>
      <c r="J115" s="197"/>
    </row>
    <row r="116">
      <c r="A116" s="193"/>
      <c r="B116" s="194"/>
      <c r="C116" s="194"/>
      <c r="D116" s="195"/>
      <c r="E116" s="196"/>
      <c r="F116" s="197"/>
      <c r="G116" s="197"/>
      <c r="H116" s="197"/>
      <c r="I116" s="197"/>
      <c r="J116" s="197"/>
    </row>
    <row r="117">
      <c r="A117" s="193"/>
      <c r="B117" s="200"/>
      <c r="C117" s="200"/>
      <c r="D117" s="201"/>
      <c r="E117" s="202"/>
      <c r="F117" s="197"/>
      <c r="G117" s="197"/>
      <c r="H117" s="197"/>
      <c r="I117" s="197"/>
      <c r="J117" s="197"/>
    </row>
    <row r="118">
      <c r="A118" s="193"/>
      <c r="B118" s="200"/>
      <c r="C118" s="200"/>
      <c r="D118" s="201"/>
      <c r="E118" s="202"/>
      <c r="F118" s="197"/>
      <c r="G118" s="197"/>
      <c r="H118" s="197"/>
      <c r="I118" s="197"/>
      <c r="J118" s="197"/>
    </row>
    <row r="119">
      <c r="A119" s="193"/>
      <c r="B119" s="200"/>
      <c r="C119" s="200"/>
      <c r="D119" s="201"/>
      <c r="E119" s="202"/>
      <c r="F119" s="197"/>
      <c r="G119" s="197"/>
      <c r="H119" s="197"/>
      <c r="I119" s="197"/>
      <c r="J119" s="197"/>
    </row>
    <row r="120">
      <c r="A120" s="193"/>
      <c r="B120" s="200"/>
      <c r="C120" s="200"/>
      <c r="D120" s="201"/>
      <c r="E120" s="202"/>
      <c r="F120" s="197"/>
      <c r="G120" s="197"/>
      <c r="H120" s="197"/>
      <c r="I120" s="197"/>
      <c r="J120" s="197"/>
    </row>
    <row r="121">
      <c r="A121" s="193"/>
      <c r="B121" s="200"/>
      <c r="C121" s="200"/>
      <c r="D121" s="201"/>
      <c r="E121" s="202"/>
      <c r="F121" s="197"/>
      <c r="G121" s="197"/>
      <c r="H121" s="197"/>
      <c r="I121" s="197"/>
      <c r="J121" s="197"/>
    </row>
    <row r="122">
      <c r="A122" s="199"/>
      <c r="B122" s="200"/>
      <c r="C122" s="200"/>
      <c r="D122" s="201"/>
      <c r="E122" s="202"/>
      <c r="F122" s="197"/>
      <c r="G122" s="197"/>
      <c r="H122" s="197"/>
      <c r="I122" s="197"/>
      <c r="J122" s="197"/>
    </row>
    <row r="123">
      <c r="A123" s="199"/>
      <c r="B123" s="200"/>
      <c r="C123" s="200"/>
      <c r="D123" s="201"/>
      <c r="E123" s="202"/>
      <c r="F123" s="197"/>
      <c r="G123" s="197"/>
      <c r="H123" s="197"/>
      <c r="I123" s="197"/>
      <c r="J123" s="197"/>
    </row>
    <row r="124">
      <c r="A124" s="199"/>
      <c r="B124" s="200"/>
      <c r="C124" s="200"/>
      <c r="D124" s="201"/>
      <c r="E124" s="202"/>
      <c r="F124" s="197"/>
      <c r="G124" s="197"/>
      <c r="H124" s="197"/>
      <c r="I124" s="197"/>
      <c r="J124" s="197"/>
    </row>
    <row r="125">
      <c r="A125" s="199"/>
      <c r="B125" s="200"/>
      <c r="C125" s="200"/>
      <c r="D125" s="201"/>
      <c r="E125" s="202"/>
      <c r="F125" s="197"/>
      <c r="G125" s="197"/>
      <c r="H125" s="197"/>
      <c r="I125" s="197"/>
      <c r="J125" s="197"/>
    </row>
    <row r="126">
      <c r="A126" s="199"/>
      <c r="B126" s="200"/>
      <c r="C126" s="200"/>
      <c r="D126" s="201"/>
      <c r="E126" s="202"/>
      <c r="F126" s="197"/>
      <c r="G126" s="197"/>
      <c r="H126" s="197"/>
      <c r="I126" s="197"/>
      <c r="J126" s="197"/>
    </row>
    <row r="127">
      <c r="A127" s="199"/>
      <c r="B127" s="200"/>
      <c r="C127" s="200"/>
      <c r="D127" s="201"/>
      <c r="E127" s="202"/>
      <c r="F127" s="197"/>
      <c r="G127" s="197"/>
      <c r="H127" s="197"/>
      <c r="I127" s="197"/>
      <c r="J127" s="197"/>
    </row>
    <row r="128">
      <c r="A128" s="199"/>
      <c r="B128" s="200"/>
      <c r="C128" s="200"/>
      <c r="D128" s="201"/>
      <c r="E128" s="202"/>
      <c r="F128" s="197"/>
      <c r="G128" s="197"/>
      <c r="H128" s="197"/>
      <c r="I128" s="197"/>
      <c r="J128" s="197"/>
    </row>
    <row r="129">
      <c r="A129" s="199"/>
      <c r="B129" s="200"/>
      <c r="C129" s="200"/>
      <c r="D129" s="201"/>
      <c r="E129" s="202"/>
      <c r="F129" s="197"/>
      <c r="G129" s="197"/>
      <c r="H129" s="197"/>
      <c r="I129" s="197"/>
      <c r="J129" s="197"/>
    </row>
    <row r="130">
      <c r="A130" s="199"/>
      <c r="B130" s="200"/>
      <c r="C130" s="200"/>
      <c r="D130" s="201"/>
      <c r="E130" s="202"/>
      <c r="F130" s="197"/>
      <c r="G130" s="197"/>
      <c r="H130" s="197"/>
      <c r="I130" s="197"/>
      <c r="J130" s="197"/>
    </row>
    <row r="131">
      <c r="A131" s="199"/>
      <c r="B131" s="200"/>
      <c r="C131" s="200"/>
      <c r="D131" s="201"/>
      <c r="E131" s="202"/>
      <c r="F131" s="197"/>
      <c r="G131" s="197"/>
      <c r="H131" s="197"/>
      <c r="I131" s="197"/>
      <c r="J131" s="197"/>
    </row>
    <row r="132">
      <c r="A132" s="199"/>
      <c r="B132" s="200"/>
      <c r="C132" s="200"/>
      <c r="D132" s="201"/>
      <c r="E132" s="202"/>
      <c r="F132" s="197"/>
      <c r="G132" s="197"/>
      <c r="H132" s="197"/>
      <c r="I132" s="197"/>
      <c r="J132" s="197"/>
    </row>
    <row r="133">
      <c r="A133" s="199"/>
      <c r="B133" s="200"/>
      <c r="C133" s="200"/>
      <c r="D133" s="201"/>
      <c r="E133" s="202"/>
      <c r="F133" s="197"/>
      <c r="G133" s="197"/>
      <c r="H133" s="197"/>
      <c r="I133" s="197"/>
      <c r="J133" s="197"/>
    </row>
    <row r="134">
      <c r="A134" s="199"/>
      <c r="B134" s="200"/>
      <c r="C134" s="200"/>
      <c r="D134" s="201"/>
      <c r="E134" s="202"/>
      <c r="F134" s="197"/>
      <c r="G134" s="197"/>
      <c r="H134" s="197"/>
      <c r="I134" s="197"/>
      <c r="J134" s="197"/>
    </row>
    <row r="135">
      <c r="A135" s="199"/>
      <c r="B135" s="200"/>
      <c r="C135" s="200"/>
      <c r="D135" s="201"/>
      <c r="E135" s="202"/>
      <c r="F135" s="197"/>
      <c r="G135" s="197"/>
      <c r="H135" s="197"/>
      <c r="I135" s="197"/>
      <c r="J135" s="197"/>
    </row>
    <row r="136">
      <c r="A136" s="199"/>
      <c r="B136" s="200"/>
      <c r="C136" s="200"/>
      <c r="D136" s="201"/>
      <c r="E136" s="202"/>
      <c r="F136" s="197"/>
      <c r="G136" s="197"/>
      <c r="H136" s="197"/>
      <c r="I136" s="197"/>
      <c r="J136" s="197"/>
    </row>
    <row r="137">
      <c r="A137" s="199"/>
      <c r="B137" s="200"/>
      <c r="C137" s="200"/>
      <c r="D137" s="201"/>
      <c r="E137" s="202"/>
      <c r="F137" s="197"/>
      <c r="G137" s="197"/>
      <c r="H137" s="197"/>
      <c r="I137" s="197"/>
      <c r="J137" s="197"/>
    </row>
    <row r="138">
      <c r="A138" s="199"/>
      <c r="B138" s="200"/>
      <c r="C138" s="200"/>
      <c r="D138" s="201"/>
      <c r="E138" s="202"/>
      <c r="F138" s="197"/>
      <c r="G138" s="197"/>
      <c r="H138" s="197"/>
      <c r="I138" s="197"/>
      <c r="J138" s="197"/>
    </row>
    <row r="139">
      <c r="A139" s="199"/>
      <c r="B139" s="200"/>
      <c r="C139" s="200"/>
      <c r="D139" s="201"/>
      <c r="E139" s="202"/>
      <c r="F139" s="197"/>
      <c r="G139" s="197"/>
      <c r="H139" s="197"/>
      <c r="I139" s="197"/>
      <c r="J139" s="197"/>
    </row>
    <row r="140">
      <c r="A140" s="199"/>
      <c r="B140" s="200"/>
      <c r="C140" s="200"/>
      <c r="D140" s="201"/>
      <c r="E140" s="202"/>
      <c r="F140" s="197"/>
      <c r="G140" s="197"/>
      <c r="H140" s="197"/>
      <c r="I140" s="197"/>
      <c r="J140" s="197"/>
    </row>
    <row r="141">
      <c r="A141" s="199"/>
      <c r="B141" s="200"/>
      <c r="C141" s="200"/>
      <c r="D141" s="201"/>
      <c r="E141" s="202"/>
      <c r="F141" s="197"/>
      <c r="G141" s="197"/>
      <c r="H141" s="197"/>
      <c r="I141" s="197"/>
      <c r="J141" s="197"/>
    </row>
    <row r="142">
      <c r="A142" s="199"/>
      <c r="B142" s="200"/>
      <c r="C142" s="200"/>
      <c r="D142" s="201"/>
      <c r="E142" s="202"/>
      <c r="F142" s="197"/>
      <c r="G142" s="197"/>
      <c r="H142" s="197"/>
      <c r="I142" s="197"/>
      <c r="J142" s="197"/>
    </row>
    <row r="143">
      <c r="A143" s="199"/>
      <c r="B143" s="200"/>
      <c r="C143" s="200"/>
      <c r="D143" s="201"/>
      <c r="E143" s="202"/>
      <c r="F143" s="197"/>
      <c r="G143" s="197"/>
      <c r="H143" s="197"/>
      <c r="I143" s="197"/>
      <c r="J143" s="197"/>
    </row>
    <row r="144">
      <c r="A144" s="199"/>
      <c r="B144" s="200"/>
      <c r="C144" s="200"/>
      <c r="D144" s="201"/>
      <c r="E144" s="202"/>
      <c r="F144" s="197"/>
      <c r="G144" s="197"/>
      <c r="H144" s="197"/>
      <c r="I144" s="197"/>
      <c r="J144" s="197"/>
    </row>
    <row r="145">
      <c r="A145" s="199"/>
      <c r="B145" s="200"/>
      <c r="C145" s="200"/>
      <c r="D145" s="201"/>
      <c r="E145" s="202"/>
      <c r="F145" s="197"/>
      <c r="G145" s="197"/>
      <c r="H145" s="197"/>
      <c r="I145" s="197"/>
      <c r="J145" s="197"/>
    </row>
    <row r="146">
      <c r="A146" s="199"/>
      <c r="B146" s="200"/>
      <c r="C146" s="200"/>
      <c r="D146" s="201"/>
      <c r="E146" s="202"/>
      <c r="F146" s="197"/>
      <c r="G146" s="197"/>
      <c r="H146" s="197"/>
      <c r="I146" s="197"/>
      <c r="J146" s="197"/>
    </row>
    <row r="147">
      <c r="A147" s="199"/>
      <c r="B147" s="200"/>
      <c r="C147" s="200"/>
      <c r="D147" s="201"/>
      <c r="E147" s="202"/>
      <c r="F147" s="197"/>
      <c r="G147" s="197"/>
      <c r="H147" s="197"/>
      <c r="I147" s="197"/>
      <c r="J147" s="197"/>
    </row>
    <row r="148">
      <c r="A148" s="199"/>
      <c r="B148" s="200"/>
      <c r="C148" s="200"/>
      <c r="D148" s="201"/>
      <c r="E148" s="202"/>
      <c r="F148" s="197"/>
      <c r="G148" s="197"/>
      <c r="H148" s="197"/>
      <c r="I148" s="197"/>
      <c r="J148" s="197"/>
    </row>
    <row r="149">
      <c r="A149" s="199"/>
      <c r="B149" s="200"/>
      <c r="C149" s="200"/>
      <c r="D149" s="201"/>
      <c r="E149" s="202"/>
      <c r="F149" s="197"/>
      <c r="G149" s="197"/>
      <c r="H149" s="197"/>
      <c r="I149" s="197"/>
      <c r="J149" s="197"/>
    </row>
    <row r="150">
      <c r="A150" s="199"/>
      <c r="B150" s="200"/>
      <c r="C150" s="200"/>
      <c r="D150" s="201"/>
      <c r="E150" s="202"/>
      <c r="F150" s="197"/>
      <c r="G150" s="197"/>
      <c r="H150" s="197"/>
      <c r="I150" s="197"/>
      <c r="J150" s="197"/>
    </row>
    <row r="151">
      <c r="A151" s="199"/>
      <c r="B151" s="200"/>
      <c r="C151" s="200"/>
      <c r="D151" s="201"/>
      <c r="E151" s="202"/>
      <c r="F151" s="197"/>
      <c r="G151" s="197"/>
      <c r="H151" s="197"/>
      <c r="I151" s="197"/>
      <c r="J151" s="197"/>
    </row>
    <row r="152">
      <c r="A152" s="199"/>
      <c r="B152" s="200"/>
      <c r="C152" s="200"/>
      <c r="D152" s="201"/>
      <c r="E152" s="202"/>
      <c r="F152" s="197"/>
      <c r="G152" s="197"/>
      <c r="H152" s="197"/>
      <c r="I152" s="197"/>
      <c r="J152" s="197"/>
    </row>
    <row r="153">
      <c r="A153" s="199"/>
      <c r="B153" s="200"/>
      <c r="C153" s="200"/>
      <c r="D153" s="201"/>
      <c r="E153" s="202"/>
      <c r="F153" s="197"/>
      <c r="G153" s="197"/>
      <c r="H153" s="197"/>
      <c r="I153" s="197"/>
      <c r="J153" s="197"/>
    </row>
    <row r="154">
      <c r="A154" s="199"/>
      <c r="B154" s="200"/>
      <c r="C154" s="200"/>
      <c r="D154" s="201"/>
      <c r="E154" s="202"/>
      <c r="F154" s="197"/>
      <c r="G154" s="197"/>
      <c r="H154" s="197"/>
      <c r="I154" s="197"/>
      <c r="J154" s="197"/>
    </row>
    <row r="155">
      <c r="A155" s="199"/>
      <c r="B155" s="200"/>
      <c r="C155" s="200"/>
      <c r="D155" s="201"/>
      <c r="E155" s="202"/>
      <c r="F155" s="197"/>
      <c r="G155" s="197"/>
      <c r="H155" s="197"/>
      <c r="I155" s="197"/>
      <c r="J155" s="197"/>
    </row>
    <row r="156">
      <c r="A156" s="199"/>
      <c r="B156" s="200"/>
      <c r="C156" s="200"/>
      <c r="D156" s="201"/>
      <c r="E156" s="202"/>
      <c r="F156" s="197"/>
      <c r="G156" s="197"/>
      <c r="H156" s="197"/>
      <c r="I156" s="197"/>
      <c r="J156" s="197"/>
    </row>
    <row r="157">
      <c r="A157" s="199"/>
      <c r="B157" s="200"/>
      <c r="C157" s="200"/>
      <c r="D157" s="201"/>
      <c r="E157" s="202"/>
      <c r="F157" s="197"/>
      <c r="G157" s="197"/>
      <c r="H157" s="197"/>
      <c r="I157" s="197"/>
      <c r="J157" s="197"/>
    </row>
    <row r="158">
      <c r="A158" s="199"/>
      <c r="B158" s="200"/>
      <c r="C158" s="200"/>
      <c r="D158" s="201"/>
      <c r="E158" s="202"/>
      <c r="F158" s="197"/>
      <c r="G158" s="197"/>
      <c r="H158" s="197"/>
      <c r="I158" s="197"/>
      <c r="J158" s="197"/>
    </row>
    <row r="159">
      <c r="A159" s="199"/>
      <c r="B159" s="200"/>
      <c r="C159" s="200"/>
      <c r="D159" s="201"/>
      <c r="E159" s="202"/>
      <c r="F159" s="197"/>
      <c r="G159" s="197"/>
      <c r="H159" s="197"/>
      <c r="I159" s="197"/>
      <c r="J159" s="197"/>
    </row>
    <row r="160">
      <c r="A160" s="199"/>
      <c r="B160" s="200"/>
      <c r="C160" s="200"/>
      <c r="D160" s="201"/>
      <c r="E160" s="202"/>
      <c r="F160" s="197"/>
      <c r="G160" s="197"/>
      <c r="H160" s="197"/>
      <c r="I160" s="197"/>
      <c r="J160" s="197"/>
    </row>
    <row r="161">
      <c r="A161" s="199"/>
      <c r="B161" s="200"/>
      <c r="C161" s="200"/>
      <c r="D161" s="201"/>
      <c r="E161" s="202"/>
      <c r="F161" s="197"/>
      <c r="G161" s="197"/>
      <c r="H161" s="197"/>
      <c r="I161" s="197"/>
      <c r="J161" s="197"/>
    </row>
    <row r="162">
      <c r="A162" s="199"/>
      <c r="B162" s="200"/>
      <c r="C162" s="200"/>
      <c r="D162" s="201"/>
      <c r="E162" s="202"/>
      <c r="F162" s="197"/>
      <c r="G162" s="197"/>
      <c r="H162" s="197"/>
      <c r="I162" s="197"/>
      <c r="J162" s="197"/>
    </row>
    <row r="163">
      <c r="A163" s="199"/>
      <c r="B163" s="200"/>
      <c r="C163" s="200"/>
      <c r="D163" s="201"/>
      <c r="E163" s="202"/>
      <c r="F163" s="197"/>
      <c r="G163" s="197"/>
      <c r="H163" s="197"/>
      <c r="I163" s="197"/>
      <c r="J163" s="197"/>
    </row>
    <row r="164">
      <c r="A164" s="199"/>
      <c r="B164" s="200"/>
      <c r="C164" s="200"/>
      <c r="D164" s="201"/>
      <c r="E164" s="202"/>
      <c r="F164" s="197"/>
      <c r="G164" s="197"/>
      <c r="H164" s="197"/>
      <c r="I164" s="197"/>
      <c r="J164" s="197"/>
    </row>
    <row r="165">
      <c r="A165" s="199"/>
      <c r="B165" s="200"/>
      <c r="C165" s="200"/>
      <c r="D165" s="201"/>
      <c r="E165" s="202"/>
      <c r="F165" s="197"/>
      <c r="G165" s="197"/>
      <c r="H165" s="197"/>
      <c r="I165" s="197"/>
      <c r="J165" s="197"/>
    </row>
    <row r="166">
      <c r="A166" s="199"/>
      <c r="B166" s="200"/>
      <c r="C166" s="200"/>
      <c r="D166" s="201"/>
      <c r="E166" s="202"/>
      <c r="F166" s="197"/>
      <c r="G166" s="197"/>
      <c r="H166" s="197"/>
      <c r="I166" s="197"/>
      <c r="J166" s="197"/>
    </row>
    <row r="167">
      <c r="A167" s="199"/>
      <c r="B167" s="200"/>
      <c r="C167" s="200"/>
      <c r="D167" s="201"/>
      <c r="E167" s="202"/>
      <c r="F167" s="197"/>
      <c r="G167" s="197"/>
      <c r="H167" s="197"/>
      <c r="I167" s="197"/>
      <c r="J167" s="197"/>
    </row>
    <row r="168">
      <c r="A168" s="199"/>
      <c r="B168" s="200"/>
      <c r="C168" s="200"/>
      <c r="D168" s="201"/>
      <c r="E168" s="202"/>
      <c r="F168" s="197"/>
      <c r="G168" s="197"/>
      <c r="H168" s="197"/>
      <c r="I168" s="197"/>
      <c r="J168" s="197"/>
    </row>
    <row r="169">
      <c r="A169" s="199"/>
      <c r="B169" s="200"/>
      <c r="C169" s="200"/>
      <c r="D169" s="201"/>
      <c r="E169" s="202"/>
      <c r="F169" s="197"/>
      <c r="G169" s="197"/>
      <c r="H169" s="197"/>
      <c r="I169" s="197"/>
      <c r="J169" s="197"/>
    </row>
    <row r="170">
      <c r="A170" s="199"/>
      <c r="B170" s="200"/>
      <c r="C170" s="200"/>
      <c r="D170" s="201"/>
      <c r="E170" s="202"/>
      <c r="F170" s="197"/>
      <c r="G170" s="197"/>
      <c r="H170" s="197"/>
      <c r="I170" s="197"/>
      <c r="J170" s="197"/>
    </row>
    <row r="171">
      <c r="A171" s="199"/>
      <c r="B171" s="200"/>
      <c r="C171" s="200"/>
      <c r="D171" s="201"/>
      <c r="E171" s="202"/>
      <c r="F171" s="197"/>
      <c r="G171" s="197"/>
      <c r="H171" s="197"/>
      <c r="I171" s="197"/>
      <c r="J171" s="197"/>
    </row>
    <row r="172">
      <c r="A172" s="199"/>
      <c r="B172" s="200"/>
      <c r="C172" s="200"/>
      <c r="D172" s="201"/>
      <c r="E172" s="202"/>
      <c r="F172" s="197"/>
      <c r="G172" s="197"/>
      <c r="H172" s="197"/>
      <c r="I172" s="197"/>
      <c r="J172" s="197"/>
    </row>
    <row r="173">
      <c r="A173" s="199"/>
      <c r="B173" s="200"/>
      <c r="C173" s="200"/>
      <c r="D173" s="201"/>
      <c r="E173" s="202"/>
      <c r="F173" s="197"/>
      <c r="G173" s="197"/>
      <c r="H173" s="197"/>
      <c r="I173" s="197"/>
      <c r="J173" s="197"/>
    </row>
    <row r="174">
      <c r="A174" s="199"/>
      <c r="B174" s="200"/>
      <c r="C174" s="200"/>
      <c r="D174" s="201"/>
      <c r="E174" s="202"/>
      <c r="F174" s="197"/>
      <c r="G174" s="197"/>
      <c r="H174" s="197"/>
      <c r="I174" s="197"/>
      <c r="J174" s="197"/>
    </row>
    <row r="175">
      <c r="A175" s="199"/>
      <c r="B175" s="200"/>
      <c r="C175" s="200"/>
      <c r="D175" s="201"/>
      <c r="E175" s="202"/>
      <c r="F175" s="197"/>
      <c r="G175" s="197"/>
      <c r="H175" s="197"/>
      <c r="I175" s="197"/>
      <c r="J175" s="197"/>
    </row>
    <row r="176">
      <c r="A176" s="199"/>
      <c r="B176" s="200"/>
      <c r="C176" s="200"/>
      <c r="D176" s="201"/>
      <c r="E176" s="202"/>
      <c r="F176" s="197"/>
      <c r="G176" s="197"/>
      <c r="H176" s="197"/>
      <c r="I176" s="197"/>
      <c r="J176" s="197"/>
    </row>
    <row r="177">
      <c r="A177" s="199"/>
      <c r="B177" s="200"/>
      <c r="C177" s="200"/>
      <c r="D177" s="201"/>
      <c r="E177" s="202"/>
      <c r="F177" s="197"/>
      <c r="G177" s="197"/>
      <c r="H177" s="197"/>
      <c r="I177" s="197"/>
      <c r="J177" s="197"/>
    </row>
    <row r="178">
      <c r="A178" s="199"/>
      <c r="B178" s="200"/>
      <c r="C178" s="200"/>
      <c r="D178" s="201"/>
      <c r="E178" s="202"/>
      <c r="F178" s="197"/>
      <c r="G178" s="197"/>
      <c r="H178" s="197"/>
      <c r="I178" s="197"/>
      <c r="J178" s="197"/>
    </row>
    <row r="179">
      <c r="A179" s="199"/>
      <c r="B179" s="200"/>
      <c r="C179" s="200"/>
      <c r="D179" s="201"/>
      <c r="E179" s="202"/>
      <c r="F179" s="197"/>
      <c r="G179" s="197"/>
      <c r="H179" s="197"/>
      <c r="I179" s="197"/>
      <c r="J179" s="197"/>
    </row>
    <row r="180">
      <c r="A180" s="199"/>
      <c r="B180" s="200"/>
      <c r="C180" s="200"/>
      <c r="D180" s="201"/>
      <c r="E180" s="202"/>
      <c r="F180" s="197"/>
      <c r="G180" s="197"/>
      <c r="H180" s="197"/>
      <c r="I180" s="197"/>
      <c r="J180" s="197"/>
    </row>
    <row r="181">
      <c r="A181" s="199"/>
      <c r="B181" s="200"/>
      <c r="C181" s="200"/>
      <c r="D181" s="201"/>
      <c r="E181" s="202"/>
      <c r="F181" s="197"/>
      <c r="G181" s="197"/>
      <c r="H181" s="197"/>
      <c r="I181" s="197"/>
      <c r="J181" s="197"/>
    </row>
    <row r="182">
      <c r="A182" s="199"/>
      <c r="B182" s="200"/>
      <c r="C182" s="200"/>
      <c r="D182" s="201"/>
      <c r="E182" s="202"/>
      <c r="F182" s="197"/>
      <c r="G182" s="197"/>
      <c r="H182" s="197"/>
      <c r="I182" s="197"/>
      <c r="J182" s="197"/>
    </row>
    <row r="183">
      <c r="A183" s="199"/>
      <c r="B183" s="200"/>
      <c r="C183" s="200"/>
      <c r="D183" s="201"/>
      <c r="E183" s="202"/>
      <c r="F183" s="197"/>
      <c r="G183" s="197"/>
      <c r="H183" s="197"/>
      <c r="I183" s="197"/>
      <c r="J183" s="197"/>
    </row>
    <row r="184">
      <c r="A184" s="199"/>
      <c r="B184" s="200"/>
      <c r="C184" s="200"/>
      <c r="D184" s="201"/>
      <c r="E184" s="202"/>
      <c r="F184" s="197"/>
      <c r="G184" s="197"/>
      <c r="H184" s="197"/>
      <c r="I184" s="197"/>
      <c r="J184" s="197"/>
    </row>
    <row r="185">
      <c r="A185" s="199"/>
      <c r="B185" s="200"/>
      <c r="C185" s="200"/>
      <c r="D185" s="201"/>
      <c r="E185" s="202"/>
      <c r="F185" s="197"/>
      <c r="G185" s="197"/>
      <c r="H185" s="197"/>
      <c r="I185" s="197"/>
      <c r="J185" s="197"/>
    </row>
    <row r="186">
      <c r="A186" s="199"/>
      <c r="B186" s="200"/>
      <c r="C186" s="200"/>
      <c r="D186" s="201"/>
      <c r="E186" s="202"/>
      <c r="F186" s="197"/>
      <c r="G186" s="197"/>
      <c r="H186" s="197"/>
      <c r="I186" s="197"/>
      <c r="J186" s="197"/>
    </row>
    <row r="187">
      <c r="A187" s="199"/>
      <c r="B187" s="200"/>
      <c r="C187" s="200"/>
      <c r="D187" s="201"/>
      <c r="E187" s="202"/>
      <c r="F187" s="197"/>
      <c r="G187" s="197"/>
      <c r="H187" s="197"/>
      <c r="I187" s="197"/>
      <c r="J187" s="197"/>
    </row>
    <row r="188">
      <c r="A188" s="199"/>
      <c r="B188" s="200"/>
      <c r="C188" s="200"/>
      <c r="D188" s="201"/>
      <c r="E188" s="202"/>
      <c r="F188" s="197"/>
      <c r="G188" s="197"/>
      <c r="H188" s="197"/>
      <c r="I188" s="197"/>
      <c r="J188" s="197"/>
    </row>
    <row r="189">
      <c r="A189" s="199"/>
      <c r="B189" s="200"/>
      <c r="C189" s="200"/>
      <c r="D189" s="201"/>
      <c r="E189" s="202"/>
      <c r="F189" s="197"/>
      <c r="G189" s="197"/>
      <c r="H189" s="197"/>
      <c r="I189" s="197"/>
      <c r="J189" s="197"/>
    </row>
    <row r="190">
      <c r="A190" s="199"/>
      <c r="B190" s="200"/>
      <c r="C190" s="200"/>
      <c r="D190" s="201"/>
      <c r="E190" s="202"/>
      <c r="F190" s="197"/>
      <c r="G190" s="197"/>
      <c r="H190" s="197"/>
      <c r="I190" s="197"/>
      <c r="J190" s="197"/>
    </row>
    <row r="191">
      <c r="A191" s="199"/>
      <c r="B191" s="200"/>
      <c r="C191" s="200"/>
      <c r="D191" s="201"/>
      <c r="E191" s="202"/>
      <c r="F191" s="197"/>
      <c r="G191" s="197"/>
      <c r="H191" s="197"/>
      <c r="I191" s="197"/>
      <c r="J191" s="197"/>
    </row>
    <row r="192">
      <c r="A192" s="199"/>
      <c r="B192" s="200"/>
      <c r="C192" s="200"/>
      <c r="D192" s="201"/>
      <c r="E192" s="202"/>
      <c r="F192" s="197"/>
      <c r="G192" s="197"/>
      <c r="H192" s="197"/>
      <c r="I192" s="197"/>
      <c r="J192" s="197"/>
    </row>
    <row r="193">
      <c r="A193" s="199"/>
      <c r="B193" s="200"/>
      <c r="C193" s="200"/>
      <c r="D193" s="201"/>
      <c r="E193" s="202"/>
      <c r="F193" s="197"/>
      <c r="G193" s="197"/>
      <c r="H193" s="197"/>
      <c r="I193" s="197"/>
      <c r="J193" s="197"/>
    </row>
    <row r="194">
      <c r="A194" s="199"/>
      <c r="B194" s="200"/>
      <c r="C194" s="200"/>
      <c r="D194" s="201"/>
      <c r="E194" s="202"/>
      <c r="F194" s="197"/>
      <c r="G194" s="197"/>
      <c r="H194" s="197"/>
      <c r="I194" s="197"/>
      <c r="J194" s="197"/>
    </row>
    <row r="195">
      <c r="A195" s="199"/>
      <c r="B195" s="200"/>
      <c r="C195" s="200"/>
      <c r="D195" s="201"/>
      <c r="E195" s="202"/>
      <c r="F195" s="197"/>
      <c r="G195" s="197"/>
      <c r="H195" s="197"/>
      <c r="I195" s="197"/>
      <c r="J195" s="197"/>
    </row>
    <row r="196">
      <c r="A196" s="199"/>
      <c r="B196" s="200"/>
      <c r="C196" s="200"/>
      <c r="D196" s="201"/>
      <c r="E196" s="202"/>
      <c r="F196" s="197"/>
      <c r="G196" s="197"/>
      <c r="H196" s="197"/>
      <c r="I196" s="197"/>
      <c r="J196" s="197"/>
    </row>
    <row r="197">
      <c r="A197" s="199"/>
      <c r="B197" s="200"/>
      <c r="C197" s="200"/>
      <c r="D197" s="201"/>
      <c r="E197" s="202"/>
      <c r="F197" s="197"/>
      <c r="G197" s="197"/>
      <c r="H197" s="197"/>
      <c r="I197" s="197"/>
      <c r="J197" s="197"/>
    </row>
    <row r="198">
      <c r="A198" s="199"/>
      <c r="B198" s="200"/>
      <c r="C198" s="200"/>
      <c r="D198" s="201"/>
      <c r="E198" s="202"/>
      <c r="F198" s="197"/>
      <c r="G198" s="197"/>
      <c r="H198" s="197"/>
      <c r="I198" s="197"/>
      <c r="J198" s="197"/>
    </row>
    <row r="199">
      <c r="A199" s="199"/>
      <c r="B199" s="200"/>
      <c r="C199" s="200"/>
      <c r="D199" s="201"/>
      <c r="E199" s="202"/>
      <c r="F199" s="197"/>
      <c r="G199" s="197"/>
      <c r="H199" s="197"/>
      <c r="I199" s="197"/>
      <c r="J199" s="197"/>
    </row>
    <row r="200">
      <c r="A200" s="199"/>
      <c r="B200" s="200"/>
      <c r="C200" s="200"/>
      <c r="D200" s="201"/>
      <c r="E200" s="202"/>
      <c r="F200" s="197"/>
      <c r="G200" s="197"/>
      <c r="H200" s="197"/>
      <c r="I200" s="197"/>
      <c r="J200" s="197"/>
    </row>
    <row r="201">
      <c r="A201" s="199"/>
      <c r="B201" s="200"/>
      <c r="C201" s="200"/>
      <c r="D201" s="201"/>
      <c r="E201" s="202"/>
      <c r="F201" s="197"/>
      <c r="G201" s="197"/>
      <c r="H201" s="197"/>
      <c r="I201" s="197"/>
      <c r="J201" s="197"/>
    </row>
    <row r="202">
      <c r="A202" s="199"/>
      <c r="B202" s="200"/>
      <c r="C202" s="200"/>
      <c r="D202" s="201"/>
      <c r="E202" s="202"/>
      <c r="F202" s="197"/>
      <c r="G202" s="197"/>
      <c r="H202" s="197"/>
      <c r="I202" s="197"/>
      <c r="J202" s="197"/>
    </row>
    <row r="203">
      <c r="A203" s="199"/>
      <c r="B203" s="200"/>
      <c r="C203" s="200"/>
      <c r="D203" s="201"/>
      <c r="E203" s="202"/>
      <c r="F203" s="197"/>
      <c r="G203" s="197"/>
      <c r="H203" s="197"/>
      <c r="I203" s="197"/>
      <c r="J203" s="197"/>
    </row>
    <row r="204">
      <c r="A204" s="199"/>
      <c r="B204" s="200"/>
      <c r="C204" s="200"/>
      <c r="D204" s="201"/>
      <c r="E204" s="202"/>
      <c r="F204" s="197"/>
      <c r="G204" s="197"/>
      <c r="H204" s="197"/>
      <c r="I204" s="197"/>
      <c r="J204" s="197"/>
    </row>
    <row r="205">
      <c r="A205" s="199"/>
      <c r="B205" s="200"/>
      <c r="C205" s="200"/>
      <c r="D205" s="201"/>
      <c r="E205" s="202"/>
      <c r="F205" s="197"/>
      <c r="G205" s="197"/>
      <c r="H205" s="197"/>
      <c r="I205" s="197"/>
      <c r="J205" s="197"/>
    </row>
    <row r="206">
      <c r="A206" s="199"/>
      <c r="B206" s="200"/>
      <c r="C206" s="200"/>
      <c r="D206" s="201"/>
      <c r="E206" s="202"/>
      <c r="F206" s="197"/>
      <c r="G206" s="197"/>
      <c r="H206" s="197"/>
      <c r="I206" s="197"/>
      <c r="J206" s="197"/>
    </row>
    <row r="207">
      <c r="A207" s="199"/>
      <c r="B207" s="200"/>
      <c r="C207" s="200"/>
      <c r="D207" s="201"/>
      <c r="E207" s="202"/>
      <c r="F207" s="197"/>
      <c r="G207" s="197"/>
      <c r="H207" s="197"/>
      <c r="I207" s="197"/>
      <c r="J207" s="197"/>
    </row>
    <row r="208">
      <c r="A208" s="199"/>
      <c r="B208" s="200"/>
      <c r="C208" s="200"/>
      <c r="D208" s="201"/>
      <c r="E208" s="202"/>
      <c r="F208" s="197"/>
      <c r="G208" s="197"/>
      <c r="H208" s="197"/>
      <c r="I208" s="197"/>
      <c r="J208" s="197"/>
    </row>
    <row r="209">
      <c r="A209" s="199"/>
      <c r="B209" s="200"/>
      <c r="C209" s="200"/>
      <c r="D209" s="201"/>
      <c r="E209" s="202"/>
      <c r="F209" s="197"/>
      <c r="G209" s="197"/>
      <c r="H209" s="197"/>
      <c r="I209" s="197"/>
      <c r="J209" s="197"/>
    </row>
    <row r="210">
      <c r="A210" s="199"/>
      <c r="B210" s="200"/>
      <c r="C210" s="200"/>
      <c r="D210" s="201"/>
      <c r="E210" s="202"/>
      <c r="F210" s="197"/>
      <c r="G210" s="197"/>
      <c r="H210" s="197"/>
      <c r="I210" s="197"/>
      <c r="J210" s="197"/>
    </row>
    <row r="211">
      <c r="A211" s="199"/>
      <c r="B211" s="200"/>
      <c r="C211" s="200"/>
      <c r="D211" s="201"/>
      <c r="E211" s="202"/>
      <c r="F211" s="197"/>
      <c r="G211" s="197"/>
      <c r="H211" s="197"/>
      <c r="I211" s="197"/>
      <c r="J211" s="197"/>
    </row>
    <row r="212">
      <c r="A212" s="199"/>
      <c r="B212" s="200"/>
      <c r="C212" s="200"/>
      <c r="D212" s="201"/>
      <c r="E212" s="202"/>
      <c r="F212" s="197"/>
      <c r="G212" s="197"/>
      <c r="H212" s="197"/>
      <c r="I212" s="197"/>
      <c r="J212" s="197"/>
    </row>
    <row r="213">
      <c r="A213" s="199"/>
      <c r="B213" s="200"/>
      <c r="C213" s="200"/>
      <c r="D213" s="201"/>
      <c r="E213" s="202"/>
      <c r="F213" s="197"/>
      <c r="G213" s="197"/>
      <c r="H213" s="197"/>
      <c r="I213" s="197"/>
      <c r="J213" s="197"/>
    </row>
    <row r="214">
      <c r="A214" s="199"/>
      <c r="B214" s="200"/>
      <c r="C214" s="200"/>
      <c r="D214" s="201"/>
      <c r="E214" s="202"/>
      <c r="F214" s="197"/>
      <c r="G214" s="197"/>
      <c r="H214" s="197"/>
      <c r="I214" s="197"/>
      <c r="J214" s="197"/>
    </row>
    <row r="215">
      <c r="A215" s="199"/>
      <c r="B215" s="200"/>
      <c r="C215" s="200"/>
      <c r="D215" s="201"/>
      <c r="E215" s="202"/>
      <c r="F215" s="197"/>
      <c r="G215" s="197"/>
      <c r="H215" s="197"/>
      <c r="I215" s="197"/>
      <c r="J215" s="197"/>
    </row>
    <row r="216">
      <c r="A216" s="199"/>
      <c r="B216" s="200"/>
      <c r="C216" s="200"/>
      <c r="D216" s="201"/>
      <c r="E216" s="202"/>
      <c r="F216" s="197"/>
      <c r="G216" s="197"/>
      <c r="H216" s="197"/>
      <c r="I216" s="197"/>
      <c r="J216" s="197"/>
    </row>
    <row r="217">
      <c r="A217" s="199"/>
      <c r="B217" s="200"/>
      <c r="C217" s="200"/>
      <c r="D217" s="201"/>
      <c r="E217" s="202"/>
      <c r="F217" s="197"/>
      <c r="G217" s="197"/>
      <c r="H217" s="197"/>
      <c r="I217" s="197"/>
      <c r="J217" s="197"/>
    </row>
    <row r="218">
      <c r="A218" s="199"/>
      <c r="B218" s="200"/>
      <c r="C218" s="200"/>
      <c r="D218" s="201"/>
      <c r="E218" s="202"/>
      <c r="F218" s="197"/>
      <c r="G218" s="197"/>
      <c r="H218" s="197"/>
      <c r="I218" s="197"/>
      <c r="J218" s="197"/>
    </row>
    <row r="219">
      <c r="A219" s="199"/>
      <c r="B219" s="200"/>
      <c r="C219" s="200"/>
      <c r="D219" s="201"/>
      <c r="E219" s="202"/>
      <c r="F219" s="197"/>
      <c r="G219" s="197"/>
      <c r="H219" s="197"/>
      <c r="I219" s="197"/>
      <c r="J219" s="197"/>
    </row>
    <row r="220">
      <c r="A220" s="199"/>
      <c r="B220" s="200"/>
      <c r="C220" s="200"/>
      <c r="D220" s="201"/>
      <c r="E220" s="202"/>
      <c r="F220" s="197"/>
      <c r="G220" s="197"/>
      <c r="H220" s="197"/>
      <c r="I220" s="197"/>
      <c r="J220" s="197"/>
    </row>
    <row r="221">
      <c r="A221" s="199"/>
      <c r="B221" s="200"/>
      <c r="C221" s="200"/>
      <c r="D221" s="201"/>
      <c r="E221" s="202"/>
      <c r="F221" s="197"/>
      <c r="G221" s="197"/>
      <c r="H221" s="197"/>
      <c r="I221" s="197"/>
      <c r="J221" s="197"/>
    </row>
    <row r="222">
      <c r="A222" s="199"/>
      <c r="B222" s="200"/>
      <c r="C222" s="200"/>
      <c r="D222" s="201"/>
      <c r="E222" s="202"/>
      <c r="F222" s="197"/>
      <c r="G222" s="197"/>
      <c r="H222" s="197"/>
      <c r="I222" s="197"/>
      <c r="J222" s="197"/>
    </row>
    <row r="223">
      <c r="A223" s="199"/>
      <c r="B223" s="200"/>
      <c r="C223" s="200"/>
      <c r="D223" s="201"/>
      <c r="E223" s="202"/>
      <c r="F223" s="197"/>
      <c r="G223" s="197"/>
      <c r="H223" s="197"/>
      <c r="I223" s="197"/>
      <c r="J223" s="197"/>
    </row>
    <row r="224">
      <c r="A224" s="199"/>
      <c r="B224" s="200"/>
      <c r="C224" s="200"/>
      <c r="D224" s="201"/>
      <c r="E224" s="202"/>
      <c r="F224" s="197"/>
      <c r="G224" s="197"/>
      <c r="H224" s="197"/>
      <c r="I224" s="197"/>
      <c r="J224" s="197"/>
    </row>
    <row r="225">
      <c r="A225" s="199"/>
      <c r="B225" s="200"/>
      <c r="C225" s="200"/>
      <c r="D225" s="201"/>
      <c r="E225" s="202"/>
      <c r="F225" s="197"/>
      <c r="G225" s="197"/>
      <c r="H225" s="197"/>
      <c r="I225" s="197"/>
      <c r="J225" s="197"/>
    </row>
    <row r="226">
      <c r="A226" s="199"/>
      <c r="B226" s="200"/>
      <c r="C226" s="200"/>
      <c r="D226" s="201"/>
      <c r="E226" s="202"/>
      <c r="F226" s="197"/>
      <c r="G226" s="197"/>
      <c r="H226" s="197"/>
      <c r="I226" s="197"/>
      <c r="J226" s="197"/>
    </row>
    <row r="227">
      <c r="A227" s="199"/>
      <c r="B227" s="200"/>
      <c r="C227" s="200"/>
      <c r="D227" s="201"/>
      <c r="E227" s="202"/>
      <c r="F227" s="197"/>
      <c r="G227" s="197"/>
      <c r="H227" s="197"/>
      <c r="I227" s="197"/>
      <c r="J227" s="197"/>
    </row>
    <row r="228">
      <c r="A228" s="199"/>
      <c r="B228" s="200"/>
      <c r="C228" s="200"/>
      <c r="D228" s="201"/>
      <c r="E228" s="202"/>
      <c r="F228" s="197"/>
      <c r="G228" s="197"/>
      <c r="H228" s="197"/>
      <c r="I228" s="197"/>
      <c r="J228" s="197"/>
    </row>
    <row r="229">
      <c r="A229" s="199"/>
      <c r="B229" s="200"/>
      <c r="C229" s="200"/>
      <c r="D229" s="201"/>
      <c r="E229" s="202"/>
      <c r="F229" s="197"/>
      <c r="G229" s="197"/>
      <c r="H229" s="197"/>
      <c r="I229" s="197"/>
      <c r="J229" s="197"/>
    </row>
    <row r="230">
      <c r="A230" s="199"/>
      <c r="B230" s="200"/>
      <c r="C230" s="200"/>
      <c r="D230" s="201"/>
      <c r="E230" s="202"/>
      <c r="F230" s="197"/>
      <c r="G230" s="197"/>
      <c r="H230" s="197"/>
      <c r="I230" s="197"/>
      <c r="J230" s="197"/>
    </row>
    <row r="231">
      <c r="A231" s="199"/>
      <c r="B231" s="200"/>
      <c r="C231" s="200"/>
      <c r="D231" s="201"/>
      <c r="E231" s="202"/>
      <c r="F231" s="197"/>
      <c r="G231" s="197"/>
      <c r="H231" s="197"/>
      <c r="I231" s="197"/>
      <c r="J231" s="197"/>
    </row>
    <row r="232">
      <c r="A232" s="199"/>
      <c r="B232" s="200"/>
      <c r="C232" s="200"/>
      <c r="D232" s="201"/>
      <c r="E232" s="202"/>
      <c r="F232" s="197"/>
      <c r="G232" s="197"/>
      <c r="H232" s="197"/>
      <c r="I232" s="197"/>
      <c r="J232" s="197"/>
    </row>
    <row r="233">
      <c r="A233" s="199"/>
      <c r="B233" s="200"/>
      <c r="C233" s="200"/>
      <c r="D233" s="201"/>
      <c r="E233" s="202"/>
      <c r="F233" s="197"/>
      <c r="G233" s="197"/>
      <c r="H233" s="197"/>
      <c r="I233" s="197"/>
      <c r="J233" s="197"/>
    </row>
    <row r="234">
      <c r="A234" s="199"/>
      <c r="B234" s="200"/>
      <c r="C234" s="200"/>
      <c r="D234" s="201"/>
      <c r="E234" s="202"/>
      <c r="F234" s="197"/>
      <c r="G234" s="197"/>
      <c r="H234" s="197"/>
      <c r="I234" s="197"/>
      <c r="J234" s="197"/>
    </row>
    <row r="235">
      <c r="A235" s="199"/>
      <c r="B235" s="200"/>
      <c r="C235" s="200"/>
      <c r="D235" s="201"/>
      <c r="E235" s="202"/>
      <c r="F235" s="197"/>
      <c r="G235" s="197"/>
      <c r="H235" s="197"/>
      <c r="I235" s="197"/>
      <c r="J235" s="197"/>
    </row>
    <row r="236">
      <c r="A236" s="199"/>
      <c r="B236" s="200"/>
      <c r="C236" s="200"/>
      <c r="D236" s="201"/>
      <c r="E236" s="202"/>
      <c r="F236" s="197"/>
      <c r="G236" s="197"/>
      <c r="H236" s="197"/>
      <c r="I236" s="197"/>
      <c r="J236" s="197"/>
    </row>
    <row r="237">
      <c r="A237" s="199"/>
      <c r="B237" s="200"/>
      <c r="C237" s="200"/>
      <c r="D237" s="201"/>
      <c r="E237" s="202"/>
      <c r="F237" s="197"/>
      <c r="G237" s="197"/>
      <c r="H237" s="197"/>
      <c r="I237" s="197"/>
      <c r="J237" s="197"/>
    </row>
    <row r="238">
      <c r="A238" s="199"/>
      <c r="B238" s="200"/>
      <c r="C238" s="200"/>
      <c r="D238" s="201"/>
      <c r="E238" s="202"/>
      <c r="F238" s="197"/>
      <c r="G238" s="197"/>
      <c r="H238" s="197"/>
      <c r="I238" s="197"/>
      <c r="J238" s="197"/>
    </row>
    <row r="239">
      <c r="A239" s="199"/>
      <c r="B239" s="200"/>
      <c r="C239" s="200"/>
      <c r="D239" s="201"/>
      <c r="E239" s="202"/>
      <c r="F239" s="197"/>
      <c r="G239" s="197"/>
      <c r="H239" s="197"/>
      <c r="I239" s="197"/>
      <c r="J239" s="197"/>
    </row>
    <row r="240">
      <c r="A240" s="199"/>
      <c r="B240" s="200"/>
      <c r="C240" s="200"/>
      <c r="D240" s="201"/>
      <c r="E240" s="202"/>
      <c r="F240" s="197"/>
      <c r="G240" s="197"/>
      <c r="H240" s="197"/>
      <c r="I240" s="197"/>
      <c r="J240" s="197"/>
    </row>
    <row r="241">
      <c r="A241" s="199"/>
      <c r="B241" s="200"/>
      <c r="C241" s="200"/>
      <c r="D241" s="201"/>
      <c r="E241" s="202"/>
      <c r="F241" s="197"/>
      <c r="G241" s="197"/>
      <c r="H241" s="197"/>
      <c r="I241" s="197"/>
      <c r="J241" s="197"/>
    </row>
    <row r="242">
      <c r="A242" s="199"/>
      <c r="B242" s="200"/>
      <c r="C242" s="200"/>
      <c r="D242" s="201"/>
      <c r="E242" s="202"/>
      <c r="F242" s="197"/>
      <c r="G242" s="197"/>
      <c r="H242" s="197"/>
      <c r="I242" s="197"/>
      <c r="J242" s="197"/>
    </row>
    <row r="243">
      <c r="A243" s="199"/>
      <c r="B243" s="200"/>
      <c r="C243" s="200"/>
      <c r="D243" s="201"/>
      <c r="E243" s="202"/>
      <c r="F243" s="197"/>
      <c r="G243" s="197"/>
      <c r="H243" s="197"/>
      <c r="I243" s="197"/>
      <c r="J243" s="197"/>
    </row>
    <row r="244">
      <c r="A244" s="199"/>
      <c r="B244" s="200"/>
      <c r="C244" s="200"/>
      <c r="D244" s="201"/>
      <c r="E244" s="202"/>
      <c r="F244" s="197"/>
      <c r="G244" s="197"/>
      <c r="H244" s="197"/>
      <c r="I244" s="197"/>
      <c r="J244" s="197"/>
    </row>
    <row r="245">
      <c r="A245" s="199"/>
      <c r="B245" s="200"/>
      <c r="C245" s="200"/>
      <c r="D245" s="201"/>
      <c r="E245" s="202"/>
      <c r="F245" s="197"/>
      <c r="G245" s="197"/>
      <c r="H245" s="197"/>
      <c r="I245" s="197"/>
      <c r="J245" s="197"/>
    </row>
    <row r="246">
      <c r="A246" s="199"/>
      <c r="B246" s="200"/>
      <c r="C246" s="200"/>
      <c r="D246" s="201"/>
      <c r="E246" s="202"/>
      <c r="F246" s="197"/>
      <c r="G246" s="197"/>
      <c r="H246" s="197"/>
      <c r="I246" s="197"/>
      <c r="J246" s="197"/>
    </row>
    <row r="247">
      <c r="A247" s="199"/>
      <c r="B247" s="200"/>
      <c r="C247" s="200"/>
      <c r="D247" s="201"/>
      <c r="E247" s="202"/>
      <c r="F247" s="197"/>
      <c r="G247" s="197"/>
      <c r="H247" s="197"/>
      <c r="I247" s="197"/>
      <c r="J247" s="197"/>
    </row>
    <row r="248">
      <c r="A248" s="199"/>
      <c r="B248" s="200"/>
      <c r="C248" s="200"/>
      <c r="D248" s="201"/>
      <c r="E248" s="202"/>
      <c r="F248" s="197"/>
      <c r="G248" s="197"/>
      <c r="H248" s="197"/>
      <c r="I248" s="197"/>
      <c r="J248" s="197"/>
    </row>
    <row r="249">
      <c r="A249" s="199"/>
      <c r="B249" s="200"/>
      <c r="C249" s="200"/>
      <c r="D249" s="201"/>
      <c r="E249" s="202"/>
      <c r="F249" s="197"/>
      <c r="G249" s="197"/>
      <c r="H249" s="197"/>
      <c r="I249" s="197"/>
      <c r="J249" s="197"/>
    </row>
    <row r="250">
      <c r="A250" s="199"/>
      <c r="B250" s="200"/>
      <c r="C250" s="200"/>
      <c r="D250" s="201"/>
      <c r="E250" s="202"/>
      <c r="F250" s="197"/>
      <c r="G250" s="197"/>
      <c r="H250" s="197"/>
      <c r="I250" s="197"/>
      <c r="J250" s="197"/>
    </row>
    <row r="251">
      <c r="A251" s="199"/>
      <c r="B251" s="200"/>
      <c r="C251" s="200"/>
      <c r="D251" s="201"/>
      <c r="E251" s="202"/>
      <c r="F251" s="197"/>
      <c r="G251" s="197"/>
      <c r="H251" s="197"/>
      <c r="I251" s="197"/>
      <c r="J251" s="197"/>
    </row>
    <row r="252">
      <c r="A252" s="199"/>
      <c r="B252" s="200"/>
      <c r="C252" s="200"/>
      <c r="D252" s="201"/>
      <c r="E252" s="202"/>
      <c r="F252" s="197"/>
      <c r="G252" s="197"/>
      <c r="H252" s="197"/>
      <c r="I252" s="197"/>
      <c r="J252" s="197"/>
    </row>
    <row r="253">
      <c r="A253" s="199"/>
      <c r="B253" s="200"/>
      <c r="C253" s="200"/>
      <c r="D253" s="201"/>
      <c r="E253" s="202"/>
      <c r="F253" s="197"/>
      <c r="G253" s="197"/>
      <c r="H253" s="197"/>
      <c r="I253" s="197"/>
      <c r="J253" s="197"/>
    </row>
    <row r="254">
      <c r="A254" s="199"/>
      <c r="B254" s="200"/>
      <c r="C254" s="200"/>
      <c r="D254" s="201"/>
      <c r="E254" s="202"/>
      <c r="F254" s="197"/>
      <c r="G254" s="197"/>
      <c r="H254" s="197"/>
      <c r="I254" s="197"/>
      <c r="J254" s="197"/>
    </row>
    <row r="255">
      <c r="A255" s="199"/>
      <c r="B255" s="200"/>
      <c r="C255" s="200"/>
      <c r="D255" s="201"/>
      <c r="E255" s="202"/>
      <c r="F255" s="197"/>
      <c r="G255" s="197"/>
      <c r="H255" s="197"/>
      <c r="I255" s="197"/>
      <c r="J255" s="197"/>
    </row>
    <row r="256">
      <c r="A256" s="199"/>
      <c r="B256" s="200"/>
      <c r="C256" s="200"/>
      <c r="D256" s="201"/>
      <c r="E256" s="202"/>
      <c r="F256" s="197"/>
      <c r="G256" s="197"/>
      <c r="H256" s="197"/>
      <c r="I256" s="197"/>
      <c r="J256" s="197"/>
    </row>
    <row r="257">
      <c r="A257" s="199"/>
      <c r="B257" s="200"/>
      <c r="C257" s="200"/>
      <c r="D257" s="201"/>
      <c r="E257" s="202"/>
      <c r="F257" s="197"/>
      <c r="G257" s="197"/>
      <c r="H257" s="197"/>
      <c r="I257" s="197"/>
      <c r="J257" s="197"/>
    </row>
    <row r="258">
      <c r="A258" s="199"/>
      <c r="B258" s="200"/>
      <c r="C258" s="200"/>
      <c r="D258" s="201"/>
      <c r="E258" s="202"/>
      <c r="F258" s="197"/>
      <c r="G258" s="197"/>
      <c r="H258" s="197"/>
      <c r="I258" s="197"/>
      <c r="J258" s="197"/>
    </row>
    <row r="259">
      <c r="A259" s="199"/>
      <c r="B259" s="200"/>
      <c r="C259" s="200"/>
      <c r="D259" s="201"/>
      <c r="E259" s="202"/>
      <c r="F259" s="197"/>
      <c r="G259" s="197"/>
      <c r="H259" s="197"/>
      <c r="I259" s="197"/>
      <c r="J259" s="197"/>
    </row>
    <row r="260">
      <c r="A260" s="199"/>
      <c r="B260" s="200"/>
      <c r="C260" s="200"/>
      <c r="D260" s="201"/>
      <c r="E260" s="202"/>
      <c r="F260" s="197"/>
      <c r="G260" s="197"/>
      <c r="H260" s="197"/>
      <c r="I260" s="197"/>
      <c r="J260" s="197"/>
    </row>
    <row r="261">
      <c r="A261" s="199"/>
      <c r="B261" s="200"/>
      <c r="C261" s="200"/>
      <c r="D261" s="201"/>
      <c r="E261" s="202"/>
      <c r="F261" s="197"/>
      <c r="G261" s="197"/>
      <c r="H261" s="197"/>
      <c r="I261" s="197"/>
      <c r="J261" s="197"/>
    </row>
    <row r="262">
      <c r="A262" s="199"/>
      <c r="B262" s="200"/>
      <c r="C262" s="200"/>
      <c r="D262" s="201"/>
      <c r="E262" s="202"/>
      <c r="F262" s="197"/>
      <c r="G262" s="197"/>
      <c r="H262" s="197"/>
      <c r="I262" s="197"/>
      <c r="J262" s="197"/>
    </row>
    <row r="263">
      <c r="A263" s="199"/>
      <c r="B263" s="200"/>
      <c r="C263" s="200"/>
      <c r="D263" s="201"/>
      <c r="E263" s="202"/>
      <c r="F263" s="197"/>
      <c r="G263" s="197"/>
      <c r="H263" s="197"/>
      <c r="I263" s="197"/>
      <c r="J263" s="197"/>
    </row>
    <row r="264">
      <c r="A264" s="199"/>
      <c r="B264" s="200"/>
      <c r="C264" s="200"/>
      <c r="D264" s="201"/>
      <c r="E264" s="202"/>
      <c r="F264" s="197"/>
      <c r="G264" s="197"/>
      <c r="H264" s="197"/>
      <c r="I264" s="197"/>
      <c r="J264" s="197"/>
    </row>
    <row r="265">
      <c r="A265" s="199"/>
      <c r="B265" s="200"/>
      <c r="C265" s="200"/>
      <c r="D265" s="201"/>
      <c r="E265" s="202"/>
      <c r="F265" s="197"/>
      <c r="G265" s="197"/>
      <c r="H265" s="197"/>
      <c r="I265" s="197"/>
      <c r="J265" s="197"/>
    </row>
    <row r="266">
      <c r="A266" s="199"/>
      <c r="B266" s="200"/>
      <c r="C266" s="200"/>
      <c r="D266" s="201"/>
      <c r="E266" s="202"/>
      <c r="F266" s="197"/>
      <c r="G266" s="197"/>
      <c r="H266" s="197"/>
      <c r="I266" s="197"/>
      <c r="J266" s="197"/>
    </row>
    <row r="267">
      <c r="A267" s="199"/>
      <c r="B267" s="200"/>
      <c r="C267" s="200"/>
      <c r="D267" s="201"/>
      <c r="E267" s="202"/>
      <c r="F267" s="197"/>
      <c r="G267" s="197"/>
      <c r="H267" s="197"/>
      <c r="I267" s="197"/>
      <c r="J267" s="197"/>
    </row>
    <row r="268">
      <c r="A268" s="199"/>
      <c r="B268" s="200"/>
      <c r="C268" s="200"/>
      <c r="D268" s="201"/>
      <c r="E268" s="202"/>
      <c r="F268" s="197"/>
      <c r="G268" s="197"/>
      <c r="H268" s="197"/>
      <c r="I268" s="197"/>
      <c r="J268" s="197"/>
    </row>
    <row r="269">
      <c r="A269" s="199"/>
      <c r="B269" s="200"/>
      <c r="C269" s="200"/>
      <c r="D269" s="201"/>
      <c r="E269" s="202"/>
      <c r="F269" s="197"/>
      <c r="G269" s="197"/>
      <c r="H269" s="197"/>
      <c r="I269" s="197"/>
      <c r="J269" s="197"/>
    </row>
    <row r="270">
      <c r="A270" s="199"/>
      <c r="B270" s="200"/>
      <c r="C270" s="200"/>
      <c r="D270" s="201"/>
      <c r="E270" s="202"/>
      <c r="F270" s="197"/>
      <c r="G270" s="197"/>
      <c r="H270" s="197"/>
      <c r="I270" s="197"/>
      <c r="J270" s="197"/>
    </row>
    <row r="271">
      <c r="A271" s="199"/>
      <c r="B271" s="200"/>
      <c r="C271" s="200"/>
      <c r="D271" s="201"/>
      <c r="E271" s="202"/>
      <c r="F271" s="197"/>
      <c r="G271" s="197"/>
      <c r="H271" s="197"/>
      <c r="I271" s="197"/>
      <c r="J271" s="197"/>
    </row>
    <row r="272">
      <c r="A272" s="199"/>
      <c r="B272" s="200"/>
      <c r="C272" s="200"/>
      <c r="D272" s="201"/>
      <c r="E272" s="202"/>
      <c r="F272" s="197"/>
      <c r="G272" s="197"/>
      <c r="H272" s="197"/>
      <c r="I272" s="197"/>
      <c r="J272" s="197"/>
    </row>
    <row r="273">
      <c r="A273" s="199"/>
      <c r="B273" s="200"/>
      <c r="C273" s="200"/>
      <c r="D273" s="201"/>
      <c r="E273" s="202"/>
      <c r="F273" s="197"/>
      <c r="G273" s="197"/>
      <c r="H273" s="197"/>
      <c r="I273" s="197"/>
      <c r="J273" s="197"/>
    </row>
    <row r="274">
      <c r="A274" s="199"/>
      <c r="B274" s="200"/>
      <c r="C274" s="200"/>
      <c r="D274" s="201"/>
      <c r="E274" s="202"/>
      <c r="F274" s="197"/>
      <c r="G274" s="197"/>
      <c r="H274" s="197"/>
      <c r="I274" s="197"/>
      <c r="J274" s="197"/>
    </row>
    <row r="275">
      <c r="A275" s="199"/>
      <c r="B275" s="200"/>
      <c r="C275" s="200"/>
      <c r="D275" s="201"/>
      <c r="E275" s="202"/>
      <c r="F275" s="197"/>
      <c r="G275" s="197"/>
      <c r="H275" s="197"/>
      <c r="I275" s="197"/>
      <c r="J275" s="197"/>
    </row>
    <row r="276">
      <c r="A276" s="199"/>
      <c r="B276" s="200"/>
      <c r="C276" s="200"/>
      <c r="D276" s="201"/>
      <c r="E276" s="202"/>
      <c r="F276" s="197"/>
      <c r="G276" s="197"/>
      <c r="H276" s="197"/>
      <c r="I276" s="197"/>
      <c r="J276" s="197"/>
    </row>
    <row r="277">
      <c r="A277" s="199"/>
      <c r="B277" s="200"/>
      <c r="C277" s="200"/>
      <c r="D277" s="201"/>
      <c r="E277" s="202"/>
      <c r="F277" s="197"/>
      <c r="G277" s="197"/>
      <c r="H277" s="197"/>
      <c r="I277" s="197"/>
      <c r="J277" s="197"/>
    </row>
    <row r="278">
      <c r="A278" s="199"/>
      <c r="B278" s="200"/>
      <c r="C278" s="200"/>
      <c r="D278" s="201"/>
      <c r="E278" s="202"/>
      <c r="F278" s="197"/>
      <c r="G278" s="197"/>
      <c r="H278" s="197"/>
      <c r="I278" s="197"/>
      <c r="J278" s="197"/>
    </row>
    <row r="279">
      <c r="A279" s="199"/>
      <c r="B279" s="200"/>
      <c r="C279" s="200"/>
      <c r="D279" s="201"/>
      <c r="E279" s="202"/>
      <c r="F279" s="197"/>
      <c r="G279" s="197"/>
      <c r="H279" s="197"/>
      <c r="I279" s="197"/>
      <c r="J279" s="197"/>
    </row>
    <row r="280">
      <c r="A280" s="199"/>
      <c r="B280" s="200"/>
      <c r="C280" s="200"/>
      <c r="D280" s="201"/>
      <c r="E280" s="202"/>
      <c r="F280" s="197"/>
      <c r="G280" s="197"/>
      <c r="H280" s="197"/>
      <c r="I280" s="197"/>
      <c r="J280" s="197"/>
    </row>
    <row r="281">
      <c r="A281" s="199"/>
      <c r="B281" s="200"/>
      <c r="C281" s="200"/>
      <c r="D281" s="201"/>
      <c r="E281" s="202"/>
      <c r="F281" s="197"/>
      <c r="G281" s="197"/>
      <c r="H281" s="197"/>
      <c r="I281" s="197"/>
      <c r="J281" s="197"/>
    </row>
    <row r="282">
      <c r="A282" s="199"/>
      <c r="B282" s="200"/>
      <c r="C282" s="200"/>
      <c r="D282" s="201"/>
      <c r="E282" s="202"/>
      <c r="F282" s="197"/>
      <c r="G282" s="197"/>
      <c r="H282" s="197"/>
      <c r="I282" s="197"/>
      <c r="J282" s="197"/>
    </row>
    <row r="283">
      <c r="A283" s="199"/>
      <c r="B283" s="200"/>
      <c r="C283" s="200"/>
      <c r="D283" s="201"/>
      <c r="E283" s="202"/>
      <c r="F283" s="197"/>
      <c r="G283" s="197"/>
      <c r="H283" s="197"/>
      <c r="I283" s="197"/>
      <c r="J283" s="197"/>
    </row>
    <row r="284">
      <c r="A284" s="199"/>
      <c r="B284" s="200"/>
      <c r="C284" s="200"/>
      <c r="D284" s="201"/>
      <c r="E284" s="202"/>
      <c r="F284" s="197"/>
      <c r="G284" s="197"/>
      <c r="H284" s="197"/>
      <c r="I284" s="197"/>
      <c r="J284" s="197"/>
    </row>
    <row r="285">
      <c r="A285" s="199"/>
      <c r="B285" s="200"/>
      <c r="C285" s="200"/>
      <c r="D285" s="201"/>
      <c r="E285" s="202"/>
      <c r="F285" s="197"/>
      <c r="G285" s="197"/>
      <c r="H285" s="197"/>
      <c r="I285" s="197"/>
      <c r="J285" s="197"/>
    </row>
    <row r="286">
      <c r="A286" s="199"/>
      <c r="B286" s="200"/>
      <c r="C286" s="200"/>
      <c r="D286" s="201"/>
      <c r="E286" s="202"/>
      <c r="F286" s="197"/>
      <c r="G286" s="197"/>
      <c r="H286" s="197"/>
      <c r="I286" s="197"/>
      <c r="J286" s="197"/>
    </row>
    <row r="287">
      <c r="A287" s="199"/>
      <c r="B287" s="200"/>
      <c r="C287" s="200"/>
      <c r="D287" s="201"/>
      <c r="E287" s="202"/>
      <c r="F287" s="197"/>
      <c r="G287" s="197"/>
      <c r="H287" s="197"/>
      <c r="I287" s="197"/>
      <c r="J287" s="197"/>
    </row>
    <row r="288">
      <c r="A288" s="199"/>
      <c r="B288" s="200"/>
      <c r="C288" s="200"/>
      <c r="D288" s="201"/>
      <c r="E288" s="202"/>
      <c r="F288" s="197"/>
      <c r="G288" s="197"/>
      <c r="H288" s="197"/>
      <c r="I288" s="197"/>
      <c r="J288" s="197"/>
    </row>
    <row r="289">
      <c r="A289" s="199"/>
      <c r="B289" s="200"/>
      <c r="C289" s="200"/>
      <c r="D289" s="201"/>
      <c r="E289" s="202"/>
      <c r="F289" s="197"/>
      <c r="G289" s="197"/>
      <c r="H289" s="197"/>
      <c r="I289" s="197"/>
      <c r="J289" s="197"/>
    </row>
    <row r="290">
      <c r="A290" s="199"/>
      <c r="B290" s="200"/>
      <c r="C290" s="200"/>
      <c r="D290" s="201"/>
      <c r="E290" s="202"/>
      <c r="F290" s="197"/>
      <c r="G290" s="197"/>
      <c r="H290" s="197"/>
      <c r="I290" s="197"/>
      <c r="J290" s="197"/>
    </row>
    <row r="291">
      <c r="A291" s="199"/>
      <c r="B291" s="200"/>
      <c r="C291" s="200"/>
      <c r="D291" s="201"/>
      <c r="E291" s="202"/>
      <c r="F291" s="197"/>
      <c r="G291" s="197"/>
      <c r="H291" s="197"/>
      <c r="I291" s="197"/>
      <c r="J291" s="197"/>
    </row>
    <row r="292">
      <c r="A292" s="199"/>
      <c r="B292" s="200"/>
      <c r="C292" s="200"/>
      <c r="D292" s="201"/>
      <c r="E292" s="202"/>
      <c r="F292" s="197"/>
      <c r="G292" s="197"/>
      <c r="H292" s="197"/>
      <c r="I292" s="197"/>
      <c r="J292" s="197"/>
    </row>
    <row r="293">
      <c r="A293" s="199"/>
      <c r="B293" s="200"/>
      <c r="C293" s="200"/>
      <c r="D293" s="201"/>
      <c r="E293" s="202"/>
      <c r="F293" s="197"/>
      <c r="G293" s="197"/>
      <c r="H293" s="197"/>
      <c r="I293" s="197"/>
      <c r="J293" s="197"/>
    </row>
    <row r="294">
      <c r="A294" s="199"/>
      <c r="B294" s="200"/>
      <c r="C294" s="200"/>
      <c r="D294" s="201"/>
      <c r="E294" s="202"/>
      <c r="F294" s="197"/>
      <c r="G294" s="197"/>
      <c r="H294" s="197"/>
      <c r="I294" s="197"/>
      <c r="J294" s="197"/>
    </row>
    <row r="295">
      <c r="A295" s="199"/>
      <c r="B295" s="200"/>
      <c r="C295" s="200"/>
      <c r="D295" s="201"/>
      <c r="E295" s="202"/>
      <c r="F295" s="197"/>
      <c r="G295" s="197"/>
      <c r="H295" s="197"/>
      <c r="I295" s="197"/>
      <c r="J295" s="197"/>
    </row>
    <row r="296">
      <c r="A296" s="199"/>
      <c r="B296" s="200"/>
      <c r="C296" s="200"/>
      <c r="D296" s="201"/>
      <c r="E296" s="202"/>
      <c r="F296" s="197"/>
      <c r="G296" s="197"/>
      <c r="H296" s="197"/>
      <c r="I296" s="197"/>
      <c r="J296" s="197"/>
    </row>
    <row r="297">
      <c r="A297" s="199"/>
      <c r="B297" s="200"/>
      <c r="C297" s="200"/>
      <c r="D297" s="201"/>
      <c r="E297" s="202"/>
      <c r="F297" s="197"/>
      <c r="G297" s="197"/>
      <c r="H297" s="197"/>
      <c r="I297" s="197"/>
      <c r="J297" s="197"/>
    </row>
    <row r="298">
      <c r="A298" s="199"/>
      <c r="B298" s="200"/>
      <c r="C298" s="200"/>
      <c r="D298" s="201"/>
      <c r="E298" s="202"/>
      <c r="F298" s="197"/>
      <c r="G298" s="197"/>
      <c r="H298" s="197"/>
      <c r="I298" s="197"/>
      <c r="J298" s="197"/>
    </row>
    <row r="299">
      <c r="A299" s="199"/>
      <c r="B299" s="200"/>
      <c r="C299" s="200"/>
      <c r="D299" s="201"/>
      <c r="E299" s="202"/>
      <c r="F299" s="197"/>
      <c r="G299" s="197"/>
      <c r="H299" s="197"/>
      <c r="I299" s="197"/>
      <c r="J299" s="197"/>
    </row>
    <row r="300">
      <c r="A300" s="199"/>
      <c r="B300" s="200"/>
      <c r="C300" s="200"/>
      <c r="D300" s="201"/>
      <c r="E300" s="202"/>
      <c r="F300" s="197"/>
      <c r="G300" s="197"/>
      <c r="H300" s="197"/>
      <c r="I300" s="197"/>
      <c r="J300" s="197"/>
    </row>
    <row r="301">
      <c r="A301" s="199"/>
      <c r="B301" s="200"/>
      <c r="C301" s="200"/>
      <c r="D301" s="201"/>
      <c r="E301" s="202"/>
      <c r="F301" s="197"/>
      <c r="G301" s="197"/>
      <c r="H301" s="197"/>
      <c r="I301" s="197"/>
      <c r="J301" s="197"/>
    </row>
    <row r="302">
      <c r="A302" s="199"/>
      <c r="B302" s="200"/>
      <c r="C302" s="200"/>
      <c r="D302" s="201"/>
      <c r="E302" s="202"/>
      <c r="F302" s="197"/>
      <c r="G302" s="197"/>
      <c r="H302" s="197"/>
      <c r="I302" s="197"/>
      <c r="J302" s="197"/>
    </row>
    <row r="303">
      <c r="A303" s="199"/>
      <c r="B303" s="200"/>
      <c r="C303" s="200"/>
      <c r="D303" s="201"/>
      <c r="E303" s="202"/>
      <c r="F303" s="197"/>
      <c r="G303" s="197"/>
      <c r="H303" s="197"/>
      <c r="I303" s="197"/>
      <c r="J303" s="197"/>
    </row>
    <row r="304">
      <c r="A304" s="199"/>
      <c r="B304" s="200"/>
      <c r="C304" s="200"/>
      <c r="D304" s="201"/>
      <c r="E304" s="202"/>
      <c r="F304" s="197"/>
      <c r="G304" s="197"/>
      <c r="H304" s="197"/>
      <c r="I304" s="197"/>
      <c r="J304" s="197"/>
    </row>
    <row r="305">
      <c r="A305" s="199"/>
      <c r="B305" s="200"/>
      <c r="C305" s="200"/>
      <c r="D305" s="201"/>
      <c r="E305" s="202"/>
      <c r="F305" s="197"/>
      <c r="G305" s="197"/>
      <c r="H305" s="197"/>
      <c r="I305" s="197"/>
      <c r="J305" s="197"/>
    </row>
    <row r="306">
      <c r="A306" s="199"/>
      <c r="B306" s="200"/>
      <c r="C306" s="200"/>
      <c r="D306" s="201"/>
      <c r="E306" s="202"/>
      <c r="F306" s="197"/>
      <c r="G306" s="197"/>
      <c r="H306" s="197"/>
      <c r="I306" s="197"/>
      <c r="J306" s="197"/>
    </row>
    <row r="307">
      <c r="A307" s="199"/>
      <c r="B307" s="200"/>
      <c r="C307" s="200"/>
      <c r="D307" s="201"/>
      <c r="E307" s="202"/>
      <c r="F307" s="197"/>
      <c r="G307" s="197"/>
      <c r="H307" s="197"/>
      <c r="I307" s="197"/>
      <c r="J307" s="197"/>
    </row>
    <row r="308">
      <c r="A308" s="199"/>
      <c r="B308" s="200"/>
      <c r="C308" s="200"/>
      <c r="D308" s="201"/>
      <c r="E308" s="202"/>
      <c r="F308" s="197"/>
      <c r="G308" s="197"/>
      <c r="H308" s="197"/>
      <c r="I308" s="197"/>
      <c r="J308" s="197"/>
    </row>
    <row r="309">
      <c r="A309" s="199"/>
      <c r="B309" s="200"/>
      <c r="C309" s="200"/>
      <c r="D309" s="201"/>
      <c r="E309" s="202"/>
      <c r="F309" s="197"/>
      <c r="G309" s="197"/>
      <c r="H309" s="197"/>
      <c r="I309" s="197"/>
      <c r="J309" s="197"/>
    </row>
    <row r="310">
      <c r="A310" s="199"/>
      <c r="B310" s="200"/>
      <c r="C310" s="200"/>
      <c r="D310" s="201"/>
      <c r="E310" s="202"/>
      <c r="F310" s="197"/>
      <c r="G310" s="197"/>
      <c r="H310" s="197"/>
      <c r="I310" s="197"/>
      <c r="J310" s="197"/>
    </row>
    <row r="311">
      <c r="A311" s="199"/>
      <c r="B311" s="200"/>
      <c r="C311" s="200"/>
      <c r="D311" s="201"/>
      <c r="E311" s="202"/>
      <c r="F311" s="197"/>
      <c r="G311" s="197"/>
      <c r="H311" s="197"/>
      <c r="I311" s="197"/>
      <c r="J311" s="197"/>
    </row>
    <row r="312">
      <c r="A312" s="199"/>
      <c r="B312" s="200"/>
      <c r="C312" s="200"/>
      <c r="D312" s="201"/>
      <c r="E312" s="202"/>
      <c r="F312" s="197"/>
      <c r="G312" s="197"/>
      <c r="H312" s="197"/>
      <c r="I312" s="197"/>
      <c r="J312" s="197"/>
    </row>
    <row r="313">
      <c r="A313" s="199"/>
      <c r="B313" s="200"/>
      <c r="C313" s="200"/>
      <c r="D313" s="201"/>
      <c r="E313" s="202"/>
      <c r="F313" s="197"/>
      <c r="G313" s="197"/>
      <c r="H313" s="197"/>
      <c r="I313" s="197"/>
      <c r="J313" s="197"/>
    </row>
    <row r="314">
      <c r="A314" s="199"/>
      <c r="B314" s="200"/>
      <c r="C314" s="200"/>
      <c r="D314" s="201"/>
      <c r="E314" s="202"/>
      <c r="F314" s="197"/>
      <c r="G314" s="197"/>
      <c r="H314" s="197"/>
      <c r="I314" s="197"/>
      <c r="J314" s="197"/>
    </row>
    <row r="315">
      <c r="A315" s="199"/>
      <c r="B315" s="200"/>
      <c r="C315" s="200"/>
      <c r="D315" s="201"/>
      <c r="E315" s="202"/>
      <c r="F315" s="197"/>
      <c r="G315" s="197"/>
      <c r="H315" s="197"/>
      <c r="I315" s="197"/>
      <c r="J315" s="197"/>
    </row>
    <row r="316">
      <c r="A316" s="199"/>
      <c r="B316" s="200"/>
      <c r="C316" s="200"/>
      <c r="D316" s="201"/>
      <c r="E316" s="202"/>
      <c r="F316" s="197"/>
      <c r="G316" s="197"/>
      <c r="H316" s="197"/>
      <c r="I316" s="197"/>
      <c r="J316" s="197"/>
    </row>
    <row r="317">
      <c r="A317" s="199"/>
      <c r="B317" s="200"/>
      <c r="C317" s="200"/>
      <c r="D317" s="201"/>
      <c r="E317" s="202"/>
      <c r="F317" s="197"/>
      <c r="G317" s="197"/>
      <c r="H317" s="197"/>
      <c r="I317" s="197"/>
      <c r="J317" s="197"/>
    </row>
    <row r="318">
      <c r="A318" s="199"/>
      <c r="B318" s="200"/>
      <c r="C318" s="200"/>
      <c r="D318" s="201"/>
      <c r="E318" s="202"/>
      <c r="F318" s="197"/>
      <c r="G318" s="197"/>
      <c r="H318" s="197"/>
      <c r="I318" s="197"/>
      <c r="J318" s="197"/>
    </row>
    <row r="319">
      <c r="A319" s="199"/>
      <c r="B319" s="200"/>
      <c r="C319" s="200"/>
      <c r="D319" s="201"/>
      <c r="E319" s="202"/>
      <c r="F319" s="197"/>
      <c r="G319" s="197"/>
      <c r="H319" s="197"/>
      <c r="I319" s="197"/>
      <c r="J319" s="197"/>
    </row>
    <row r="320">
      <c r="A320" s="199"/>
      <c r="B320" s="200"/>
      <c r="C320" s="200"/>
      <c r="D320" s="201"/>
      <c r="E320" s="202"/>
      <c r="F320" s="197"/>
      <c r="G320" s="197"/>
      <c r="H320" s="197"/>
      <c r="I320" s="197"/>
      <c r="J320" s="197"/>
    </row>
    <row r="321">
      <c r="A321" s="199"/>
      <c r="B321" s="200"/>
      <c r="C321" s="200"/>
      <c r="D321" s="201"/>
      <c r="E321" s="202"/>
      <c r="F321" s="197"/>
      <c r="G321" s="197"/>
      <c r="H321" s="197"/>
      <c r="I321" s="197"/>
      <c r="J321" s="197"/>
    </row>
    <row r="322">
      <c r="A322" s="199"/>
      <c r="B322" s="200"/>
      <c r="C322" s="200"/>
      <c r="D322" s="201"/>
      <c r="E322" s="202"/>
      <c r="F322" s="197"/>
      <c r="G322" s="197"/>
      <c r="H322" s="197"/>
      <c r="I322" s="197"/>
      <c r="J322" s="197"/>
    </row>
    <row r="323">
      <c r="A323" s="199"/>
      <c r="B323" s="200"/>
      <c r="C323" s="200"/>
      <c r="D323" s="201"/>
      <c r="E323" s="202"/>
      <c r="F323" s="197"/>
      <c r="G323" s="197"/>
      <c r="H323" s="197"/>
      <c r="I323" s="197"/>
      <c r="J323" s="197"/>
    </row>
    <row r="324">
      <c r="A324" s="199"/>
      <c r="B324" s="200"/>
      <c r="C324" s="200"/>
      <c r="D324" s="201"/>
      <c r="E324" s="202"/>
      <c r="F324" s="197"/>
      <c r="G324" s="197"/>
      <c r="H324" s="197"/>
      <c r="I324" s="197"/>
      <c r="J324" s="197"/>
    </row>
    <row r="325">
      <c r="A325" s="199"/>
      <c r="B325" s="200"/>
      <c r="C325" s="200"/>
      <c r="D325" s="201"/>
      <c r="E325" s="202"/>
      <c r="F325" s="197"/>
      <c r="G325" s="197"/>
      <c r="H325" s="197"/>
      <c r="I325" s="197"/>
      <c r="J325" s="197"/>
    </row>
    <row r="326">
      <c r="A326" s="199"/>
      <c r="B326" s="200"/>
      <c r="C326" s="200"/>
      <c r="D326" s="201"/>
      <c r="E326" s="202"/>
      <c r="F326" s="197"/>
      <c r="G326" s="197"/>
      <c r="H326" s="197"/>
      <c r="I326" s="197"/>
      <c r="J326" s="197"/>
    </row>
    <row r="327">
      <c r="A327" s="199"/>
      <c r="B327" s="200"/>
      <c r="C327" s="200"/>
      <c r="D327" s="201"/>
      <c r="E327" s="202"/>
      <c r="F327" s="197"/>
      <c r="G327" s="197"/>
      <c r="H327" s="197"/>
      <c r="I327" s="197"/>
      <c r="J327" s="197"/>
    </row>
    <row r="328">
      <c r="A328" s="199"/>
      <c r="B328" s="200"/>
      <c r="C328" s="200"/>
      <c r="D328" s="201"/>
      <c r="E328" s="202"/>
      <c r="F328" s="197"/>
      <c r="G328" s="197"/>
      <c r="H328" s="197"/>
      <c r="I328" s="197"/>
      <c r="J328" s="197"/>
    </row>
    <row r="329">
      <c r="A329" s="199"/>
      <c r="B329" s="200"/>
      <c r="C329" s="200"/>
      <c r="D329" s="201"/>
      <c r="E329" s="202"/>
      <c r="F329" s="197"/>
      <c r="G329" s="197"/>
      <c r="H329" s="197"/>
      <c r="I329" s="197"/>
      <c r="J329" s="197"/>
    </row>
    <row r="330">
      <c r="A330" s="199"/>
      <c r="B330" s="200"/>
      <c r="C330" s="200"/>
      <c r="D330" s="201"/>
      <c r="E330" s="202"/>
      <c r="F330" s="197"/>
      <c r="G330" s="197"/>
      <c r="H330" s="197"/>
      <c r="I330" s="197"/>
      <c r="J330" s="197"/>
    </row>
    <row r="331">
      <c r="A331" s="199"/>
      <c r="B331" s="200"/>
      <c r="C331" s="200"/>
      <c r="D331" s="201"/>
      <c r="E331" s="202"/>
      <c r="F331" s="197"/>
      <c r="G331" s="197"/>
      <c r="H331" s="197"/>
      <c r="I331" s="197"/>
      <c r="J331" s="197"/>
    </row>
    <row r="332">
      <c r="A332" s="199"/>
      <c r="B332" s="200"/>
      <c r="C332" s="200"/>
      <c r="D332" s="201"/>
      <c r="E332" s="202"/>
      <c r="F332" s="197"/>
      <c r="G332" s="197"/>
      <c r="H332" s="197"/>
      <c r="I332" s="197"/>
      <c r="J332" s="197"/>
    </row>
    <row r="333">
      <c r="A333" s="199"/>
      <c r="B333" s="200"/>
      <c r="C333" s="200"/>
      <c r="D333" s="201"/>
      <c r="E333" s="202"/>
      <c r="F333" s="197"/>
      <c r="G333" s="197"/>
      <c r="H333" s="197"/>
      <c r="I333" s="197"/>
      <c r="J333" s="197"/>
    </row>
    <row r="334">
      <c r="A334" s="199"/>
      <c r="B334" s="200"/>
      <c r="C334" s="200"/>
      <c r="D334" s="201"/>
      <c r="E334" s="202"/>
      <c r="F334" s="197"/>
      <c r="G334" s="197"/>
      <c r="H334" s="197"/>
      <c r="I334" s="197"/>
      <c r="J334" s="197"/>
    </row>
    <row r="335">
      <c r="A335" s="199"/>
      <c r="B335" s="200"/>
      <c r="C335" s="200"/>
      <c r="D335" s="201"/>
      <c r="E335" s="202"/>
      <c r="F335" s="197"/>
      <c r="G335" s="197"/>
      <c r="H335" s="197"/>
      <c r="I335" s="197"/>
      <c r="J335" s="197"/>
    </row>
    <row r="336">
      <c r="A336" s="199"/>
      <c r="B336" s="200"/>
      <c r="C336" s="200"/>
      <c r="D336" s="201"/>
      <c r="E336" s="202"/>
      <c r="F336" s="197"/>
      <c r="G336" s="197"/>
      <c r="H336" s="197"/>
      <c r="I336" s="197"/>
      <c r="J336" s="197"/>
    </row>
    <row r="337">
      <c r="A337" s="199"/>
      <c r="B337" s="200"/>
      <c r="C337" s="200"/>
      <c r="D337" s="201"/>
      <c r="E337" s="202"/>
      <c r="F337" s="197"/>
      <c r="G337" s="197"/>
      <c r="H337" s="197"/>
      <c r="I337" s="197"/>
      <c r="J337" s="197"/>
    </row>
    <row r="338">
      <c r="A338" s="199"/>
      <c r="B338" s="200"/>
      <c r="C338" s="200"/>
      <c r="D338" s="201"/>
      <c r="E338" s="202"/>
      <c r="F338" s="197"/>
      <c r="G338" s="197"/>
      <c r="H338" s="197"/>
      <c r="I338" s="197"/>
      <c r="J338" s="197"/>
    </row>
    <row r="339">
      <c r="A339" s="199"/>
      <c r="B339" s="200"/>
      <c r="C339" s="200"/>
      <c r="D339" s="201"/>
      <c r="E339" s="202"/>
      <c r="F339" s="197"/>
      <c r="G339" s="197"/>
      <c r="H339" s="197"/>
      <c r="I339" s="197"/>
      <c r="J339" s="197"/>
    </row>
    <row r="340">
      <c r="A340" s="199"/>
      <c r="B340" s="200"/>
      <c r="C340" s="200"/>
      <c r="D340" s="201"/>
      <c r="E340" s="202"/>
      <c r="F340" s="197"/>
      <c r="G340" s="197"/>
      <c r="H340" s="197"/>
      <c r="I340" s="197"/>
      <c r="J340" s="197"/>
    </row>
    <row r="341">
      <c r="A341" s="199"/>
      <c r="B341" s="200"/>
      <c r="C341" s="200"/>
      <c r="D341" s="201"/>
      <c r="E341" s="202"/>
      <c r="F341" s="197"/>
      <c r="G341" s="197"/>
      <c r="H341" s="197"/>
      <c r="I341" s="197"/>
      <c r="J341" s="197"/>
    </row>
    <row r="342">
      <c r="A342" s="199"/>
      <c r="B342" s="200"/>
      <c r="C342" s="200"/>
      <c r="D342" s="201"/>
      <c r="E342" s="202"/>
      <c r="F342" s="197"/>
      <c r="G342" s="197"/>
      <c r="H342" s="197"/>
      <c r="I342" s="197"/>
      <c r="J342" s="197"/>
    </row>
    <row r="343">
      <c r="A343" s="199"/>
      <c r="B343" s="200"/>
      <c r="C343" s="200"/>
      <c r="D343" s="201"/>
      <c r="E343" s="202"/>
      <c r="F343" s="197"/>
      <c r="G343" s="197"/>
      <c r="H343" s="197"/>
      <c r="I343" s="197"/>
      <c r="J343" s="197"/>
    </row>
    <row r="344">
      <c r="A344" s="199"/>
      <c r="B344" s="200"/>
      <c r="C344" s="200"/>
      <c r="D344" s="201"/>
      <c r="E344" s="202"/>
      <c r="F344" s="197"/>
      <c r="G344" s="197"/>
      <c r="H344" s="197"/>
      <c r="I344" s="197"/>
      <c r="J344" s="197"/>
    </row>
    <row r="345">
      <c r="A345" s="199"/>
      <c r="B345" s="200"/>
      <c r="C345" s="200"/>
      <c r="D345" s="201"/>
      <c r="E345" s="202"/>
      <c r="F345" s="197"/>
      <c r="G345" s="197"/>
      <c r="H345" s="197"/>
      <c r="I345" s="197"/>
      <c r="J345" s="197"/>
    </row>
    <row r="346">
      <c r="A346" s="199"/>
      <c r="B346" s="200"/>
      <c r="C346" s="200"/>
      <c r="D346" s="201"/>
      <c r="E346" s="202"/>
      <c r="F346" s="197"/>
      <c r="G346" s="197"/>
      <c r="H346" s="197"/>
      <c r="I346" s="197"/>
      <c r="J346" s="197"/>
    </row>
    <row r="347">
      <c r="A347" s="199"/>
      <c r="B347" s="200"/>
      <c r="C347" s="200"/>
      <c r="D347" s="201"/>
      <c r="E347" s="202"/>
      <c r="F347" s="197"/>
      <c r="G347" s="197"/>
      <c r="H347" s="197"/>
      <c r="I347" s="197"/>
      <c r="J347" s="197"/>
    </row>
    <row r="348">
      <c r="A348" s="199"/>
      <c r="B348" s="200"/>
      <c r="C348" s="200"/>
      <c r="D348" s="201"/>
      <c r="E348" s="202"/>
      <c r="F348" s="197"/>
      <c r="G348" s="197"/>
      <c r="H348" s="197"/>
      <c r="I348" s="197"/>
      <c r="J348" s="197"/>
    </row>
    <row r="349">
      <c r="A349" s="199"/>
      <c r="B349" s="200"/>
      <c r="C349" s="200"/>
      <c r="D349" s="201"/>
      <c r="E349" s="202"/>
      <c r="F349" s="197"/>
      <c r="G349" s="197"/>
      <c r="H349" s="197"/>
      <c r="I349" s="197"/>
      <c r="J349" s="197"/>
    </row>
    <row r="350">
      <c r="A350" s="199"/>
      <c r="B350" s="200"/>
      <c r="C350" s="200"/>
      <c r="D350" s="201"/>
      <c r="E350" s="202"/>
      <c r="F350" s="197"/>
      <c r="G350" s="197"/>
      <c r="H350" s="197"/>
      <c r="I350" s="197"/>
      <c r="J350" s="197"/>
    </row>
    <row r="351">
      <c r="A351" s="199"/>
      <c r="B351" s="200"/>
      <c r="C351" s="200"/>
      <c r="D351" s="201"/>
      <c r="E351" s="202"/>
      <c r="F351" s="197"/>
      <c r="G351" s="197"/>
      <c r="H351" s="197"/>
      <c r="I351" s="197"/>
      <c r="J351" s="197"/>
    </row>
    <row r="352">
      <c r="A352" s="199"/>
      <c r="B352" s="200"/>
      <c r="C352" s="200"/>
      <c r="D352" s="201"/>
      <c r="E352" s="202"/>
      <c r="F352" s="197"/>
      <c r="G352" s="197"/>
      <c r="H352" s="197"/>
      <c r="I352" s="197"/>
      <c r="J352" s="197"/>
    </row>
    <row r="353">
      <c r="A353" s="199"/>
      <c r="B353" s="200"/>
      <c r="C353" s="200"/>
      <c r="D353" s="201"/>
      <c r="E353" s="202"/>
      <c r="F353" s="197"/>
      <c r="G353" s="197"/>
      <c r="H353" s="197"/>
      <c r="I353" s="197"/>
      <c r="J353" s="197"/>
    </row>
    <row r="354">
      <c r="A354" s="199"/>
      <c r="B354" s="200"/>
      <c r="C354" s="200"/>
      <c r="D354" s="201"/>
      <c r="E354" s="202"/>
      <c r="F354" s="197"/>
      <c r="G354" s="197"/>
      <c r="H354" s="197"/>
      <c r="I354" s="197"/>
      <c r="J354" s="197"/>
    </row>
    <row r="355">
      <c r="A355" s="199"/>
      <c r="B355" s="200"/>
      <c r="C355" s="200"/>
      <c r="D355" s="201"/>
      <c r="E355" s="202"/>
      <c r="F355" s="197"/>
      <c r="G355" s="197"/>
      <c r="H355" s="197"/>
      <c r="I355" s="197"/>
      <c r="J355" s="197"/>
    </row>
    <row r="356">
      <c r="A356" s="199"/>
      <c r="B356" s="200"/>
      <c r="C356" s="200"/>
      <c r="D356" s="201"/>
      <c r="E356" s="202"/>
      <c r="F356" s="197"/>
      <c r="G356" s="197"/>
      <c r="H356" s="197"/>
      <c r="I356" s="197"/>
      <c r="J356" s="197"/>
    </row>
    <row r="357">
      <c r="A357" s="199"/>
      <c r="B357" s="200"/>
      <c r="C357" s="200"/>
      <c r="D357" s="201"/>
      <c r="E357" s="202"/>
      <c r="F357" s="197"/>
      <c r="G357" s="197"/>
      <c r="H357" s="197"/>
      <c r="I357" s="197"/>
      <c r="J357" s="197"/>
    </row>
    <row r="358">
      <c r="A358" s="199"/>
      <c r="B358" s="200"/>
      <c r="C358" s="200"/>
      <c r="D358" s="201"/>
      <c r="E358" s="202"/>
      <c r="F358" s="197"/>
      <c r="G358" s="197"/>
      <c r="H358" s="197"/>
      <c r="I358" s="197"/>
      <c r="J358" s="197"/>
    </row>
    <row r="359">
      <c r="A359" s="199"/>
      <c r="B359" s="200"/>
      <c r="C359" s="200"/>
      <c r="D359" s="201"/>
      <c r="E359" s="202"/>
      <c r="F359" s="197"/>
      <c r="G359" s="197"/>
      <c r="H359" s="197"/>
      <c r="I359" s="197"/>
      <c r="J359" s="197"/>
    </row>
    <row r="360">
      <c r="A360" s="199"/>
      <c r="B360" s="200"/>
      <c r="C360" s="200"/>
      <c r="D360" s="201"/>
      <c r="E360" s="202"/>
      <c r="F360" s="197"/>
      <c r="G360" s="197"/>
      <c r="H360" s="197"/>
      <c r="I360" s="197"/>
      <c r="J360" s="197"/>
    </row>
    <row r="361">
      <c r="A361" s="199"/>
      <c r="B361" s="200"/>
      <c r="C361" s="200"/>
      <c r="D361" s="201"/>
      <c r="E361" s="202"/>
      <c r="F361" s="197"/>
      <c r="G361" s="197"/>
      <c r="H361" s="197"/>
      <c r="I361" s="197"/>
      <c r="J361" s="197"/>
    </row>
    <row r="362">
      <c r="A362" s="199"/>
      <c r="B362" s="200"/>
      <c r="C362" s="200"/>
      <c r="D362" s="201"/>
      <c r="E362" s="202"/>
      <c r="F362" s="197"/>
      <c r="G362" s="197"/>
      <c r="H362" s="197"/>
      <c r="I362" s="197"/>
      <c r="J362" s="197"/>
    </row>
    <row r="363">
      <c r="A363" s="199"/>
      <c r="B363" s="200"/>
      <c r="C363" s="200"/>
      <c r="D363" s="201"/>
      <c r="E363" s="202"/>
      <c r="F363" s="197"/>
      <c r="G363" s="197"/>
      <c r="H363" s="197"/>
      <c r="I363" s="197"/>
      <c r="J363" s="197"/>
    </row>
    <row r="364">
      <c r="A364" s="199"/>
      <c r="B364" s="200"/>
      <c r="C364" s="200"/>
      <c r="D364" s="201"/>
      <c r="E364" s="202"/>
      <c r="F364" s="197"/>
      <c r="G364" s="197"/>
      <c r="H364" s="197"/>
      <c r="I364" s="197"/>
      <c r="J364" s="197"/>
    </row>
    <row r="365">
      <c r="A365" s="199"/>
      <c r="B365" s="200"/>
      <c r="C365" s="200"/>
      <c r="D365" s="201"/>
      <c r="E365" s="202"/>
      <c r="F365" s="197"/>
      <c r="G365" s="197"/>
      <c r="H365" s="197"/>
      <c r="I365" s="197"/>
      <c r="J365" s="197"/>
    </row>
    <row r="366">
      <c r="A366" s="199"/>
      <c r="B366" s="200"/>
      <c r="C366" s="200"/>
      <c r="D366" s="201"/>
      <c r="E366" s="202"/>
      <c r="F366" s="197"/>
      <c r="G366" s="197"/>
      <c r="H366" s="197"/>
      <c r="I366" s="197"/>
      <c r="J366" s="197"/>
    </row>
    <row r="367">
      <c r="A367" s="199"/>
      <c r="B367" s="200"/>
      <c r="C367" s="200"/>
      <c r="D367" s="201"/>
      <c r="E367" s="202"/>
      <c r="F367" s="197"/>
      <c r="G367" s="197"/>
      <c r="H367" s="197"/>
      <c r="I367" s="197"/>
      <c r="J367" s="197"/>
    </row>
    <row r="368">
      <c r="A368" s="199"/>
      <c r="B368" s="200"/>
      <c r="C368" s="200"/>
      <c r="D368" s="201"/>
      <c r="E368" s="202"/>
      <c r="F368" s="197"/>
      <c r="G368" s="197"/>
      <c r="H368" s="197"/>
      <c r="I368" s="197"/>
      <c r="J368" s="197"/>
    </row>
    <row r="369">
      <c r="A369" s="199"/>
      <c r="B369" s="200"/>
      <c r="C369" s="200"/>
      <c r="D369" s="201"/>
      <c r="E369" s="202"/>
      <c r="F369" s="197"/>
      <c r="G369" s="197"/>
      <c r="H369" s="197"/>
      <c r="I369" s="197"/>
      <c r="J369" s="197"/>
    </row>
    <row r="370">
      <c r="A370" s="199"/>
      <c r="B370" s="200"/>
      <c r="C370" s="200"/>
      <c r="D370" s="201"/>
      <c r="E370" s="202"/>
      <c r="F370" s="197"/>
      <c r="G370" s="197"/>
      <c r="H370" s="197"/>
      <c r="I370" s="197"/>
      <c r="J370" s="197"/>
    </row>
    <row r="371">
      <c r="A371" s="199"/>
      <c r="B371" s="200"/>
      <c r="C371" s="200"/>
      <c r="D371" s="201"/>
      <c r="E371" s="202"/>
      <c r="F371" s="197"/>
      <c r="G371" s="197"/>
      <c r="H371" s="197"/>
      <c r="I371" s="197"/>
      <c r="J371" s="197"/>
    </row>
    <row r="372">
      <c r="A372" s="199"/>
      <c r="B372" s="200"/>
      <c r="C372" s="200"/>
      <c r="D372" s="201"/>
      <c r="E372" s="202"/>
      <c r="F372" s="197"/>
      <c r="G372" s="197"/>
      <c r="H372" s="197"/>
      <c r="I372" s="197"/>
      <c r="J372" s="197"/>
    </row>
    <row r="373">
      <c r="A373" s="199"/>
      <c r="B373" s="200"/>
      <c r="C373" s="200"/>
      <c r="D373" s="201"/>
      <c r="E373" s="202"/>
      <c r="F373" s="197"/>
      <c r="G373" s="197"/>
      <c r="H373" s="197"/>
      <c r="I373" s="197"/>
      <c r="J373" s="197"/>
    </row>
    <row r="374">
      <c r="A374" s="199"/>
      <c r="B374" s="200"/>
      <c r="C374" s="200"/>
      <c r="D374" s="201"/>
      <c r="E374" s="202"/>
      <c r="F374" s="197"/>
      <c r="G374" s="197"/>
      <c r="H374" s="197"/>
      <c r="I374" s="197"/>
      <c r="J374" s="197"/>
    </row>
    <row r="375">
      <c r="A375" s="199"/>
      <c r="B375" s="200"/>
      <c r="C375" s="200"/>
      <c r="D375" s="201"/>
      <c r="E375" s="202"/>
      <c r="F375" s="197"/>
      <c r="G375" s="197"/>
      <c r="H375" s="197"/>
      <c r="I375" s="197"/>
      <c r="J375" s="197"/>
    </row>
    <row r="376">
      <c r="A376" s="199"/>
      <c r="B376" s="200"/>
      <c r="C376" s="200"/>
      <c r="D376" s="201"/>
      <c r="E376" s="202"/>
      <c r="F376" s="197"/>
      <c r="G376" s="197"/>
      <c r="H376" s="197"/>
      <c r="I376" s="197"/>
      <c r="J376" s="197"/>
    </row>
    <row r="377">
      <c r="A377" s="199"/>
      <c r="B377" s="200"/>
      <c r="C377" s="200"/>
      <c r="D377" s="201"/>
      <c r="E377" s="202"/>
      <c r="F377" s="197"/>
      <c r="G377" s="197"/>
      <c r="H377" s="197"/>
      <c r="I377" s="197"/>
      <c r="J377" s="197"/>
    </row>
    <row r="378">
      <c r="A378" s="199"/>
      <c r="B378" s="200"/>
      <c r="C378" s="200"/>
      <c r="D378" s="201"/>
      <c r="E378" s="202"/>
      <c r="F378" s="197"/>
      <c r="G378" s="197"/>
      <c r="H378" s="197"/>
      <c r="I378" s="197"/>
      <c r="J378" s="197"/>
    </row>
    <row r="379">
      <c r="A379" s="199"/>
      <c r="B379" s="200"/>
      <c r="C379" s="200"/>
      <c r="D379" s="201"/>
      <c r="E379" s="202"/>
      <c r="F379" s="197"/>
      <c r="G379" s="197"/>
      <c r="H379" s="197"/>
      <c r="I379" s="197"/>
      <c r="J379" s="197"/>
    </row>
    <row r="380">
      <c r="A380" s="199"/>
      <c r="B380" s="200"/>
      <c r="C380" s="200"/>
      <c r="D380" s="201"/>
      <c r="E380" s="202"/>
      <c r="F380" s="197"/>
      <c r="G380" s="197"/>
      <c r="H380" s="197"/>
      <c r="I380" s="197"/>
      <c r="J380" s="197"/>
    </row>
    <row r="381">
      <c r="A381" s="199"/>
      <c r="B381" s="200"/>
      <c r="C381" s="200"/>
      <c r="D381" s="201"/>
      <c r="E381" s="202"/>
      <c r="F381" s="197"/>
      <c r="G381" s="197"/>
      <c r="H381" s="197"/>
      <c r="I381" s="197"/>
      <c r="J381" s="197"/>
    </row>
    <row r="382">
      <c r="A382" s="199"/>
      <c r="B382" s="200"/>
      <c r="C382" s="200"/>
      <c r="D382" s="201"/>
      <c r="E382" s="202"/>
      <c r="F382" s="197"/>
      <c r="G382" s="197"/>
      <c r="H382" s="197"/>
      <c r="I382" s="197"/>
      <c r="J382" s="197"/>
    </row>
    <row r="383">
      <c r="A383" s="199"/>
      <c r="B383" s="200"/>
      <c r="C383" s="200"/>
      <c r="D383" s="201"/>
      <c r="E383" s="202"/>
      <c r="F383" s="197"/>
      <c r="G383" s="197"/>
      <c r="H383" s="197"/>
      <c r="I383" s="197"/>
      <c r="J383" s="197"/>
    </row>
    <row r="384">
      <c r="A384" s="199"/>
      <c r="B384" s="200"/>
      <c r="C384" s="200"/>
      <c r="D384" s="201"/>
      <c r="E384" s="202"/>
      <c r="F384" s="197"/>
      <c r="G384" s="197"/>
      <c r="H384" s="197"/>
      <c r="I384" s="197"/>
      <c r="J384" s="197"/>
    </row>
    <row r="385">
      <c r="A385" s="199"/>
      <c r="B385" s="200"/>
      <c r="C385" s="200"/>
      <c r="D385" s="201"/>
      <c r="E385" s="202"/>
      <c r="F385" s="197"/>
      <c r="G385" s="197"/>
      <c r="H385" s="197"/>
      <c r="I385" s="197"/>
      <c r="J385" s="197"/>
    </row>
    <row r="386">
      <c r="A386" s="199"/>
      <c r="B386" s="200"/>
      <c r="C386" s="200"/>
      <c r="D386" s="201"/>
      <c r="E386" s="202"/>
      <c r="F386" s="197"/>
      <c r="G386" s="197"/>
      <c r="H386" s="197"/>
      <c r="I386" s="197"/>
      <c r="J386" s="197"/>
    </row>
    <row r="387">
      <c r="A387" s="199"/>
      <c r="B387" s="200"/>
      <c r="C387" s="200"/>
      <c r="D387" s="201"/>
      <c r="E387" s="202"/>
      <c r="F387" s="197"/>
      <c r="G387" s="197"/>
      <c r="H387" s="197"/>
      <c r="I387" s="197"/>
      <c r="J387" s="197"/>
    </row>
    <row r="388">
      <c r="A388" s="199"/>
      <c r="B388" s="200"/>
      <c r="C388" s="200"/>
      <c r="D388" s="201"/>
      <c r="E388" s="202"/>
      <c r="F388" s="197"/>
      <c r="G388" s="197"/>
      <c r="H388" s="197"/>
      <c r="I388" s="197"/>
      <c r="J388" s="197"/>
    </row>
    <row r="389">
      <c r="A389" s="199"/>
      <c r="B389" s="200"/>
      <c r="C389" s="200"/>
      <c r="D389" s="201"/>
      <c r="E389" s="202"/>
      <c r="F389" s="197"/>
      <c r="G389" s="197"/>
      <c r="H389" s="197"/>
      <c r="I389" s="197"/>
      <c r="J389" s="197"/>
    </row>
    <row r="390">
      <c r="A390" s="199"/>
      <c r="B390" s="200"/>
      <c r="C390" s="200"/>
      <c r="D390" s="201"/>
      <c r="E390" s="202"/>
      <c r="F390" s="197"/>
      <c r="G390" s="197"/>
      <c r="H390" s="197"/>
      <c r="I390" s="197"/>
      <c r="J390" s="197"/>
    </row>
    <row r="391">
      <c r="A391" s="199"/>
      <c r="B391" s="200"/>
      <c r="C391" s="200"/>
      <c r="D391" s="201"/>
      <c r="E391" s="202"/>
      <c r="F391" s="197"/>
      <c r="G391" s="197"/>
      <c r="H391" s="197"/>
      <c r="I391" s="197"/>
      <c r="J391" s="197"/>
    </row>
    <row r="392">
      <c r="A392" s="199"/>
      <c r="B392" s="200"/>
      <c r="C392" s="200"/>
      <c r="D392" s="201"/>
      <c r="E392" s="202"/>
      <c r="F392" s="197"/>
      <c r="G392" s="197"/>
      <c r="H392" s="197"/>
      <c r="I392" s="197"/>
      <c r="J392" s="197"/>
    </row>
    <row r="393">
      <c r="A393" s="199"/>
      <c r="B393" s="200"/>
      <c r="C393" s="200"/>
      <c r="D393" s="201"/>
      <c r="E393" s="202"/>
      <c r="F393" s="197"/>
      <c r="G393" s="197"/>
      <c r="H393" s="197"/>
      <c r="I393" s="197"/>
      <c r="J393" s="197"/>
    </row>
    <row r="394">
      <c r="A394" s="199"/>
      <c r="B394" s="200"/>
      <c r="C394" s="200"/>
      <c r="D394" s="201"/>
      <c r="E394" s="202"/>
      <c r="F394" s="197"/>
      <c r="G394" s="197"/>
      <c r="H394" s="197"/>
      <c r="I394" s="197"/>
      <c r="J394" s="197"/>
    </row>
    <row r="395">
      <c r="A395" s="199"/>
      <c r="B395" s="200"/>
      <c r="C395" s="200"/>
      <c r="D395" s="201"/>
      <c r="E395" s="202"/>
      <c r="F395" s="197"/>
      <c r="G395" s="197"/>
      <c r="H395" s="197"/>
      <c r="I395" s="197"/>
      <c r="J395" s="197"/>
    </row>
    <row r="396">
      <c r="A396" s="199"/>
      <c r="B396" s="200"/>
      <c r="C396" s="200"/>
      <c r="D396" s="201"/>
      <c r="E396" s="202"/>
      <c r="F396" s="197"/>
      <c r="G396" s="197"/>
      <c r="H396" s="197"/>
      <c r="I396" s="197"/>
      <c r="J396" s="197"/>
    </row>
    <row r="397">
      <c r="A397" s="199"/>
      <c r="B397" s="200"/>
      <c r="C397" s="200"/>
      <c r="D397" s="201"/>
      <c r="E397" s="202"/>
      <c r="F397" s="197"/>
      <c r="G397" s="197"/>
      <c r="H397" s="197"/>
      <c r="I397" s="197"/>
      <c r="J397" s="197"/>
    </row>
    <row r="398">
      <c r="A398" s="199"/>
      <c r="B398" s="200"/>
      <c r="C398" s="200"/>
      <c r="D398" s="201"/>
      <c r="E398" s="202"/>
      <c r="F398" s="197"/>
      <c r="G398" s="197"/>
      <c r="H398" s="197"/>
      <c r="I398" s="197"/>
      <c r="J398" s="197"/>
    </row>
    <row r="399">
      <c r="A399" s="199"/>
      <c r="B399" s="200"/>
      <c r="C399" s="200"/>
      <c r="D399" s="201"/>
      <c r="E399" s="202"/>
      <c r="F399" s="197"/>
      <c r="G399" s="197"/>
      <c r="H399" s="197"/>
      <c r="I399" s="197"/>
      <c r="J399" s="197"/>
    </row>
    <row r="400">
      <c r="A400" s="199"/>
      <c r="B400" s="200"/>
      <c r="C400" s="200"/>
      <c r="D400" s="201"/>
      <c r="E400" s="202"/>
      <c r="F400" s="197"/>
      <c r="G400" s="197"/>
      <c r="H400" s="197"/>
      <c r="I400" s="197"/>
      <c r="J400" s="197"/>
    </row>
    <row r="401">
      <c r="A401" s="199"/>
      <c r="B401" s="200"/>
      <c r="C401" s="200"/>
      <c r="D401" s="201"/>
      <c r="E401" s="202"/>
      <c r="F401" s="197"/>
      <c r="G401" s="197"/>
      <c r="H401" s="197"/>
      <c r="I401" s="197"/>
      <c r="J401" s="197"/>
    </row>
    <row r="402">
      <c r="A402" s="199"/>
      <c r="B402" s="200"/>
      <c r="C402" s="200"/>
      <c r="D402" s="201"/>
      <c r="E402" s="202"/>
      <c r="F402" s="197"/>
      <c r="G402" s="197"/>
      <c r="H402" s="197"/>
      <c r="I402" s="197"/>
      <c r="J402" s="197"/>
    </row>
    <row r="403">
      <c r="A403" s="199"/>
      <c r="B403" s="200"/>
      <c r="C403" s="200"/>
      <c r="D403" s="201"/>
      <c r="E403" s="202"/>
      <c r="F403" s="197"/>
      <c r="G403" s="197"/>
      <c r="H403" s="197"/>
      <c r="I403" s="197"/>
      <c r="J403" s="197"/>
    </row>
    <row r="404">
      <c r="A404" s="199"/>
      <c r="B404" s="200"/>
      <c r="C404" s="200"/>
      <c r="D404" s="201"/>
      <c r="E404" s="202"/>
      <c r="F404" s="197"/>
      <c r="G404" s="197"/>
      <c r="H404" s="197"/>
      <c r="I404" s="197"/>
      <c r="J404" s="197"/>
    </row>
    <row r="405">
      <c r="A405" s="199"/>
      <c r="B405" s="200"/>
      <c r="C405" s="200"/>
      <c r="D405" s="201"/>
      <c r="E405" s="202"/>
      <c r="F405" s="197"/>
      <c r="G405" s="197"/>
      <c r="H405" s="197"/>
      <c r="I405" s="197"/>
      <c r="J405" s="197"/>
    </row>
    <row r="406">
      <c r="A406" s="199"/>
      <c r="B406" s="200"/>
      <c r="C406" s="200"/>
      <c r="D406" s="201"/>
      <c r="E406" s="202"/>
      <c r="F406" s="197"/>
      <c r="G406" s="197"/>
      <c r="H406" s="197"/>
      <c r="I406" s="197"/>
      <c r="J406" s="197"/>
    </row>
    <row r="407">
      <c r="A407" s="199"/>
      <c r="B407" s="200"/>
      <c r="C407" s="200"/>
      <c r="D407" s="201"/>
      <c r="E407" s="202"/>
      <c r="F407" s="197"/>
      <c r="G407" s="197"/>
      <c r="H407" s="197"/>
      <c r="I407" s="197"/>
      <c r="J407" s="197"/>
    </row>
    <row r="408">
      <c r="A408" s="199"/>
      <c r="B408" s="200"/>
      <c r="C408" s="200"/>
      <c r="D408" s="201"/>
      <c r="E408" s="202"/>
      <c r="F408" s="197"/>
      <c r="G408" s="197"/>
      <c r="H408" s="197"/>
      <c r="I408" s="197"/>
      <c r="J408" s="197"/>
    </row>
    <row r="409">
      <c r="A409" s="199"/>
      <c r="B409" s="200"/>
      <c r="C409" s="200"/>
      <c r="D409" s="201"/>
      <c r="E409" s="202"/>
      <c r="F409" s="197"/>
      <c r="G409" s="197"/>
      <c r="H409" s="197"/>
      <c r="I409" s="197"/>
      <c r="J409" s="197"/>
    </row>
    <row r="410">
      <c r="A410" s="199"/>
      <c r="B410" s="200"/>
      <c r="C410" s="200"/>
      <c r="D410" s="201"/>
      <c r="E410" s="202"/>
      <c r="F410" s="197"/>
      <c r="G410" s="197"/>
      <c r="H410" s="197"/>
      <c r="I410" s="197"/>
      <c r="J410" s="197"/>
    </row>
    <row r="411">
      <c r="A411" s="199"/>
      <c r="B411" s="200"/>
      <c r="C411" s="200"/>
      <c r="D411" s="201"/>
      <c r="E411" s="202"/>
      <c r="F411" s="197"/>
      <c r="G411" s="197"/>
      <c r="H411" s="197"/>
      <c r="I411" s="197"/>
      <c r="J411" s="197"/>
    </row>
    <row r="412">
      <c r="A412" s="199"/>
      <c r="B412" s="200"/>
      <c r="C412" s="200"/>
      <c r="D412" s="201"/>
      <c r="E412" s="202"/>
      <c r="F412" s="197"/>
      <c r="G412" s="197"/>
      <c r="H412" s="197"/>
      <c r="I412" s="197"/>
      <c r="J412" s="197"/>
    </row>
    <row r="413">
      <c r="A413" s="199"/>
      <c r="B413" s="200"/>
      <c r="C413" s="200"/>
      <c r="D413" s="201"/>
      <c r="E413" s="202"/>
      <c r="F413" s="197"/>
      <c r="G413" s="197"/>
      <c r="H413" s="197"/>
      <c r="I413" s="197"/>
      <c r="J413" s="197"/>
    </row>
    <row r="414">
      <c r="A414" s="199"/>
      <c r="B414" s="200"/>
      <c r="C414" s="200"/>
      <c r="D414" s="201"/>
      <c r="E414" s="202"/>
      <c r="F414" s="197"/>
      <c r="G414" s="197"/>
      <c r="H414" s="197"/>
      <c r="I414" s="197"/>
      <c r="J414" s="197"/>
    </row>
    <row r="415">
      <c r="A415" s="199"/>
      <c r="B415" s="200"/>
      <c r="C415" s="200"/>
      <c r="D415" s="201"/>
      <c r="E415" s="202"/>
      <c r="F415" s="197"/>
      <c r="G415" s="197"/>
      <c r="H415" s="197"/>
      <c r="I415" s="197"/>
      <c r="J415" s="197"/>
    </row>
    <row r="416">
      <c r="A416" s="199"/>
      <c r="B416" s="200"/>
      <c r="C416" s="200"/>
      <c r="D416" s="201"/>
      <c r="E416" s="202"/>
      <c r="F416" s="197"/>
      <c r="G416" s="197"/>
      <c r="H416" s="197"/>
      <c r="I416" s="197"/>
      <c r="J416" s="197"/>
    </row>
    <row r="417">
      <c r="A417" s="199"/>
      <c r="B417" s="200"/>
      <c r="C417" s="200"/>
      <c r="D417" s="201"/>
      <c r="E417" s="202"/>
      <c r="F417" s="197"/>
      <c r="G417" s="197"/>
      <c r="H417" s="197"/>
      <c r="I417" s="197"/>
      <c r="J417" s="197"/>
    </row>
    <row r="418">
      <c r="A418" s="199"/>
      <c r="B418" s="200"/>
      <c r="C418" s="200"/>
      <c r="D418" s="201"/>
      <c r="E418" s="202"/>
      <c r="F418" s="197"/>
      <c r="G418" s="197"/>
      <c r="H418" s="197"/>
      <c r="I418" s="197"/>
      <c r="J418" s="197"/>
    </row>
    <row r="419">
      <c r="A419" s="199"/>
      <c r="B419" s="200"/>
      <c r="C419" s="200"/>
      <c r="D419" s="201"/>
      <c r="E419" s="202"/>
      <c r="F419" s="197"/>
      <c r="G419" s="197"/>
      <c r="H419" s="197"/>
      <c r="I419" s="197"/>
      <c r="J419" s="197"/>
    </row>
    <row r="420">
      <c r="A420" s="199"/>
      <c r="B420" s="200"/>
      <c r="C420" s="200"/>
      <c r="D420" s="201"/>
      <c r="E420" s="202"/>
      <c r="F420" s="197"/>
      <c r="G420" s="197"/>
      <c r="H420" s="197"/>
      <c r="I420" s="197"/>
      <c r="J420" s="197"/>
    </row>
    <row r="421">
      <c r="A421" s="199"/>
      <c r="B421" s="200"/>
      <c r="C421" s="200"/>
      <c r="D421" s="201"/>
      <c r="E421" s="202"/>
      <c r="F421" s="197"/>
      <c r="G421" s="197"/>
      <c r="H421" s="197"/>
      <c r="I421" s="197"/>
      <c r="J421" s="197"/>
    </row>
    <row r="422">
      <c r="A422" s="199"/>
      <c r="B422" s="200"/>
      <c r="C422" s="200"/>
      <c r="D422" s="201"/>
      <c r="E422" s="202"/>
      <c r="F422" s="197"/>
      <c r="G422" s="197"/>
      <c r="H422" s="197"/>
      <c r="I422" s="197"/>
      <c r="J422" s="197"/>
    </row>
    <row r="423">
      <c r="A423" s="199"/>
      <c r="B423" s="200"/>
      <c r="C423" s="200"/>
      <c r="D423" s="201"/>
      <c r="E423" s="202"/>
      <c r="F423" s="197"/>
      <c r="G423" s="197"/>
      <c r="H423" s="197"/>
      <c r="I423" s="197"/>
      <c r="J423" s="197"/>
    </row>
    <row r="424">
      <c r="A424" s="199"/>
      <c r="B424" s="200"/>
      <c r="C424" s="200"/>
      <c r="D424" s="201"/>
      <c r="E424" s="202"/>
      <c r="F424" s="197"/>
      <c r="G424" s="197"/>
      <c r="H424" s="197"/>
      <c r="I424" s="197"/>
      <c r="J424" s="197"/>
    </row>
    <row r="425">
      <c r="A425" s="199"/>
      <c r="B425" s="200"/>
      <c r="C425" s="200"/>
      <c r="D425" s="201"/>
      <c r="E425" s="202"/>
      <c r="F425" s="197"/>
      <c r="G425" s="197"/>
      <c r="H425" s="197"/>
      <c r="I425" s="197"/>
      <c r="J425" s="197"/>
    </row>
    <row r="426">
      <c r="A426" s="199"/>
      <c r="B426" s="200"/>
      <c r="C426" s="200"/>
      <c r="D426" s="201"/>
      <c r="E426" s="202"/>
      <c r="F426" s="197"/>
      <c r="G426" s="197"/>
      <c r="H426" s="197"/>
      <c r="I426" s="197"/>
      <c r="J426" s="197"/>
    </row>
    <row r="427">
      <c r="A427" s="199"/>
      <c r="B427" s="200"/>
      <c r="C427" s="200"/>
      <c r="D427" s="201"/>
      <c r="E427" s="202"/>
      <c r="F427" s="197"/>
      <c r="G427" s="197"/>
      <c r="H427" s="197"/>
      <c r="I427" s="197"/>
      <c r="J427" s="197"/>
    </row>
    <row r="428">
      <c r="A428" s="199"/>
      <c r="B428" s="200"/>
      <c r="C428" s="200"/>
      <c r="D428" s="201"/>
      <c r="E428" s="202"/>
      <c r="F428" s="197"/>
      <c r="G428" s="197"/>
      <c r="H428" s="197"/>
      <c r="I428" s="197"/>
      <c r="J428" s="197"/>
    </row>
    <row r="429">
      <c r="A429" s="199"/>
      <c r="B429" s="200"/>
      <c r="C429" s="200"/>
      <c r="D429" s="201"/>
      <c r="E429" s="202"/>
      <c r="F429" s="197"/>
      <c r="G429" s="197"/>
      <c r="H429" s="197"/>
      <c r="I429" s="197"/>
      <c r="J429" s="197"/>
    </row>
    <row r="430">
      <c r="A430" s="199"/>
      <c r="B430" s="200"/>
      <c r="C430" s="200"/>
      <c r="D430" s="201"/>
      <c r="E430" s="202"/>
      <c r="F430" s="197"/>
      <c r="G430" s="197"/>
      <c r="H430" s="197"/>
      <c r="I430" s="197"/>
      <c r="J430" s="197"/>
    </row>
    <row r="431">
      <c r="A431" s="199"/>
      <c r="B431" s="200"/>
      <c r="C431" s="200"/>
      <c r="D431" s="201"/>
      <c r="E431" s="202"/>
      <c r="F431" s="197"/>
      <c r="G431" s="197"/>
      <c r="H431" s="197"/>
      <c r="I431" s="197"/>
      <c r="J431" s="197"/>
    </row>
    <row r="432">
      <c r="A432" s="199"/>
      <c r="B432" s="200"/>
      <c r="C432" s="200"/>
      <c r="D432" s="201"/>
      <c r="E432" s="202"/>
      <c r="F432" s="197"/>
      <c r="G432" s="197"/>
      <c r="H432" s="197"/>
      <c r="I432" s="197"/>
      <c r="J432" s="197"/>
    </row>
    <row r="433">
      <c r="A433" s="199"/>
      <c r="B433" s="200"/>
      <c r="C433" s="200"/>
      <c r="D433" s="201"/>
      <c r="E433" s="202"/>
      <c r="F433" s="197"/>
      <c r="G433" s="197"/>
      <c r="H433" s="197"/>
      <c r="I433" s="197"/>
      <c r="J433" s="197"/>
    </row>
    <row r="434">
      <c r="A434" s="199"/>
      <c r="B434" s="200"/>
      <c r="C434" s="200"/>
      <c r="D434" s="201"/>
      <c r="E434" s="202"/>
      <c r="F434" s="197"/>
      <c r="G434" s="197"/>
      <c r="H434" s="197"/>
      <c r="I434" s="197"/>
      <c r="J434" s="197"/>
    </row>
    <row r="435">
      <c r="A435" s="199"/>
      <c r="B435" s="200"/>
      <c r="C435" s="200"/>
      <c r="D435" s="201"/>
      <c r="E435" s="202"/>
      <c r="F435" s="197"/>
      <c r="G435" s="197"/>
      <c r="H435" s="197"/>
      <c r="I435" s="197"/>
      <c r="J435" s="197"/>
    </row>
    <row r="436">
      <c r="A436" s="199"/>
      <c r="B436" s="200"/>
      <c r="C436" s="200"/>
      <c r="D436" s="201"/>
      <c r="E436" s="202"/>
      <c r="F436" s="197"/>
      <c r="G436" s="197"/>
      <c r="H436" s="197"/>
      <c r="I436" s="197"/>
      <c r="J436" s="197"/>
    </row>
    <row r="437">
      <c r="A437" s="199"/>
      <c r="B437" s="200"/>
      <c r="C437" s="200"/>
      <c r="D437" s="201"/>
      <c r="E437" s="202"/>
      <c r="F437" s="197"/>
      <c r="G437" s="197"/>
      <c r="H437" s="197"/>
      <c r="I437" s="197"/>
      <c r="J437" s="197"/>
    </row>
    <row r="438">
      <c r="A438" s="199"/>
      <c r="B438" s="200"/>
      <c r="C438" s="200"/>
      <c r="D438" s="201"/>
      <c r="E438" s="202"/>
      <c r="F438" s="197"/>
      <c r="G438" s="197"/>
      <c r="H438" s="197"/>
      <c r="I438" s="197"/>
      <c r="J438" s="197"/>
    </row>
    <row r="439">
      <c r="A439" s="199"/>
      <c r="B439" s="200"/>
      <c r="C439" s="200"/>
      <c r="D439" s="201"/>
      <c r="E439" s="202"/>
      <c r="F439" s="197"/>
      <c r="G439" s="197"/>
      <c r="H439" s="197"/>
      <c r="I439" s="197"/>
      <c r="J439" s="197"/>
    </row>
    <row r="440">
      <c r="A440" s="199"/>
      <c r="B440" s="200"/>
      <c r="C440" s="200"/>
      <c r="D440" s="201"/>
      <c r="E440" s="202"/>
      <c r="F440" s="197"/>
      <c r="G440" s="197"/>
      <c r="H440" s="197"/>
      <c r="I440" s="197"/>
      <c r="J440" s="197"/>
    </row>
    <row r="441">
      <c r="A441" s="199"/>
      <c r="B441" s="200"/>
      <c r="C441" s="200"/>
      <c r="D441" s="201"/>
      <c r="E441" s="202"/>
      <c r="F441" s="197"/>
      <c r="G441" s="197"/>
      <c r="H441" s="197"/>
      <c r="I441" s="197"/>
      <c r="J441" s="197"/>
    </row>
    <row r="442">
      <c r="A442" s="199"/>
      <c r="B442" s="200"/>
      <c r="C442" s="200"/>
      <c r="D442" s="201"/>
      <c r="E442" s="202"/>
      <c r="F442" s="197"/>
      <c r="G442" s="197"/>
      <c r="H442" s="197"/>
      <c r="I442" s="197"/>
      <c r="J442" s="197"/>
    </row>
    <row r="443">
      <c r="A443" s="199"/>
      <c r="B443" s="200"/>
      <c r="C443" s="200"/>
      <c r="D443" s="201"/>
      <c r="E443" s="202"/>
      <c r="F443" s="197"/>
      <c r="G443" s="197"/>
      <c r="H443" s="197"/>
      <c r="I443" s="197"/>
      <c r="J443" s="197"/>
    </row>
    <row r="444">
      <c r="A444" s="199"/>
      <c r="B444" s="200"/>
      <c r="C444" s="200"/>
      <c r="D444" s="201"/>
      <c r="E444" s="202"/>
      <c r="F444" s="197"/>
      <c r="G444" s="197"/>
      <c r="H444" s="197"/>
      <c r="I444" s="197"/>
      <c r="J444" s="197"/>
    </row>
    <row r="445">
      <c r="A445" s="199"/>
      <c r="B445" s="200"/>
      <c r="C445" s="200"/>
      <c r="D445" s="201"/>
      <c r="E445" s="202"/>
      <c r="F445" s="197"/>
      <c r="G445" s="197"/>
      <c r="H445" s="197"/>
      <c r="I445" s="197"/>
      <c r="J445" s="197"/>
    </row>
    <row r="446">
      <c r="A446" s="199"/>
      <c r="B446" s="200"/>
      <c r="C446" s="200"/>
      <c r="D446" s="201"/>
      <c r="E446" s="202"/>
      <c r="F446" s="197"/>
      <c r="G446" s="197"/>
      <c r="H446" s="197"/>
      <c r="I446" s="197"/>
      <c r="J446" s="197"/>
    </row>
    <row r="447">
      <c r="A447" s="199"/>
      <c r="B447" s="200"/>
      <c r="C447" s="200"/>
      <c r="D447" s="201"/>
      <c r="E447" s="202"/>
      <c r="F447" s="197"/>
      <c r="G447" s="197"/>
      <c r="H447" s="197"/>
      <c r="I447" s="197"/>
      <c r="J447" s="197"/>
    </row>
    <row r="448">
      <c r="A448" s="199"/>
      <c r="B448" s="200"/>
      <c r="C448" s="200"/>
      <c r="D448" s="201"/>
      <c r="E448" s="202"/>
      <c r="F448" s="197"/>
      <c r="G448" s="197"/>
      <c r="H448" s="197"/>
      <c r="I448" s="197"/>
      <c r="J448" s="197"/>
    </row>
    <row r="449">
      <c r="A449" s="199"/>
      <c r="B449" s="200"/>
      <c r="C449" s="200"/>
      <c r="D449" s="201"/>
      <c r="E449" s="202"/>
      <c r="F449" s="197"/>
      <c r="G449" s="197"/>
      <c r="H449" s="197"/>
      <c r="I449" s="197"/>
      <c r="J449" s="197"/>
    </row>
    <row r="450">
      <c r="A450" s="199"/>
      <c r="B450" s="200"/>
      <c r="C450" s="200"/>
      <c r="D450" s="201"/>
      <c r="E450" s="202"/>
      <c r="F450" s="197"/>
      <c r="G450" s="197"/>
      <c r="H450" s="197"/>
      <c r="I450" s="197"/>
      <c r="J450" s="197"/>
    </row>
    <row r="451">
      <c r="A451" s="199"/>
      <c r="B451" s="200"/>
      <c r="C451" s="200"/>
      <c r="D451" s="201"/>
      <c r="E451" s="202"/>
      <c r="F451" s="197"/>
      <c r="G451" s="197"/>
      <c r="H451" s="197"/>
      <c r="I451" s="197"/>
      <c r="J451" s="197"/>
    </row>
    <row r="452">
      <c r="A452" s="199"/>
      <c r="B452" s="200"/>
      <c r="C452" s="200"/>
      <c r="D452" s="201"/>
      <c r="E452" s="202"/>
      <c r="F452" s="197"/>
      <c r="G452" s="197"/>
      <c r="H452" s="197"/>
      <c r="I452" s="197"/>
      <c r="J452" s="197"/>
    </row>
    <row r="453">
      <c r="A453" s="199"/>
      <c r="B453" s="200"/>
      <c r="C453" s="200"/>
      <c r="D453" s="201"/>
      <c r="E453" s="202"/>
      <c r="F453" s="197"/>
      <c r="G453" s="197"/>
      <c r="H453" s="197"/>
      <c r="I453" s="197"/>
      <c r="J453" s="197"/>
    </row>
    <row r="454">
      <c r="A454" s="199"/>
      <c r="B454" s="200"/>
      <c r="C454" s="200"/>
      <c r="D454" s="201"/>
      <c r="E454" s="202"/>
      <c r="F454" s="197"/>
      <c r="G454" s="197"/>
      <c r="H454" s="197"/>
      <c r="I454" s="197"/>
      <c r="J454" s="197"/>
    </row>
    <row r="455">
      <c r="A455" s="199"/>
      <c r="B455" s="200"/>
      <c r="C455" s="200"/>
      <c r="D455" s="201"/>
      <c r="E455" s="202"/>
      <c r="F455" s="197"/>
      <c r="G455" s="197"/>
      <c r="H455" s="197"/>
      <c r="I455" s="197"/>
      <c r="J455" s="197"/>
    </row>
    <row r="456">
      <c r="A456" s="199"/>
      <c r="B456" s="200"/>
      <c r="C456" s="200"/>
      <c r="D456" s="201"/>
      <c r="E456" s="202"/>
      <c r="F456" s="197"/>
      <c r="G456" s="197"/>
      <c r="H456" s="197"/>
      <c r="I456" s="197"/>
      <c r="J456" s="197"/>
    </row>
    <row r="457">
      <c r="A457" s="199"/>
      <c r="B457" s="200"/>
      <c r="C457" s="200"/>
      <c r="D457" s="201"/>
      <c r="E457" s="202"/>
      <c r="F457" s="197"/>
      <c r="G457" s="197"/>
      <c r="H457" s="197"/>
      <c r="I457" s="197"/>
      <c r="J457" s="197"/>
    </row>
    <row r="458">
      <c r="A458" s="199"/>
      <c r="B458" s="200"/>
      <c r="C458" s="200"/>
      <c r="D458" s="201"/>
      <c r="E458" s="202"/>
      <c r="F458" s="197"/>
      <c r="G458" s="197"/>
      <c r="H458" s="197"/>
      <c r="I458" s="197"/>
      <c r="J458" s="197"/>
    </row>
    <row r="459">
      <c r="A459" s="199"/>
      <c r="B459" s="200"/>
      <c r="C459" s="200"/>
      <c r="D459" s="201"/>
      <c r="E459" s="202"/>
      <c r="F459" s="197"/>
      <c r="G459" s="197"/>
      <c r="H459" s="197"/>
      <c r="I459" s="197"/>
      <c r="J459" s="197"/>
    </row>
    <row r="460">
      <c r="A460" s="199"/>
      <c r="B460" s="200"/>
      <c r="C460" s="200"/>
      <c r="D460" s="201"/>
      <c r="E460" s="202"/>
      <c r="F460" s="197"/>
      <c r="G460" s="197"/>
      <c r="H460" s="197"/>
      <c r="I460" s="197"/>
      <c r="J460" s="197"/>
    </row>
    <row r="461">
      <c r="A461" s="199"/>
      <c r="B461" s="200"/>
      <c r="C461" s="200"/>
      <c r="D461" s="201"/>
      <c r="E461" s="202"/>
      <c r="F461" s="197"/>
      <c r="G461" s="197"/>
      <c r="H461" s="197"/>
      <c r="I461" s="197"/>
      <c r="J461" s="197"/>
    </row>
    <row r="462">
      <c r="A462" s="199"/>
      <c r="B462" s="200"/>
      <c r="C462" s="200"/>
      <c r="D462" s="201"/>
      <c r="E462" s="202"/>
      <c r="F462" s="197"/>
      <c r="G462" s="197"/>
      <c r="H462" s="197"/>
      <c r="I462" s="197"/>
      <c r="J462" s="197"/>
    </row>
    <row r="463">
      <c r="A463" s="199"/>
      <c r="B463" s="200"/>
      <c r="C463" s="200"/>
      <c r="D463" s="201"/>
      <c r="E463" s="202"/>
      <c r="F463" s="197"/>
      <c r="G463" s="197"/>
      <c r="H463" s="197"/>
      <c r="I463" s="197"/>
      <c r="J463" s="197"/>
    </row>
    <row r="464">
      <c r="A464" s="199"/>
      <c r="B464" s="200"/>
      <c r="C464" s="200"/>
      <c r="D464" s="201"/>
      <c r="E464" s="202"/>
      <c r="F464" s="197"/>
      <c r="G464" s="197"/>
      <c r="H464" s="197"/>
      <c r="I464" s="197"/>
      <c r="J464" s="197"/>
    </row>
    <row r="465">
      <c r="A465" s="199"/>
      <c r="B465" s="200"/>
      <c r="C465" s="200"/>
      <c r="D465" s="201"/>
      <c r="E465" s="202"/>
      <c r="F465" s="197"/>
      <c r="G465" s="197"/>
      <c r="H465" s="197"/>
      <c r="I465" s="197"/>
      <c r="J465" s="197"/>
    </row>
    <row r="466">
      <c r="A466" s="199"/>
      <c r="B466" s="200"/>
      <c r="C466" s="200"/>
      <c r="D466" s="201"/>
      <c r="E466" s="202"/>
      <c r="F466" s="197"/>
      <c r="G466" s="197"/>
      <c r="H466" s="197"/>
      <c r="I466" s="197"/>
      <c r="J466" s="197"/>
    </row>
    <row r="467">
      <c r="A467" s="199"/>
      <c r="B467" s="200"/>
      <c r="C467" s="200"/>
      <c r="D467" s="201"/>
      <c r="E467" s="202"/>
      <c r="F467" s="197"/>
      <c r="G467" s="197"/>
      <c r="H467" s="197"/>
      <c r="I467" s="197"/>
      <c r="J467" s="197"/>
    </row>
    <row r="468">
      <c r="A468" s="199"/>
      <c r="B468" s="200"/>
      <c r="C468" s="200"/>
      <c r="D468" s="201"/>
      <c r="E468" s="202"/>
      <c r="F468" s="197"/>
      <c r="G468" s="197"/>
      <c r="H468" s="197"/>
      <c r="I468" s="197"/>
      <c r="J468" s="197"/>
    </row>
    <row r="469">
      <c r="A469" s="199"/>
      <c r="B469" s="200"/>
      <c r="C469" s="200"/>
      <c r="D469" s="201"/>
      <c r="E469" s="202"/>
      <c r="F469" s="197"/>
      <c r="G469" s="197"/>
      <c r="H469" s="197"/>
      <c r="I469" s="197"/>
      <c r="J469" s="197"/>
    </row>
    <row r="470">
      <c r="A470" s="199"/>
      <c r="B470" s="200"/>
      <c r="C470" s="200"/>
      <c r="D470" s="201"/>
      <c r="E470" s="202"/>
      <c r="F470" s="197"/>
      <c r="G470" s="197"/>
      <c r="H470" s="197"/>
      <c r="I470" s="197"/>
      <c r="J470" s="197"/>
    </row>
    <row r="471">
      <c r="A471" s="199"/>
      <c r="B471" s="200"/>
      <c r="C471" s="200"/>
      <c r="D471" s="201"/>
      <c r="E471" s="202"/>
      <c r="F471" s="197"/>
      <c r="G471" s="197"/>
      <c r="H471" s="197"/>
      <c r="I471" s="197"/>
      <c r="J471" s="197"/>
    </row>
    <row r="472">
      <c r="A472" s="199"/>
      <c r="B472" s="200"/>
      <c r="C472" s="200"/>
      <c r="D472" s="201"/>
      <c r="E472" s="202"/>
      <c r="F472" s="197"/>
      <c r="G472" s="197"/>
      <c r="H472" s="197"/>
      <c r="I472" s="197"/>
      <c r="J472" s="197"/>
    </row>
    <row r="473">
      <c r="A473" s="199"/>
      <c r="B473" s="200"/>
      <c r="C473" s="200"/>
      <c r="D473" s="201"/>
      <c r="E473" s="202"/>
      <c r="F473" s="197"/>
      <c r="G473" s="197"/>
      <c r="H473" s="197"/>
      <c r="I473" s="197"/>
      <c r="J473" s="197"/>
    </row>
    <row r="474">
      <c r="A474" s="199"/>
      <c r="B474" s="200"/>
      <c r="C474" s="200"/>
      <c r="D474" s="201"/>
      <c r="E474" s="202"/>
      <c r="F474" s="197"/>
      <c r="G474" s="197"/>
      <c r="H474" s="197"/>
      <c r="I474" s="197"/>
      <c r="J474" s="197"/>
    </row>
    <row r="475">
      <c r="A475" s="199"/>
      <c r="B475" s="200"/>
      <c r="C475" s="200"/>
      <c r="D475" s="201"/>
      <c r="E475" s="202"/>
      <c r="F475" s="197"/>
      <c r="G475" s="197"/>
      <c r="H475" s="197"/>
      <c r="I475" s="197"/>
      <c r="J475" s="197"/>
    </row>
    <row r="476">
      <c r="A476" s="199"/>
      <c r="B476" s="200"/>
      <c r="C476" s="200"/>
      <c r="D476" s="201"/>
      <c r="E476" s="202"/>
      <c r="F476" s="197"/>
      <c r="G476" s="197"/>
      <c r="H476" s="197"/>
      <c r="I476" s="197"/>
      <c r="J476" s="197"/>
    </row>
    <row r="477">
      <c r="A477" s="199"/>
      <c r="B477" s="200"/>
      <c r="C477" s="200"/>
      <c r="D477" s="201"/>
      <c r="E477" s="202"/>
      <c r="F477" s="197"/>
      <c r="G477" s="197"/>
      <c r="H477" s="197"/>
      <c r="I477" s="197"/>
      <c r="J477" s="197"/>
    </row>
    <row r="478">
      <c r="A478" s="199"/>
      <c r="B478" s="200"/>
      <c r="C478" s="200"/>
      <c r="D478" s="201"/>
      <c r="E478" s="202"/>
      <c r="F478" s="197"/>
      <c r="G478" s="197"/>
      <c r="H478" s="197"/>
      <c r="I478" s="197"/>
      <c r="J478" s="197"/>
    </row>
    <row r="479">
      <c r="A479" s="199"/>
      <c r="B479" s="200"/>
      <c r="C479" s="200"/>
      <c r="D479" s="201"/>
      <c r="E479" s="202"/>
      <c r="F479" s="197"/>
      <c r="G479" s="197"/>
      <c r="H479" s="197"/>
      <c r="I479" s="197"/>
      <c r="J479" s="197"/>
    </row>
    <row r="480">
      <c r="A480" s="199"/>
      <c r="B480" s="200"/>
      <c r="C480" s="200"/>
      <c r="D480" s="201"/>
      <c r="E480" s="202"/>
      <c r="F480" s="197"/>
      <c r="G480" s="197"/>
      <c r="H480" s="197"/>
      <c r="I480" s="197"/>
      <c r="J480" s="197"/>
    </row>
    <row r="481">
      <c r="A481" s="199"/>
      <c r="B481" s="200"/>
      <c r="C481" s="200"/>
      <c r="D481" s="201"/>
      <c r="E481" s="202"/>
      <c r="F481" s="197"/>
      <c r="G481" s="197"/>
      <c r="H481" s="197"/>
      <c r="I481" s="197"/>
      <c r="J481" s="197"/>
    </row>
    <row r="482">
      <c r="A482" s="199"/>
      <c r="B482" s="200"/>
      <c r="C482" s="200"/>
      <c r="D482" s="201"/>
      <c r="E482" s="202"/>
      <c r="F482" s="197"/>
      <c r="G482" s="197"/>
      <c r="H482" s="197"/>
      <c r="I482" s="197"/>
      <c r="J482" s="197"/>
    </row>
    <row r="483">
      <c r="A483" s="199"/>
      <c r="B483" s="200"/>
      <c r="C483" s="200"/>
      <c r="D483" s="201"/>
      <c r="E483" s="202"/>
      <c r="F483" s="197"/>
      <c r="G483" s="197"/>
      <c r="H483" s="197"/>
      <c r="I483" s="197"/>
      <c r="J483" s="197"/>
    </row>
    <row r="484">
      <c r="A484" s="199"/>
      <c r="B484" s="200"/>
      <c r="C484" s="200"/>
      <c r="D484" s="201"/>
      <c r="E484" s="202"/>
      <c r="F484" s="197"/>
      <c r="G484" s="197"/>
      <c r="H484" s="197"/>
      <c r="I484" s="197"/>
      <c r="J484" s="197"/>
    </row>
    <row r="485">
      <c r="A485" s="199"/>
      <c r="B485" s="200"/>
      <c r="C485" s="200"/>
      <c r="D485" s="201"/>
      <c r="E485" s="202"/>
      <c r="F485" s="197"/>
      <c r="G485" s="197"/>
      <c r="H485" s="197"/>
      <c r="I485" s="197"/>
      <c r="J485" s="197"/>
    </row>
    <row r="486">
      <c r="A486" s="199"/>
      <c r="B486" s="200"/>
      <c r="C486" s="200"/>
      <c r="D486" s="201"/>
      <c r="E486" s="202"/>
      <c r="F486" s="197"/>
      <c r="G486" s="197"/>
      <c r="H486" s="197"/>
      <c r="I486" s="197"/>
      <c r="J486" s="197"/>
    </row>
    <row r="487">
      <c r="A487" s="199"/>
      <c r="B487" s="200"/>
      <c r="C487" s="200"/>
      <c r="D487" s="201"/>
      <c r="E487" s="202"/>
      <c r="F487" s="197"/>
      <c r="G487" s="197"/>
      <c r="H487" s="197"/>
      <c r="I487" s="197"/>
      <c r="J487" s="197"/>
    </row>
    <row r="488">
      <c r="A488" s="199"/>
      <c r="B488" s="200"/>
      <c r="C488" s="200"/>
      <c r="D488" s="201"/>
      <c r="E488" s="202"/>
      <c r="F488" s="197"/>
      <c r="G488" s="197"/>
      <c r="H488" s="197"/>
      <c r="I488" s="197"/>
      <c r="J488" s="197"/>
    </row>
    <row r="489">
      <c r="A489" s="199"/>
      <c r="B489" s="200"/>
      <c r="C489" s="200"/>
      <c r="D489" s="201"/>
      <c r="E489" s="202"/>
      <c r="F489" s="197"/>
      <c r="G489" s="197"/>
      <c r="H489" s="197"/>
      <c r="I489" s="197"/>
      <c r="J489" s="197"/>
    </row>
    <row r="490">
      <c r="A490" s="199"/>
      <c r="B490" s="200"/>
      <c r="C490" s="200"/>
      <c r="D490" s="201"/>
      <c r="E490" s="202"/>
      <c r="F490" s="197"/>
      <c r="G490" s="197"/>
      <c r="H490" s="197"/>
      <c r="I490" s="197"/>
      <c r="J490" s="197"/>
    </row>
    <row r="491">
      <c r="A491" s="199"/>
      <c r="B491" s="200"/>
      <c r="C491" s="200"/>
      <c r="D491" s="201"/>
      <c r="E491" s="202"/>
      <c r="F491" s="197"/>
      <c r="G491" s="197"/>
      <c r="H491" s="197"/>
      <c r="I491" s="197"/>
      <c r="J491" s="197"/>
    </row>
    <row r="492">
      <c r="A492" s="199"/>
      <c r="B492" s="200"/>
      <c r="C492" s="200"/>
      <c r="D492" s="201"/>
      <c r="E492" s="202"/>
      <c r="F492" s="197"/>
      <c r="G492" s="197"/>
      <c r="H492" s="197"/>
      <c r="I492" s="197"/>
      <c r="J492" s="197"/>
    </row>
    <row r="493">
      <c r="A493" s="199"/>
      <c r="B493" s="200"/>
      <c r="C493" s="200"/>
      <c r="D493" s="201"/>
      <c r="E493" s="202"/>
      <c r="F493" s="197"/>
      <c r="G493" s="197"/>
      <c r="H493" s="197"/>
      <c r="I493" s="197"/>
      <c r="J493" s="197"/>
    </row>
    <row r="494">
      <c r="A494" s="199"/>
      <c r="B494" s="200"/>
      <c r="C494" s="200"/>
      <c r="D494" s="201"/>
      <c r="E494" s="202"/>
      <c r="F494" s="197"/>
      <c r="G494" s="197"/>
      <c r="H494" s="197"/>
      <c r="I494" s="197"/>
      <c r="J494" s="197"/>
    </row>
    <row r="495">
      <c r="A495" s="199"/>
      <c r="B495" s="200"/>
      <c r="C495" s="200"/>
      <c r="D495" s="201"/>
      <c r="E495" s="202"/>
      <c r="F495" s="197"/>
      <c r="G495" s="197"/>
      <c r="H495" s="197"/>
      <c r="I495" s="197"/>
      <c r="J495" s="197"/>
    </row>
    <row r="496">
      <c r="A496" s="199"/>
      <c r="B496" s="200"/>
      <c r="C496" s="200"/>
      <c r="D496" s="201"/>
      <c r="E496" s="202"/>
      <c r="F496" s="197"/>
      <c r="G496" s="197"/>
      <c r="H496" s="197"/>
      <c r="I496" s="197"/>
      <c r="J496" s="197"/>
    </row>
    <row r="497">
      <c r="A497" s="199"/>
      <c r="B497" s="200"/>
      <c r="C497" s="200"/>
      <c r="D497" s="201"/>
      <c r="E497" s="202"/>
      <c r="F497" s="197"/>
      <c r="G497" s="197"/>
      <c r="H497" s="197"/>
      <c r="I497" s="197"/>
      <c r="J497" s="197"/>
    </row>
    <row r="498">
      <c r="A498" s="199"/>
      <c r="B498" s="200"/>
      <c r="C498" s="200"/>
      <c r="D498" s="201"/>
      <c r="E498" s="202"/>
      <c r="F498" s="197"/>
      <c r="G498" s="197"/>
      <c r="H498" s="197"/>
      <c r="I498" s="197"/>
      <c r="J498" s="197"/>
    </row>
    <row r="499">
      <c r="A499" s="199"/>
      <c r="B499" s="200"/>
      <c r="C499" s="200"/>
      <c r="D499" s="201"/>
      <c r="E499" s="202"/>
      <c r="F499" s="197"/>
      <c r="G499" s="197"/>
      <c r="H499" s="197"/>
      <c r="I499" s="197"/>
      <c r="J499" s="197"/>
    </row>
    <row r="500">
      <c r="A500" s="199"/>
      <c r="B500" s="200"/>
      <c r="C500" s="200"/>
      <c r="D500" s="201"/>
      <c r="E500" s="202"/>
      <c r="F500" s="197"/>
      <c r="G500" s="197"/>
      <c r="H500" s="197"/>
      <c r="I500" s="197"/>
      <c r="J500" s="197"/>
    </row>
    <row r="501">
      <c r="A501" s="199"/>
      <c r="B501" s="200"/>
      <c r="C501" s="200"/>
      <c r="D501" s="201"/>
      <c r="E501" s="202"/>
      <c r="F501" s="197"/>
      <c r="G501" s="197"/>
      <c r="H501" s="197"/>
      <c r="I501" s="197"/>
      <c r="J501" s="197"/>
    </row>
    <row r="502">
      <c r="A502" s="199"/>
      <c r="B502" s="200"/>
      <c r="C502" s="200"/>
      <c r="D502" s="201"/>
      <c r="E502" s="202"/>
      <c r="F502" s="197"/>
      <c r="G502" s="197"/>
      <c r="H502" s="197"/>
      <c r="I502" s="197"/>
      <c r="J502" s="197"/>
    </row>
    <row r="503">
      <c r="A503" s="199"/>
      <c r="B503" s="200"/>
      <c r="C503" s="200"/>
      <c r="D503" s="201"/>
      <c r="E503" s="202"/>
      <c r="F503" s="197"/>
      <c r="G503" s="197"/>
      <c r="H503" s="197"/>
      <c r="I503" s="197"/>
      <c r="J503" s="197"/>
    </row>
    <row r="504">
      <c r="A504" s="199"/>
      <c r="B504" s="200"/>
      <c r="C504" s="200"/>
      <c r="D504" s="201"/>
      <c r="E504" s="202"/>
      <c r="F504" s="197"/>
      <c r="G504" s="197"/>
      <c r="H504" s="197"/>
      <c r="I504" s="197"/>
      <c r="J504" s="197"/>
    </row>
    <row r="505">
      <c r="A505" s="199"/>
      <c r="B505" s="200"/>
      <c r="C505" s="200"/>
      <c r="D505" s="201"/>
      <c r="E505" s="202"/>
      <c r="F505" s="197"/>
      <c r="G505" s="197"/>
      <c r="H505" s="197"/>
      <c r="I505" s="197"/>
      <c r="J505" s="197"/>
    </row>
    <row r="506">
      <c r="A506" s="199"/>
      <c r="B506" s="200"/>
      <c r="C506" s="200"/>
      <c r="D506" s="201"/>
      <c r="E506" s="202"/>
      <c r="F506" s="197"/>
      <c r="G506" s="197"/>
      <c r="H506" s="197"/>
      <c r="I506" s="197"/>
      <c r="J506" s="197"/>
    </row>
    <row r="507">
      <c r="A507" s="199"/>
      <c r="B507" s="200"/>
      <c r="C507" s="200"/>
      <c r="D507" s="201"/>
      <c r="E507" s="202"/>
      <c r="F507" s="197"/>
      <c r="G507" s="197"/>
      <c r="H507" s="197"/>
      <c r="I507" s="197"/>
      <c r="J507" s="197"/>
    </row>
    <row r="508">
      <c r="A508" s="199"/>
      <c r="B508" s="200"/>
      <c r="C508" s="200"/>
      <c r="D508" s="201"/>
      <c r="E508" s="202"/>
      <c r="F508" s="197"/>
      <c r="G508" s="197"/>
      <c r="H508" s="197"/>
      <c r="I508" s="197"/>
      <c r="J508" s="197"/>
    </row>
    <row r="509">
      <c r="A509" s="199"/>
      <c r="B509" s="200"/>
      <c r="C509" s="200"/>
      <c r="D509" s="201"/>
      <c r="E509" s="202"/>
      <c r="F509" s="197"/>
      <c r="G509" s="197"/>
      <c r="H509" s="197"/>
      <c r="I509" s="197"/>
      <c r="J509" s="197"/>
    </row>
    <row r="510">
      <c r="A510" s="199"/>
      <c r="B510" s="200"/>
      <c r="C510" s="200"/>
      <c r="D510" s="201"/>
      <c r="E510" s="202"/>
      <c r="F510" s="197"/>
      <c r="G510" s="197"/>
      <c r="H510" s="197"/>
      <c r="I510" s="197"/>
      <c r="J510" s="197"/>
    </row>
    <row r="511">
      <c r="A511" s="199"/>
      <c r="B511" s="200"/>
      <c r="C511" s="200"/>
      <c r="D511" s="201"/>
      <c r="E511" s="202"/>
      <c r="F511" s="197"/>
      <c r="G511" s="197"/>
      <c r="H511" s="197"/>
      <c r="I511" s="197"/>
      <c r="J511" s="197"/>
    </row>
    <row r="512">
      <c r="A512" s="199"/>
      <c r="B512" s="200"/>
      <c r="C512" s="200"/>
      <c r="D512" s="201"/>
      <c r="E512" s="202"/>
      <c r="F512" s="197"/>
      <c r="G512" s="197"/>
      <c r="H512" s="197"/>
      <c r="I512" s="197"/>
      <c r="J512" s="197"/>
    </row>
    <row r="513">
      <c r="A513" s="199"/>
      <c r="B513" s="200"/>
      <c r="C513" s="200"/>
      <c r="D513" s="201"/>
      <c r="E513" s="202"/>
      <c r="F513" s="197"/>
      <c r="G513" s="197"/>
      <c r="H513" s="197"/>
      <c r="I513" s="197"/>
      <c r="J513" s="197"/>
    </row>
    <row r="514">
      <c r="A514" s="199"/>
      <c r="B514" s="200"/>
      <c r="C514" s="200"/>
      <c r="D514" s="201"/>
      <c r="E514" s="202"/>
      <c r="F514" s="197"/>
      <c r="G514" s="197"/>
      <c r="H514" s="197"/>
      <c r="I514" s="197"/>
      <c r="J514" s="197"/>
    </row>
    <row r="515">
      <c r="A515" s="199"/>
      <c r="B515" s="200"/>
      <c r="C515" s="200"/>
      <c r="D515" s="201"/>
      <c r="E515" s="202"/>
      <c r="F515" s="197"/>
      <c r="G515" s="197"/>
      <c r="H515" s="197"/>
      <c r="I515" s="197"/>
      <c r="J515" s="197"/>
    </row>
    <row r="516">
      <c r="A516" s="199"/>
      <c r="B516" s="200"/>
      <c r="C516" s="200"/>
      <c r="D516" s="201"/>
      <c r="E516" s="202"/>
      <c r="F516" s="197"/>
      <c r="G516" s="197"/>
      <c r="H516" s="197"/>
      <c r="I516" s="197"/>
      <c r="J516" s="197"/>
    </row>
    <row r="517">
      <c r="A517" s="199"/>
      <c r="B517" s="200"/>
      <c r="C517" s="200"/>
      <c r="D517" s="201"/>
      <c r="E517" s="202"/>
      <c r="F517" s="197"/>
      <c r="G517" s="197"/>
      <c r="H517" s="197"/>
      <c r="I517" s="197"/>
      <c r="J517" s="197"/>
    </row>
    <row r="518">
      <c r="A518" s="199"/>
      <c r="B518" s="200"/>
      <c r="C518" s="200"/>
      <c r="D518" s="201"/>
      <c r="E518" s="202"/>
      <c r="F518" s="197"/>
      <c r="G518" s="197"/>
      <c r="H518" s="197"/>
      <c r="I518" s="197"/>
      <c r="J518" s="197"/>
    </row>
    <row r="519">
      <c r="A519" s="199"/>
      <c r="B519" s="200"/>
      <c r="C519" s="200"/>
      <c r="D519" s="201"/>
      <c r="E519" s="202"/>
      <c r="F519" s="197"/>
      <c r="G519" s="197"/>
      <c r="H519" s="197"/>
      <c r="I519" s="197"/>
      <c r="J519" s="197"/>
    </row>
    <row r="520">
      <c r="A520" s="199"/>
      <c r="B520" s="200"/>
      <c r="C520" s="200"/>
      <c r="D520" s="201"/>
      <c r="E520" s="202"/>
      <c r="F520" s="197"/>
      <c r="G520" s="197"/>
      <c r="H520" s="197"/>
      <c r="I520" s="197"/>
      <c r="J520" s="197"/>
    </row>
    <row r="521">
      <c r="A521" s="199"/>
      <c r="B521" s="200"/>
      <c r="C521" s="200"/>
      <c r="D521" s="201"/>
      <c r="E521" s="202"/>
      <c r="F521" s="197"/>
      <c r="G521" s="197"/>
      <c r="H521" s="197"/>
      <c r="I521" s="197"/>
      <c r="J521" s="197"/>
    </row>
    <row r="522">
      <c r="A522" s="199"/>
      <c r="B522" s="200"/>
      <c r="C522" s="200"/>
      <c r="D522" s="201"/>
      <c r="E522" s="202"/>
      <c r="F522" s="197"/>
      <c r="G522" s="197"/>
      <c r="H522" s="197"/>
      <c r="I522" s="197"/>
      <c r="J522" s="197"/>
    </row>
    <row r="523">
      <c r="A523" s="199"/>
      <c r="B523" s="200"/>
      <c r="C523" s="200"/>
      <c r="D523" s="201"/>
      <c r="E523" s="202"/>
      <c r="F523" s="197"/>
      <c r="G523" s="197"/>
      <c r="H523" s="197"/>
      <c r="I523" s="197"/>
      <c r="J523" s="197"/>
    </row>
    <row r="524">
      <c r="A524" s="199"/>
      <c r="B524" s="200"/>
      <c r="C524" s="200"/>
      <c r="D524" s="201"/>
      <c r="E524" s="202"/>
      <c r="F524" s="197"/>
      <c r="G524" s="197"/>
      <c r="H524" s="197"/>
      <c r="I524" s="197"/>
      <c r="J524" s="197"/>
    </row>
    <row r="525">
      <c r="A525" s="199"/>
      <c r="B525" s="200"/>
      <c r="C525" s="200"/>
      <c r="D525" s="201"/>
      <c r="E525" s="202"/>
      <c r="F525" s="197"/>
      <c r="G525" s="197"/>
      <c r="H525" s="197"/>
      <c r="I525" s="197"/>
      <c r="J525" s="197"/>
    </row>
    <row r="526">
      <c r="A526" s="199"/>
      <c r="B526" s="200"/>
      <c r="C526" s="200"/>
      <c r="D526" s="201"/>
      <c r="E526" s="202"/>
      <c r="F526" s="197"/>
      <c r="G526" s="197"/>
      <c r="H526" s="197"/>
      <c r="I526" s="197"/>
      <c r="J526" s="197"/>
    </row>
    <row r="527">
      <c r="A527" s="199"/>
      <c r="B527" s="200"/>
      <c r="C527" s="200"/>
      <c r="D527" s="201"/>
      <c r="E527" s="202"/>
      <c r="F527" s="197"/>
      <c r="G527" s="197"/>
      <c r="H527" s="197"/>
      <c r="I527" s="197"/>
      <c r="J527" s="197"/>
    </row>
    <row r="528">
      <c r="A528" s="199"/>
      <c r="B528" s="200"/>
      <c r="C528" s="200"/>
      <c r="D528" s="201"/>
      <c r="E528" s="202"/>
      <c r="F528" s="197"/>
      <c r="G528" s="197"/>
      <c r="H528" s="197"/>
      <c r="I528" s="197"/>
      <c r="J528" s="197"/>
    </row>
    <row r="529">
      <c r="A529" s="199"/>
      <c r="B529" s="200"/>
      <c r="C529" s="200"/>
      <c r="D529" s="201"/>
      <c r="E529" s="202"/>
      <c r="F529" s="197"/>
      <c r="G529" s="197"/>
      <c r="H529" s="197"/>
      <c r="I529" s="197"/>
      <c r="J529" s="197"/>
    </row>
    <row r="530">
      <c r="A530" s="199"/>
      <c r="B530" s="200"/>
      <c r="C530" s="200"/>
      <c r="D530" s="201"/>
      <c r="E530" s="202"/>
      <c r="F530" s="197"/>
      <c r="G530" s="197"/>
      <c r="H530" s="197"/>
      <c r="I530" s="197"/>
      <c r="J530" s="197"/>
    </row>
    <row r="531">
      <c r="A531" s="199"/>
      <c r="B531" s="200"/>
      <c r="C531" s="200"/>
      <c r="D531" s="201"/>
      <c r="E531" s="202"/>
      <c r="F531" s="197"/>
      <c r="G531" s="197"/>
      <c r="H531" s="197"/>
      <c r="I531" s="197"/>
      <c r="J531" s="197"/>
    </row>
    <row r="532">
      <c r="A532" s="199"/>
      <c r="B532" s="200"/>
      <c r="C532" s="200"/>
      <c r="D532" s="201"/>
      <c r="E532" s="202"/>
      <c r="F532" s="197"/>
      <c r="G532" s="197"/>
      <c r="H532" s="197"/>
      <c r="I532" s="197"/>
      <c r="J532" s="197"/>
    </row>
    <row r="533">
      <c r="A533" s="199"/>
      <c r="B533" s="200"/>
      <c r="C533" s="200"/>
      <c r="D533" s="201"/>
      <c r="E533" s="202"/>
      <c r="F533" s="197"/>
      <c r="G533" s="197"/>
      <c r="H533" s="197"/>
      <c r="I533" s="197"/>
      <c r="J533" s="197"/>
    </row>
    <row r="534">
      <c r="A534" s="199"/>
      <c r="B534" s="200"/>
      <c r="C534" s="200"/>
      <c r="D534" s="201"/>
      <c r="E534" s="202"/>
      <c r="F534" s="197"/>
      <c r="G534" s="197"/>
      <c r="H534" s="197"/>
      <c r="I534" s="197"/>
      <c r="J534" s="197"/>
    </row>
    <row r="535">
      <c r="A535" s="199"/>
      <c r="B535" s="200"/>
      <c r="C535" s="200"/>
      <c r="D535" s="201"/>
      <c r="E535" s="202"/>
      <c r="F535" s="197"/>
      <c r="G535" s="197"/>
      <c r="H535" s="197"/>
      <c r="I535" s="197"/>
      <c r="J535" s="197"/>
    </row>
    <row r="536">
      <c r="A536" s="199"/>
      <c r="B536" s="200"/>
      <c r="C536" s="200"/>
      <c r="D536" s="201"/>
      <c r="E536" s="202"/>
      <c r="F536" s="197"/>
      <c r="G536" s="197"/>
      <c r="H536" s="197"/>
      <c r="I536" s="197"/>
      <c r="J536" s="197"/>
    </row>
    <row r="537">
      <c r="A537" s="199"/>
      <c r="B537" s="200"/>
      <c r="C537" s="200"/>
      <c r="D537" s="201"/>
      <c r="E537" s="202"/>
      <c r="F537" s="197"/>
      <c r="G537" s="197"/>
      <c r="H537" s="197"/>
      <c r="I537" s="197"/>
      <c r="J537" s="197"/>
    </row>
    <row r="538">
      <c r="A538" s="199"/>
      <c r="B538" s="200"/>
      <c r="C538" s="200"/>
      <c r="D538" s="201"/>
      <c r="E538" s="202"/>
      <c r="F538" s="197"/>
      <c r="G538" s="197"/>
      <c r="H538" s="197"/>
      <c r="I538" s="197"/>
      <c r="J538" s="197"/>
    </row>
    <row r="539">
      <c r="A539" s="199"/>
      <c r="B539" s="200"/>
      <c r="C539" s="200"/>
      <c r="D539" s="201"/>
      <c r="E539" s="202"/>
      <c r="F539" s="197"/>
      <c r="G539" s="197"/>
      <c r="H539" s="197"/>
      <c r="I539" s="197"/>
      <c r="J539" s="197"/>
    </row>
    <row r="540">
      <c r="A540" s="199"/>
      <c r="B540" s="200"/>
      <c r="C540" s="200"/>
      <c r="D540" s="201"/>
      <c r="E540" s="202"/>
      <c r="F540" s="197"/>
      <c r="G540" s="197"/>
      <c r="H540" s="197"/>
      <c r="I540" s="197"/>
      <c r="J540" s="197"/>
    </row>
    <row r="541">
      <c r="A541" s="199"/>
      <c r="B541" s="200"/>
      <c r="C541" s="200"/>
      <c r="D541" s="201"/>
      <c r="E541" s="202"/>
      <c r="F541" s="197"/>
      <c r="G541" s="197"/>
      <c r="H541" s="197"/>
      <c r="I541" s="197"/>
      <c r="J541" s="197"/>
    </row>
    <row r="542">
      <c r="A542" s="199"/>
      <c r="B542" s="200"/>
      <c r="C542" s="200"/>
      <c r="D542" s="201"/>
      <c r="E542" s="202"/>
      <c r="F542" s="197"/>
      <c r="G542" s="197"/>
      <c r="H542" s="197"/>
      <c r="I542" s="197"/>
      <c r="J542" s="197"/>
    </row>
    <row r="543">
      <c r="A543" s="199"/>
      <c r="B543" s="200"/>
      <c r="C543" s="200"/>
      <c r="D543" s="201"/>
      <c r="E543" s="202"/>
      <c r="F543" s="197"/>
      <c r="G543" s="197"/>
      <c r="H543" s="197"/>
      <c r="I543" s="197"/>
      <c r="J543" s="197"/>
    </row>
    <row r="544">
      <c r="A544" s="199"/>
      <c r="B544" s="200"/>
      <c r="C544" s="200"/>
      <c r="D544" s="201"/>
      <c r="E544" s="202"/>
      <c r="F544" s="197"/>
      <c r="G544" s="197"/>
      <c r="H544" s="197"/>
      <c r="I544" s="197"/>
      <c r="J544" s="197"/>
    </row>
    <row r="545">
      <c r="A545" s="199"/>
      <c r="B545" s="200"/>
      <c r="C545" s="200"/>
      <c r="D545" s="201"/>
      <c r="E545" s="202"/>
      <c r="F545" s="197"/>
      <c r="G545" s="197"/>
      <c r="H545" s="197"/>
      <c r="I545" s="197"/>
      <c r="J545" s="197"/>
    </row>
    <row r="546">
      <c r="A546" s="199"/>
      <c r="B546" s="200"/>
      <c r="C546" s="200"/>
      <c r="D546" s="201"/>
      <c r="E546" s="202"/>
      <c r="F546" s="197"/>
      <c r="G546" s="197"/>
      <c r="H546" s="197"/>
      <c r="I546" s="197"/>
      <c r="J546" s="197"/>
    </row>
    <row r="547">
      <c r="A547" s="199"/>
      <c r="B547" s="200"/>
      <c r="C547" s="200"/>
      <c r="D547" s="201"/>
      <c r="E547" s="202"/>
      <c r="F547" s="197"/>
      <c r="G547" s="197"/>
      <c r="H547" s="197"/>
      <c r="I547" s="197"/>
      <c r="J547" s="197"/>
    </row>
    <row r="548">
      <c r="A548" s="199"/>
      <c r="B548" s="200"/>
      <c r="C548" s="200"/>
      <c r="D548" s="201"/>
      <c r="E548" s="202"/>
      <c r="F548" s="197"/>
      <c r="G548" s="197"/>
      <c r="H548" s="197"/>
      <c r="I548" s="197"/>
      <c r="J548" s="197"/>
    </row>
    <row r="549">
      <c r="A549" s="199"/>
      <c r="B549" s="200"/>
      <c r="C549" s="200"/>
      <c r="D549" s="201"/>
      <c r="E549" s="202"/>
      <c r="F549" s="197"/>
      <c r="G549" s="197"/>
      <c r="H549" s="197"/>
      <c r="I549" s="197"/>
      <c r="J549" s="197"/>
    </row>
    <row r="550">
      <c r="A550" s="199"/>
      <c r="B550" s="200"/>
      <c r="C550" s="200"/>
      <c r="D550" s="201"/>
      <c r="E550" s="202"/>
      <c r="F550" s="197"/>
      <c r="G550" s="197"/>
      <c r="H550" s="197"/>
      <c r="I550" s="197"/>
      <c r="J550" s="197"/>
    </row>
    <row r="551">
      <c r="A551" s="199"/>
      <c r="B551" s="200"/>
      <c r="C551" s="200"/>
      <c r="D551" s="201"/>
      <c r="E551" s="202"/>
      <c r="F551" s="197"/>
      <c r="G551" s="197"/>
      <c r="H551" s="197"/>
      <c r="I551" s="197"/>
      <c r="J551" s="197"/>
    </row>
    <row r="552">
      <c r="A552" s="199"/>
      <c r="B552" s="200"/>
      <c r="C552" s="200"/>
      <c r="D552" s="201"/>
      <c r="E552" s="202"/>
      <c r="F552" s="197"/>
      <c r="G552" s="197"/>
      <c r="H552" s="197"/>
      <c r="I552" s="197"/>
      <c r="J552" s="197"/>
    </row>
    <row r="553">
      <c r="A553" s="199"/>
      <c r="B553" s="200"/>
      <c r="C553" s="200"/>
      <c r="D553" s="201"/>
      <c r="E553" s="202"/>
      <c r="F553" s="197"/>
      <c r="G553" s="197"/>
      <c r="H553" s="197"/>
      <c r="I553" s="197"/>
      <c r="J553" s="197"/>
    </row>
    <row r="554">
      <c r="A554" s="199"/>
      <c r="B554" s="200"/>
      <c r="C554" s="200"/>
      <c r="D554" s="201"/>
      <c r="E554" s="202"/>
      <c r="F554" s="197"/>
      <c r="G554" s="197"/>
      <c r="H554" s="197"/>
      <c r="I554" s="197"/>
      <c r="J554" s="197"/>
    </row>
    <row r="555">
      <c r="A555" s="199"/>
      <c r="B555" s="200"/>
      <c r="C555" s="200"/>
      <c r="D555" s="201"/>
      <c r="E555" s="202"/>
      <c r="F555" s="197"/>
      <c r="G555" s="197"/>
      <c r="H555" s="197"/>
      <c r="I555" s="197"/>
      <c r="J555" s="197"/>
    </row>
    <row r="556">
      <c r="A556" s="199"/>
      <c r="B556" s="200"/>
      <c r="C556" s="200"/>
      <c r="D556" s="201"/>
      <c r="E556" s="202"/>
      <c r="F556" s="197"/>
      <c r="G556" s="197"/>
      <c r="H556" s="197"/>
      <c r="I556" s="197"/>
      <c r="J556" s="197"/>
    </row>
    <row r="557">
      <c r="A557" s="199"/>
      <c r="B557" s="200"/>
      <c r="C557" s="200"/>
      <c r="D557" s="201"/>
      <c r="E557" s="202"/>
      <c r="F557" s="197"/>
      <c r="G557" s="197"/>
      <c r="H557" s="197"/>
      <c r="I557" s="197"/>
      <c r="J557" s="197"/>
    </row>
    <row r="558">
      <c r="A558" s="199"/>
      <c r="B558" s="200"/>
      <c r="C558" s="200"/>
      <c r="D558" s="201"/>
      <c r="E558" s="202"/>
      <c r="F558" s="197"/>
      <c r="G558" s="197"/>
      <c r="H558" s="197"/>
      <c r="I558" s="197"/>
      <c r="J558" s="197"/>
    </row>
    <row r="559">
      <c r="A559" s="199"/>
      <c r="B559" s="200"/>
      <c r="C559" s="200"/>
      <c r="D559" s="201"/>
      <c r="E559" s="202"/>
      <c r="F559" s="197"/>
      <c r="G559" s="197"/>
      <c r="H559" s="197"/>
      <c r="I559" s="197"/>
      <c r="J559" s="197"/>
    </row>
    <row r="560">
      <c r="A560" s="199"/>
      <c r="B560" s="200"/>
      <c r="C560" s="200"/>
      <c r="D560" s="201"/>
      <c r="E560" s="202"/>
      <c r="F560" s="197"/>
      <c r="G560" s="197"/>
      <c r="H560" s="197"/>
      <c r="I560" s="197"/>
      <c r="J560" s="197"/>
    </row>
    <row r="561">
      <c r="A561" s="199"/>
      <c r="B561" s="200"/>
      <c r="C561" s="200"/>
      <c r="D561" s="201"/>
      <c r="E561" s="202"/>
      <c r="F561" s="197"/>
      <c r="G561" s="197"/>
      <c r="H561" s="197"/>
      <c r="I561" s="197"/>
      <c r="J561" s="197"/>
    </row>
    <row r="562">
      <c r="A562" s="199"/>
      <c r="B562" s="200"/>
      <c r="C562" s="200"/>
      <c r="D562" s="201"/>
      <c r="E562" s="202"/>
      <c r="F562" s="197"/>
      <c r="G562" s="197"/>
      <c r="H562" s="197"/>
      <c r="I562" s="197"/>
      <c r="J562" s="197"/>
    </row>
    <row r="563">
      <c r="A563" s="199"/>
      <c r="B563" s="200"/>
      <c r="C563" s="200"/>
      <c r="D563" s="201"/>
      <c r="E563" s="202"/>
      <c r="F563" s="197"/>
      <c r="G563" s="197"/>
      <c r="H563" s="197"/>
      <c r="I563" s="197"/>
      <c r="J563" s="197"/>
    </row>
    <row r="564">
      <c r="A564" s="199"/>
      <c r="B564" s="200"/>
      <c r="C564" s="200"/>
      <c r="D564" s="201"/>
      <c r="E564" s="202"/>
      <c r="F564" s="197"/>
      <c r="G564" s="197"/>
      <c r="H564" s="197"/>
      <c r="I564" s="197"/>
      <c r="J564" s="197"/>
    </row>
    <row r="565">
      <c r="A565" s="199"/>
      <c r="B565" s="200"/>
      <c r="C565" s="200"/>
      <c r="D565" s="201"/>
      <c r="E565" s="202"/>
      <c r="F565" s="197"/>
      <c r="G565" s="197"/>
      <c r="H565" s="197"/>
      <c r="I565" s="197"/>
      <c r="J565" s="197"/>
    </row>
    <row r="566">
      <c r="A566" s="199"/>
      <c r="B566" s="200"/>
      <c r="C566" s="200"/>
      <c r="D566" s="201"/>
      <c r="E566" s="202"/>
      <c r="F566" s="197"/>
      <c r="G566" s="197"/>
      <c r="H566" s="197"/>
      <c r="I566" s="197"/>
      <c r="J566" s="197"/>
    </row>
    <row r="567">
      <c r="A567" s="199"/>
      <c r="B567" s="200"/>
      <c r="C567" s="200"/>
      <c r="D567" s="201"/>
      <c r="E567" s="202"/>
      <c r="F567" s="197"/>
      <c r="G567" s="197"/>
      <c r="H567" s="197"/>
      <c r="I567" s="197"/>
      <c r="J567" s="197"/>
    </row>
    <row r="568">
      <c r="A568" s="199"/>
      <c r="B568" s="200"/>
      <c r="C568" s="200"/>
      <c r="D568" s="201"/>
      <c r="E568" s="202"/>
      <c r="F568" s="197"/>
      <c r="G568" s="197"/>
      <c r="H568" s="197"/>
      <c r="I568" s="197"/>
      <c r="J568" s="197"/>
    </row>
    <row r="569">
      <c r="A569" s="199"/>
      <c r="B569" s="200"/>
      <c r="C569" s="200"/>
      <c r="D569" s="201"/>
      <c r="E569" s="202"/>
      <c r="F569" s="197"/>
      <c r="G569" s="197"/>
      <c r="H569" s="197"/>
      <c r="I569" s="197"/>
      <c r="J569" s="197"/>
    </row>
    <row r="570">
      <c r="A570" s="199"/>
      <c r="B570" s="200"/>
      <c r="C570" s="200"/>
      <c r="D570" s="201"/>
      <c r="E570" s="202"/>
      <c r="F570" s="197"/>
      <c r="G570" s="197"/>
      <c r="H570" s="197"/>
      <c r="I570" s="197"/>
      <c r="J570" s="197"/>
    </row>
    <row r="571">
      <c r="A571" s="199"/>
      <c r="B571" s="200"/>
      <c r="C571" s="200"/>
      <c r="D571" s="201"/>
      <c r="E571" s="202"/>
      <c r="F571" s="197"/>
      <c r="G571" s="197"/>
      <c r="H571" s="197"/>
      <c r="I571" s="197"/>
      <c r="J571" s="197"/>
    </row>
    <row r="572">
      <c r="A572" s="199"/>
      <c r="B572" s="200"/>
      <c r="C572" s="200"/>
      <c r="D572" s="201"/>
      <c r="E572" s="202"/>
      <c r="F572" s="197"/>
      <c r="G572" s="197"/>
      <c r="H572" s="197"/>
      <c r="I572" s="197"/>
      <c r="J572" s="197"/>
    </row>
    <row r="573">
      <c r="A573" s="199"/>
      <c r="B573" s="200"/>
      <c r="C573" s="200"/>
      <c r="D573" s="201"/>
      <c r="E573" s="202"/>
      <c r="F573" s="197"/>
      <c r="G573" s="197"/>
      <c r="H573" s="197"/>
      <c r="I573" s="197"/>
      <c r="J573" s="197"/>
    </row>
    <row r="574">
      <c r="A574" s="199"/>
      <c r="B574" s="200"/>
      <c r="C574" s="200"/>
      <c r="D574" s="201"/>
      <c r="E574" s="202"/>
      <c r="F574" s="197"/>
      <c r="G574" s="197"/>
      <c r="H574" s="197"/>
      <c r="I574" s="197"/>
      <c r="J574" s="197"/>
    </row>
    <row r="575">
      <c r="A575" s="199"/>
      <c r="B575" s="200"/>
      <c r="C575" s="200"/>
      <c r="D575" s="201"/>
      <c r="E575" s="202"/>
      <c r="F575" s="197"/>
      <c r="G575" s="197"/>
      <c r="H575" s="197"/>
      <c r="I575" s="197"/>
      <c r="J575" s="197"/>
    </row>
    <row r="576">
      <c r="A576" s="199"/>
      <c r="B576" s="200"/>
      <c r="C576" s="200"/>
      <c r="D576" s="201"/>
      <c r="E576" s="202"/>
      <c r="F576" s="197"/>
      <c r="G576" s="197"/>
      <c r="H576" s="197"/>
      <c r="I576" s="197"/>
      <c r="J576" s="197"/>
    </row>
    <row r="577">
      <c r="A577" s="199"/>
      <c r="B577" s="200"/>
      <c r="C577" s="200"/>
      <c r="D577" s="201"/>
      <c r="E577" s="202"/>
      <c r="F577" s="197"/>
      <c r="G577" s="197"/>
      <c r="H577" s="197"/>
      <c r="I577" s="197"/>
      <c r="J577" s="197"/>
    </row>
    <row r="578">
      <c r="A578" s="199"/>
      <c r="B578" s="200"/>
      <c r="C578" s="200"/>
      <c r="D578" s="201"/>
      <c r="E578" s="202"/>
      <c r="F578" s="197"/>
      <c r="G578" s="197"/>
      <c r="H578" s="197"/>
      <c r="I578" s="197"/>
      <c r="J578" s="197"/>
    </row>
    <row r="579">
      <c r="A579" s="199"/>
      <c r="B579" s="200"/>
      <c r="C579" s="200"/>
      <c r="D579" s="201"/>
      <c r="E579" s="202"/>
      <c r="F579" s="197"/>
      <c r="G579" s="197"/>
      <c r="H579" s="197"/>
      <c r="I579" s="197"/>
      <c r="J579" s="197"/>
    </row>
    <row r="580">
      <c r="A580" s="199"/>
      <c r="B580" s="200"/>
      <c r="C580" s="200"/>
      <c r="D580" s="201"/>
      <c r="E580" s="202"/>
      <c r="F580" s="197"/>
      <c r="G580" s="197"/>
      <c r="H580" s="197"/>
      <c r="I580" s="197"/>
      <c r="J580" s="197"/>
    </row>
    <row r="581">
      <c r="A581" s="199"/>
      <c r="B581" s="200"/>
      <c r="C581" s="200"/>
      <c r="D581" s="201"/>
      <c r="E581" s="202"/>
      <c r="F581" s="197"/>
      <c r="G581" s="197"/>
      <c r="H581" s="197"/>
      <c r="I581" s="197"/>
      <c r="J581" s="197"/>
    </row>
    <row r="582">
      <c r="A582" s="199"/>
      <c r="B582" s="200"/>
      <c r="C582" s="200"/>
      <c r="D582" s="201"/>
      <c r="E582" s="202"/>
      <c r="F582" s="197"/>
      <c r="G582" s="197"/>
      <c r="H582" s="197"/>
      <c r="I582" s="197"/>
      <c r="J582" s="197"/>
    </row>
    <row r="583">
      <c r="A583" s="199"/>
      <c r="B583" s="200"/>
      <c r="C583" s="200"/>
      <c r="D583" s="201"/>
      <c r="E583" s="202"/>
      <c r="F583" s="197"/>
      <c r="G583" s="197"/>
      <c r="H583" s="197"/>
      <c r="I583" s="197"/>
      <c r="J583" s="197"/>
    </row>
    <row r="584">
      <c r="A584" s="199"/>
      <c r="B584" s="200"/>
      <c r="C584" s="200"/>
      <c r="D584" s="201"/>
      <c r="E584" s="202"/>
      <c r="F584" s="197"/>
      <c r="G584" s="197"/>
      <c r="H584" s="197"/>
      <c r="I584" s="197"/>
      <c r="J584" s="197"/>
    </row>
    <row r="585">
      <c r="A585" s="199"/>
      <c r="B585" s="200"/>
      <c r="C585" s="200"/>
      <c r="D585" s="201"/>
      <c r="E585" s="202"/>
      <c r="F585" s="197"/>
      <c r="G585" s="197"/>
      <c r="H585" s="197"/>
      <c r="I585" s="197"/>
      <c r="J585" s="197"/>
    </row>
    <row r="586">
      <c r="A586" s="199"/>
      <c r="B586" s="200"/>
      <c r="C586" s="200"/>
      <c r="D586" s="201"/>
      <c r="E586" s="202"/>
      <c r="F586" s="197"/>
      <c r="G586" s="197"/>
      <c r="H586" s="197"/>
      <c r="I586" s="197"/>
      <c r="J586" s="197"/>
    </row>
    <row r="587">
      <c r="A587" s="199"/>
      <c r="B587" s="200"/>
      <c r="C587" s="200"/>
      <c r="D587" s="201"/>
      <c r="E587" s="202"/>
      <c r="F587" s="197"/>
      <c r="G587" s="197"/>
      <c r="H587" s="197"/>
      <c r="I587" s="197"/>
      <c r="J587" s="197"/>
    </row>
    <row r="588">
      <c r="A588" s="199"/>
      <c r="B588" s="200"/>
      <c r="C588" s="200"/>
      <c r="D588" s="201"/>
      <c r="E588" s="202"/>
      <c r="F588" s="197"/>
      <c r="G588" s="197"/>
      <c r="H588" s="197"/>
      <c r="I588" s="197"/>
      <c r="J588" s="197"/>
    </row>
    <row r="589">
      <c r="A589" s="199"/>
      <c r="B589" s="200"/>
      <c r="C589" s="200"/>
      <c r="D589" s="201"/>
      <c r="E589" s="202"/>
      <c r="F589" s="197"/>
      <c r="G589" s="197"/>
      <c r="H589" s="197"/>
      <c r="I589" s="197"/>
      <c r="J589" s="197"/>
    </row>
    <row r="590">
      <c r="A590" s="199"/>
      <c r="B590" s="200"/>
      <c r="C590" s="200"/>
      <c r="D590" s="201"/>
      <c r="E590" s="202"/>
      <c r="F590" s="197"/>
      <c r="G590" s="197"/>
      <c r="H590" s="197"/>
      <c r="I590" s="197"/>
      <c r="J590" s="197"/>
    </row>
    <row r="591">
      <c r="A591" s="199"/>
      <c r="B591" s="200"/>
      <c r="C591" s="200"/>
      <c r="D591" s="201"/>
      <c r="E591" s="202"/>
      <c r="F591" s="197"/>
      <c r="G591" s="197"/>
      <c r="H591" s="197"/>
      <c r="I591" s="197"/>
      <c r="J591" s="197"/>
    </row>
    <row r="592">
      <c r="A592" s="199"/>
      <c r="B592" s="200"/>
      <c r="C592" s="200"/>
      <c r="D592" s="201"/>
      <c r="E592" s="202"/>
      <c r="F592" s="197"/>
      <c r="G592" s="197"/>
      <c r="H592" s="197"/>
      <c r="I592" s="197"/>
      <c r="J592" s="197"/>
    </row>
    <row r="593">
      <c r="A593" s="199"/>
      <c r="B593" s="200"/>
      <c r="C593" s="200"/>
      <c r="D593" s="201"/>
      <c r="E593" s="202"/>
      <c r="F593" s="197"/>
      <c r="G593" s="197"/>
      <c r="H593" s="197"/>
      <c r="I593" s="197"/>
      <c r="J593" s="197"/>
    </row>
    <row r="594">
      <c r="A594" s="199"/>
      <c r="B594" s="200"/>
      <c r="C594" s="200"/>
      <c r="D594" s="201"/>
      <c r="E594" s="202"/>
      <c r="F594" s="197"/>
      <c r="G594" s="197"/>
      <c r="H594" s="197"/>
      <c r="I594" s="197"/>
      <c r="J594" s="197"/>
    </row>
    <row r="595">
      <c r="A595" s="199"/>
      <c r="B595" s="200"/>
      <c r="C595" s="200"/>
      <c r="D595" s="201"/>
      <c r="E595" s="202"/>
      <c r="F595" s="197"/>
      <c r="G595" s="197"/>
      <c r="H595" s="197"/>
      <c r="I595" s="197"/>
      <c r="J595" s="197"/>
    </row>
    <row r="596">
      <c r="A596" s="199"/>
      <c r="B596" s="200"/>
      <c r="C596" s="200"/>
      <c r="D596" s="201"/>
      <c r="E596" s="202"/>
      <c r="F596" s="197"/>
      <c r="G596" s="197"/>
      <c r="H596" s="197"/>
      <c r="I596" s="197"/>
      <c r="J596" s="197"/>
    </row>
    <row r="597">
      <c r="A597" s="199"/>
      <c r="B597" s="200"/>
      <c r="C597" s="200"/>
      <c r="D597" s="201"/>
      <c r="E597" s="202"/>
      <c r="F597" s="197"/>
      <c r="G597" s="197"/>
      <c r="H597" s="197"/>
      <c r="I597" s="197"/>
      <c r="J597" s="197"/>
    </row>
    <row r="598">
      <c r="A598" s="199"/>
      <c r="B598" s="200"/>
      <c r="C598" s="200"/>
      <c r="D598" s="201"/>
      <c r="E598" s="202"/>
      <c r="F598" s="197"/>
      <c r="G598" s="197"/>
      <c r="H598" s="197"/>
      <c r="I598" s="197"/>
      <c r="J598" s="197"/>
    </row>
    <row r="599">
      <c r="A599" s="199"/>
      <c r="B599" s="200"/>
      <c r="C599" s="200"/>
      <c r="D599" s="201"/>
      <c r="E599" s="202"/>
      <c r="F599" s="197"/>
      <c r="G599" s="197"/>
      <c r="H599" s="197"/>
      <c r="I599" s="197"/>
      <c r="J599" s="197"/>
    </row>
    <row r="600">
      <c r="A600" s="199"/>
      <c r="B600" s="200"/>
      <c r="C600" s="200"/>
      <c r="D600" s="201"/>
      <c r="E600" s="202"/>
      <c r="F600" s="197"/>
      <c r="G600" s="197"/>
      <c r="H600" s="197"/>
      <c r="I600" s="197"/>
      <c r="J600" s="197"/>
    </row>
    <row r="601">
      <c r="A601" s="199"/>
      <c r="B601" s="200"/>
      <c r="C601" s="200"/>
      <c r="D601" s="201"/>
      <c r="E601" s="202"/>
      <c r="F601" s="197"/>
      <c r="G601" s="197"/>
      <c r="H601" s="197"/>
      <c r="I601" s="197"/>
      <c r="J601" s="197"/>
    </row>
    <row r="602">
      <c r="A602" s="199"/>
      <c r="B602" s="200"/>
      <c r="C602" s="200"/>
      <c r="D602" s="201"/>
      <c r="E602" s="202"/>
      <c r="F602" s="197"/>
      <c r="G602" s="197"/>
      <c r="H602" s="197"/>
      <c r="I602" s="197"/>
      <c r="J602" s="197"/>
    </row>
    <row r="603">
      <c r="A603" s="199"/>
      <c r="B603" s="200"/>
      <c r="C603" s="200"/>
      <c r="D603" s="201"/>
      <c r="E603" s="202"/>
      <c r="F603" s="197"/>
      <c r="G603" s="197"/>
      <c r="H603" s="197"/>
      <c r="I603" s="197"/>
      <c r="J603" s="197"/>
    </row>
    <row r="604">
      <c r="A604" s="199"/>
      <c r="B604" s="200"/>
      <c r="C604" s="200"/>
      <c r="D604" s="201"/>
      <c r="E604" s="202"/>
      <c r="F604" s="197"/>
      <c r="G604" s="197"/>
      <c r="H604" s="197"/>
      <c r="I604" s="197"/>
      <c r="J604" s="197"/>
    </row>
    <row r="605">
      <c r="A605" s="199"/>
      <c r="B605" s="200"/>
      <c r="C605" s="200"/>
      <c r="D605" s="201"/>
      <c r="E605" s="202"/>
      <c r="F605" s="197"/>
      <c r="G605" s="197"/>
      <c r="H605" s="197"/>
      <c r="I605" s="197"/>
      <c r="J605" s="197"/>
    </row>
    <row r="606">
      <c r="A606" s="199"/>
      <c r="B606" s="200"/>
      <c r="C606" s="200"/>
      <c r="D606" s="201"/>
      <c r="E606" s="202"/>
      <c r="F606" s="197"/>
      <c r="G606" s="197"/>
      <c r="H606" s="197"/>
      <c r="I606" s="197"/>
      <c r="J606" s="197"/>
    </row>
    <row r="607">
      <c r="A607" s="199"/>
      <c r="B607" s="200"/>
      <c r="C607" s="200"/>
      <c r="D607" s="201"/>
      <c r="E607" s="202"/>
      <c r="F607" s="197"/>
      <c r="G607" s="197"/>
      <c r="H607" s="197"/>
      <c r="I607" s="197"/>
      <c r="J607" s="197"/>
    </row>
    <row r="608">
      <c r="A608" s="199"/>
      <c r="B608" s="200"/>
      <c r="C608" s="200"/>
      <c r="D608" s="201"/>
      <c r="E608" s="202"/>
      <c r="F608" s="197"/>
      <c r="G608" s="197"/>
      <c r="H608" s="197"/>
      <c r="I608" s="197"/>
      <c r="J608" s="197"/>
    </row>
    <row r="609">
      <c r="A609" s="199"/>
      <c r="B609" s="200"/>
      <c r="C609" s="200"/>
      <c r="D609" s="201"/>
      <c r="E609" s="202"/>
      <c r="F609" s="197"/>
      <c r="G609" s="197"/>
      <c r="H609" s="197"/>
      <c r="I609" s="197"/>
      <c r="J609" s="197"/>
    </row>
    <row r="610">
      <c r="A610" s="199"/>
      <c r="B610" s="200"/>
      <c r="C610" s="200"/>
      <c r="D610" s="201"/>
      <c r="E610" s="202"/>
      <c r="F610" s="197"/>
      <c r="G610" s="197"/>
      <c r="H610" s="197"/>
      <c r="I610" s="197"/>
      <c r="J610" s="197"/>
    </row>
    <row r="611">
      <c r="A611" s="199"/>
      <c r="B611" s="200"/>
      <c r="C611" s="200"/>
      <c r="D611" s="201"/>
      <c r="E611" s="202"/>
      <c r="F611" s="197"/>
      <c r="G611" s="197"/>
      <c r="H611" s="197"/>
      <c r="I611" s="197"/>
      <c r="J611" s="197"/>
    </row>
    <row r="612">
      <c r="A612" s="199"/>
      <c r="B612" s="200"/>
      <c r="C612" s="200"/>
      <c r="D612" s="201"/>
      <c r="E612" s="202"/>
      <c r="F612" s="197"/>
      <c r="G612" s="197"/>
      <c r="H612" s="197"/>
      <c r="I612" s="197"/>
      <c r="J612" s="197"/>
    </row>
    <row r="613">
      <c r="A613" s="199"/>
      <c r="B613" s="200"/>
      <c r="C613" s="200"/>
      <c r="D613" s="201"/>
      <c r="E613" s="202"/>
      <c r="F613" s="197"/>
      <c r="G613" s="197"/>
      <c r="H613" s="197"/>
      <c r="I613" s="197"/>
      <c r="J613" s="197"/>
    </row>
    <row r="614">
      <c r="A614" s="199"/>
      <c r="B614" s="200"/>
      <c r="C614" s="200"/>
      <c r="D614" s="201"/>
      <c r="E614" s="202"/>
      <c r="F614" s="197"/>
      <c r="G614" s="197"/>
      <c r="H614" s="197"/>
      <c r="I614" s="197"/>
      <c r="J614" s="197"/>
    </row>
    <row r="615">
      <c r="A615" s="199"/>
      <c r="B615" s="200"/>
      <c r="C615" s="200"/>
      <c r="D615" s="201"/>
      <c r="E615" s="202"/>
      <c r="F615" s="197"/>
      <c r="G615" s="197"/>
      <c r="H615" s="197"/>
      <c r="I615" s="197"/>
      <c r="J615" s="197"/>
    </row>
    <row r="616">
      <c r="A616" s="199"/>
      <c r="B616" s="200"/>
      <c r="C616" s="200"/>
      <c r="D616" s="201"/>
      <c r="E616" s="202"/>
      <c r="F616" s="197"/>
      <c r="G616" s="197"/>
      <c r="H616" s="197"/>
      <c r="I616" s="197"/>
      <c r="J616" s="197"/>
    </row>
    <row r="617">
      <c r="A617" s="199"/>
      <c r="B617" s="200"/>
      <c r="C617" s="200"/>
      <c r="D617" s="201"/>
      <c r="E617" s="202"/>
      <c r="F617" s="197"/>
      <c r="G617" s="197"/>
      <c r="H617" s="197"/>
      <c r="I617" s="197"/>
      <c r="J617" s="197"/>
    </row>
    <row r="618">
      <c r="A618" s="199"/>
      <c r="B618" s="200"/>
      <c r="C618" s="200"/>
      <c r="D618" s="201"/>
      <c r="E618" s="202"/>
      <c r="F618" s="197"/>
      <c r="G618" s="197"/>
      <c r="H618" s="197"/>
      <c r="I618" s="197"/>
      <c r="J618" s="197"/>
    </row>
    <row r="619">
      <c r="A619" s="199"/>
      <c r="B619" s="200"/>
      <c r="C619" s="200"/>
      <c r="D619" s="201"/>
      <c r="E619" s="202"/>
      <c r="F619" s="197"/>
      <c r="G619" s="197"/>
      <c r="H619" s="197"/>
      <c r="I619" s="197"/>
      <c r="J619" s="197"/>
    </row>
    <row r="620">
      <c r="A620" s="199"/>
      <c r="B620" s="200"/>
      <c r="C620" s="200"/>
      <c r="D620" s="201"/>
      <c r="E620" s="202"/>
      <c r="F620" s="197"/>
      <c r="G620" s="197"/>
      <c r="H620" s="197"/>
      <c r="I620" s="197"/>
      <c r="J620" s="197"/>
    </row>
    <row r="621">
      <c r="A621" s="199"/>
      <c r="B621" s="200"/>
      <c r="C621" s="200"/>
      <c r="D621" s="201"/>
      <c r="E621" s="202"/>
      <c r="F621" s="197"/>
      <c r="G621" s="197"/>
      <c r="H621" s="197"/>
      <c r="I621" s="197"/>
      <c r="J621" s="197"/>
    </row>
    <row r="622">
      <c r="A622" s="199"/>
      <c r="B622" s="200"/>
      <c r="C622" s="200"/>
      <c r="D622" s="201"/>
      <c r="E622" s="202"/>
      <c r="F622" s="197"/>
      <c r="G622" s="197"/>
      <c r="H622" s="197"/>
      <c r="I622" s="197"/>
      <c r="J622" s="197"/>
    </row>
    <row r="623">
      <c r="A623" s="199"/>
      <c r="B623" s="200"/>
      <c r="C623" s="200"/>
      <c r="D623" s="201"/>
      <c r="E623" s="202"/>
      <c r="F623" s="197"/>
      <c r="G623" s="197"/>
      <c r="H623" s="197"/>
      <c r="I623" s="197"/>
      <c r="J623" s="197"/>
    </row>
    <row r="624">
      <c r="A624" s="199"/>
      <c r="B624" s="200"/>
      <c r="C624" s="200"/>
      <c r="D624" s="201"/>
      <c r="E624" s="202"/>
      <c r="F624" s="197"/>
      <c r="G624" s="197"/>
      <c r="H624" s="197"/>
      <c r="I624" s="197"/>
      <c r="J624" s="197"/>
    </row>
    <row r="625">
      <c r="A625" s="199"/>
      <c r="B625" s="200"/>
      <c r="C625" s="200"/>
      <c r="D625" s="201"/>
      <c r="E625" s="202"/>
      <c r="F625" s="197"/>
      <c r="G625" s="197"/>
      <c r="H625" s="197"/>
      <c r="I625" s="197"/>
      <c r="J625" s="197"/>
    </row>
    <row r="626">
      <c r="A626" s="199"/>
      <c r="B626" s="200"/>
      <c r="C626" s="200"/>
      <c r="D626" s="201"/>
      <c r="E626" s="202"/>
      <c r="F626" s="197"/>
      <c r="G626" s="197"/>
      <c r="H626" s="197"/>
      <c r="I626" s="197"/>
      <c r="J626" s="197"/>
    </row>
    <row r="627">
      <c r="A627" s="199"/>
      <c r="B627" s="200"/>
      <c r="C627" s="200"/>
      <c r="D627" s="201"/>
      <c r="E627" s="202"/>
      <c r="F627" s="197"/>
      <c r="G627" s="197"/>
      <c r="H627" s="197"/>
      <c r="I627" s="197"/>
      <c r="J627" s="197"/>
    </row>
    <row r="628">
      <c r="A628" s="199"/>
      <c r="B628" s="200"/>
      <c r="C628" s="200"/>
      <c r="D628" s="201"/>
      <c r="E628" s="202"/>
      <c r="F628" s="197"/>
      <c r="G628" s="197"/>
      <c r="H628" s="197"/>
      <c r="I628" s="197"/>
      <c r="J628" s="197"/>
    </row>
    <row r="629">
      <c r="A629" s="199"/>
      <c r="B629" s="200"/>
      <c r="C629" s="200"/>
      <c r="D629" s="201"/>
      <c r="E629" s="202"/>
      <c r="F629" s="197"/>
      <c r="G629" s="197"/>
      <c r="H629" s="197"/>
      <c r="I629" s="197"/>
      <c r="J629" s="197"/>
    </row>
    <row r="630">
      <c r="A630" s="199"/>
      <c r="B630" s="200"/>
      <c r="C630" s="200"/>
      <c r="D630" s="201"/>
      <c r="E630" s="202"/>
      <c r="F630" s="197"/>
      <c r="G630" s="197"/>
      <c r="H630" s="197"/>
      <c r="I630" s="197"/>
      <c r="J630" s="197"/>
    </row>
    <row r="631">
      <c r="A631" s="199"/>
      <c r="B631" s="200"/>
      <c r="C631" s="200"/>
      <c r="D631" s="201"/>
      <c r="E631" s="202"/>
      <c r="F631" s="197"/>
      <c r="G631" s="197"/>
      <c r="H631" s="197"/>
      <c r="I631" s="197"/>
      <c r="J631" s="197"/>
    </row>
    <row r="632">
      <c r="A632" s="199"/>
      <c r="B632" s="200"/>
      <c r="C632" s="200"/>
      <c r="D632" s="201"/>
      <c r="E632" s="202"/>
      <c r="F632" s="197"/>
      <c r="G632" s="197"/>
      <c r="H632" s="197"/>
      <c r="I632" s="197"/>
      <c r="J632" s="197"/>
    </row>
    <row r="633">
      <c r="A633" s="199"/>
      <c r="B633" s="200"/>
      <c r="C633" s="200"/>
      <c r="D633" s="201"/>
      <c r="E633" s="202"/>
      <c r="F633" s="197"/>
      <c r="G633" s="197"/>
      <c r="H633" s="197"/>
      <c r="I633" s="197"/>
      <c r="J633" s="197"/>
    </row>
    <row r="634">
      <c r="A634" s="199"/>
      <c r="B634" s="200"/>
      <c r="C634" s="200"/>
      <c r="D634" s="201"/>
      <c r="E634" s="202"/>
      <c r="F634" s="197"/>
      <c r="G634" s="197"/>
      <c r="H634" s="197"/>
      <c r="I634" s="197"/>
      <c r="J634" s="197"/>
    </row>
    <row r="635">
      <c r="A635" s="199"/>
      <c r="B635" s="200"/>
      <c r="C635" s="200"/>
      <c r="D635" s="201"/>
      <c r="E635" s="202"/>
      <c r="F635" s="197"/>
      <c r="G635" s="197"/>
      <c r="H635" s="197"/>
      <c r="I635" s="197"/>
      <c r="J635" s="197"/>
    </row>
    <row r="636">
      <c r="A636" s="199"/>
      <c r="B636" s="200"/>
      <c r="C636" s="200"/>
      <c r="D636" s="201"/>
      <c r="E636" s="202"/>
      <c r="F636" s="197"/>
      <c r="G636" s="197"/>
      <c r="H636" s="197"/>
      <c r="I636" s="197"/>
      <c r="J636" s="197"/>
    </row>
    <row r="637">
      <c r="A637" s="199"/>
      <c r="B637" s="200"/>
      <c r="C637" s="200"/>
      <c r="D637" s="201"/>
      <c r="E637" s="202"/>
      <c r="F637" s="197"/>
      <c r="G637" s="197"/>
      <c r="H637" s="197"/>
      <c r="I637" s="197"/>
      <c r="J637" s="197"/>
    </row>
    <row r="638">
      <c r="A638" s="199"/>
      <c r="B638" s="200"/>
      <c r="C638" s="200"/>
      <c r="D638" s="201"/>
      <c r="E638" s="202"/>
      <c r="F638" s="197"/>
      <c r="G638" s="197"/>
      <c r="H638" s="197"/>
      <c r="I638" s="197"/>
      <c r="J638" s="197"/>
    </row>
    <row r="639">
      <c r="A639" s="199"/>
      <c r="B639" s="200"/>
      <c r="C639" s="200"/>
      <c r="D639" s="201"/>
      <c r="E639" s="202"/>
      <c r="F639" s="197"/>
      <c r="G639" s="197"/>
      <c r="H639" s="197"/>
      <c r="I639" s="197"/>
      <c r="J639" s="197"/>
    </row>
    <row r="640">
      <c r="A640" s="199"/>
      <c r="B640" s="200"/>
      <c r="C640" s="200"/>
      <c r="D640" s="201"/>
      <c r="E640" s="202"/>
      <c r="F640" s="197"/>
      <c r="G640" s="197"/>
      <c r="H640" s="197"/>
      <c r="I640" s="197"/>
      <c r="J640" s="197"/>
    </row>
    <row r="641">
      <c r="A641" s="199"/>
      <c r="B641" s="200"/>
      <c r="C641" s="200"/>
      <c r="D641" s="201"/>
      <c r="E641" s="202"/>
      <c r="F641" s="197"/>
      <c r="G641" s="197"/>
      <c r="H641" s="197"/>
      <c r="I641" s="197"/>
      <c r="J641" s="197"/>
    </row>
    <row r="642">
      <c r="A642" s="199"/>
      <c r="B642" s="200"/>
      <c r="C642" s="200"/>
      <c r="D642" s="201"/>
      <c r="E642" s="202"/>
      <c r="F642" s="197"/>
      <c r="G642" s="197"/>
      <c r="H642" s="197"/>
      <c r="I642" s="197"/>
      <c r="J642" s="197"/>
    </row>
    <row r="643">
      <c r="A643" s="199"/>
      <c r="B643" s="200"/>
      <c r="C643" s="200"/>
      <c r="D643" s="201"/>
      <c r="E643" s="202"/>
      <c r="F643" s="197"/>
      <c r="G643" s="197"/>
      <c r="H643" s="197"/>
      <c r="I643" s="197"/>
      <c r="J643" s="197"/>
    </row>
    <row r="644">
      <c r="A644" s="199"/>
      <c r="B644" s="200"/>
      <c r="C644" s="200"/>
      <c r="D644" s="201"/>
      <c r="E644" s="202"/>
      <c r="F644" s="197"/>
      <c r="G644" s="197"/>
      <c r="H644" s="197"/>
      <c r="I644" s="197"/>
      <c r="J644" s="197"/>
    </row>
    <row r="645">
      <c r="A645" s="199"/>
      <c r="B645" s="200"/>
      <c r="C645" s="200"/>
      <c r="D645" s="201"/>
      <c r="E645" s="202"/>
      <c r="F645" s="197"/>
      <c r="G645" s="197"/>
      <c r="H645" s="197"/>
      <c r="I645" s="197"/>
      <c r="J645" s="197"/>
    </row>
    <row r="646">
      <c r="A646" s="199"/>
      <c r="B646" s="200"/>
      <c r="C646" s="200"/>
      <c r="D646" s="201"/>
      <c r="E646" s="202"/>
      <c r="F646" s="197"/>
      <c r="G646" s="197"/>
      <c r="H646" s="197"/>
      <c r="I646" s="197"/>
      <c r="J646" s="197"/>
    </row>
    <row r="647">
      <c r="A647" s="199"/>
      <c r="B647" s="200"/>
      <c r="C647" s="200"/>
      <c r="D647" s="201"/>
      <c r="E647" s="202"/>
      <c r="F647" s="197"/>
      <c r="G647" s="197"/>
      <c r="H647" s="197"/>
      <c r="I647" s="197"/>
      <c r="J647" s="197"/>
    </row>
    <row r="648">
      <c r="A648" s="199"/>
      <c r="B648" s="200"/>
      <c r="C648" s="200"/>
      <c r="D648" s="201"/>
      <c r="E648" s="202"/>
      <c r="F648" s="197"/>
      <c r="G648" s="197"/>
      <c r="H648" s="197"/>
      <c r="I648" s="197"/>
      <c r="J648" s="197"/>
    </row>
    <row r="649">
      <c r="A649" s="199"/>
      <c r="B649" s="200"/>
      <c r="C649" s="200"/>
      <c r="D649" s="201"/>
      <c r="E649" s="202"/>
      <c r="F649" s="197"/>
      <c r="G649" s="197"/>
      <c r="H649" s="197"/>
      <c r="I649" s="197"/>
      <c r="J649" s="197"/>
    </row>
    <row r="650">
      <c r="A650" s="199"/>
      <c r="B650" s="200"/>
      <c r="C650" s="200"/>
      <c r="D650" s="201"/>
      <c r="E650" s="202"/>
      <c r="F650" s="197"/>
      <c r="G650" s="197"/>
      <c r="H650" s="197"/>
      <c r="I650" s="197"/>
      <c r="J650" s="197"/>
    </row>
    <row r="651">
      <c r="A651" s="199"/>
      <c r="B651" s="200"/>
      <c r="C651" s="200"/>
      <c r="D651" s="201"/>
      <c r="E651" s="202"/>
      <c r="F651" s="197"/>
      <c r="G651" s="197"/>
      <c r="H651" s="197"/>
      <c r="I651" s="197"/>
      <c r="J651" s="197"/>
    </row>
    <row r="652">
      <c r="A652" s="199"/>
      <c r="B652" s="200"/>
      <c r="C652" s="200"/>
      <c r="D652" s="201"/>
      <c r="E652" s="202"/>
      <c r="F652" s="197"/>
      <c r="G652" s="197"/>
      <c r="H652" s="197"/>
      <c r="I652" s="197"/>
      <c r="J652" s="197"/>
    </row>
    <row r="653">
      <c r="A653" s="199"/>
      <c r="B653" s="200"/>
      <c r="C653" s="200"/>
      <c r="D653" s="201"/>
      <c r="E653" s="202"/>
      <c r="F653" s="197"/>
      <c r="G653" s="197"/>
      <c r="H653" s="197"/>
      <c r="I653" s="197"/>
      <c r="J653" s="197"/>
    </row>
    <row r="654">
      <c r="A654" s="199"/>
      <c r="B654" s="200"/>
      <c r="C654" s="200"/>
      <c r="D654" s="201"/>
      <c r="E654" s="202"/>
      <c r="F654" s="197"/>
      <c r="G654" s="197"/>
      <c r="H654" s="197"/>
      <c r="I654" s="197"/>
      <c r="J654" s="197"/>
    </row>
    <row r="655">
      <c r="A655" s="199"/>
      <c r="B655" s="200"/>
      <c r="C655" s="200"/>
      <c r="D655" s="201"/>
      <c r="E655" s="202"/>
      <c r="F655" s="197"/>
      <c r="G655" s="197"/>
      <c r="H655" s="197"/>
      <c r="I655" s="197"/>
      <c r="J655" s="197"/>
    </row>
    <row r="656">
      <c r="A656" s="199"/>
      <c r="B656" s="200"/>
      <c r="C656" s="200"/>
      <c r="D656" s="201"/>
      <c r="E656" s="202"/>
      <c r="F656" s="197"/>
      <c r="G656" s="197"/>
      <c r="H656" s="197"/>
      <c r="I656" s="197"/>
      <c r="J656" s="197"/>
    </row>
    <row r="657">
      <c r="A657" s="199"/>
      <c r="B657" s="200"/>
      <c r="C657" s="200"/>
      <c r="D657" s="201"/>
      <c r="E657" s="202"/>
      <c r="F657" s="197"/>
      <c r="G657" s="197"/>
      <c r="H657" s="197"/>
      <c r="I657" s="197"/>
      <c r="J657" s="197"/>
    </row>
    <row r="658">
      <c r="A658" s="199"/>
      <c r="B658" s="200"/>
      <c r="C658" s="200"/>
      <c r="D658" s="201"/>
      <c r="E658" s="202"/>
      <c r="F658" s="197"/>
      <c r="G658" s="197"/>
      <c r="H658" s="197"/>
      <c r="I658" s="197"/>
      <c r="J658" s="197"/>
    </row>
    <row r="659">
      <c r="A659" s="199"/>
      <c r="B659" s="200"/>
      <c r="C659" s="200"/>
      <c r="D659" s="201"/>
      <c r="E659" s="202"/>
      <c r="F659" s="197"/>
      <c r="G659" s="197"/>
      <c r="H659" s="197"/>
      <c r="I659" s="197"/>
      <c r="J659" s="197"/>
    </row>
    <row r="660">
      <c r="A660" s="199"/>
      <c r="B660" s="200"/>
      <c r="C660" s="200"/>
      <c r="D660" s="201"/>
      <c r="E660" s="202"/>
      <c r="F660" s="197"/>
      <c r="G660" s="197"/>
      <c r="H660" s="197"/>
      <c r="I660" s="197"/>
      <c r="J660" s="197"/>
    </row>
    <row r="661">
      <c r="A661" s="199"/>
      <c r="B661" s="200"/>
      <c r="C661" s="200"/>
      <c r="D661" s="201"/>
      <c r="E661" s="202"/>
      <c r="F661" s="197"/>
      <c r="G661" s="197"/>
      <c r="H661" s="197"/>
      <c r="I661" s="197"/>
      <c r="J661" s="197"/>
    </row>
    <row r="662">
      <c r="A662" s="199"/>
      <c r="B662" s="200"/>
      <c r="C662" s="200"/>
      <c r="D662" s="201"/>
      <c r="E662" s="202"/>
      <c r="F662" s="197"/>
      <c r="G662" s="197"/>
      <c r="H662" s="197"/>
      <c r="I662" s="197"/>
      <c r="J662" s="197"/>
    </row>
    <row r="663">
      <c r="A663" s="199"/>
      <c r="B663" s="200"/>
      <c r="C663" s="200"/>
      <c r="D663" s="201"/>
      <c r="E663" s="202"/>
      <c r="F663" s="197"/>
      <c r="G663" s="197"/>
      <c r="H663" s="197"/>
      <c r="I663" s="197"/>
      <c r="J663" s="197"/>
    </row>
    <row r="664">
      <c r="A664" s="199"/>
      <c r="B664" s="200"/>
      <c r="C664" s="200"/>
      <c r="D664" s="201"/>
      <c r="E664" s="202"/>
      <c r="F664" s="197"/>
      <c r="G664" s="197"/>
      <c r="H664" s="197"/>
      <c r="I664" s="197"/>
      <c r="J664" s="197"/>
    </row>
    <row r="665">
      <c r="A665" s="199"/>
      <c r="B665" s="200"/>
      <c r="C665" s="200"/>
      <c r="D665" s="201"/>
      <c r="E665" s="202"/>
      <c r="F665" s="197"/>
      <c r="G665" s="197"/>
      <c r="H665" s="197"/>
      <c r="I665" s="197"/>
      <c r="J665" s="197"/>
    </row>
    <row r="666">
      <c r="A666" s="199"/>
      <c r="B666" s="200"/>
      <c r="C666" s="200"/>
      <c r="D666" s="201"/>
      <c r="E666" s="202"/>
      <c r="F666" s="197"/>
      <c r="G666" s="197"/>
      <c r="H666" s="197"/>
      <c r="I666" s="197"/>
      <c r="J666" s="197"/>
    </row>
    <row r="667">
      <c r="A667" s="199"/>
      <c r="B667" s="200"/>
      <c r="C667" s="200"/>
      <c r="D667" s="201"/>
      <c r="E667" s="202"/>
      <c r="F667" s="197"/>
      <c r="G667" s="197"/>
      <c r="H667" s="197"/>
      <c r="I667" s="197"/>
      <c r="J667" s="197"/>
    </row>
    <row r="668">
      <c r="A668" s="199"/>
      <c r="B668" s="200"/>
      <c r="C668" s="200"/>
      <c r="D668" s="201"/>
      <c r="E668" s="202"/>
      <c r="F668" s="197"/>
      <c r="G668" s="197"/>
      <c r="H668" s="197"/>
      <c r="I668" s="197"/>
      <c r="J668" s="197"/>
    </row>
    <row r="669">
      <c r="A669" s="199"/>
      <c r="B669" s="200"/>
      <c r="C669" s="200"/>
      <c r="D669" s="201"/>
      <c r="E669" s="202"/>
      <c r="F669" s="197"/>
      <c r="G669" s="197"/>
      <c r="H669" s="197"/>
      <c r="I669" s="197"/>
      <c r="J669" s="197"/>
    </row>
    <row r="670">
      <c r="A670" s="199"/>
      <c r="B670" s="200"/>
      <c r="C670" s="200"/>
      <c r="D670" s="201"/>
      <c r="E670" s="202"/>
      <c r="F670" s="197"/>
      <c r="G670" s="197"/>
      <c r="H670" s="197"/>
      <c r="I670" s="197"/>
      <c r="J670" s="197"/>
    </row>
    <row r="671">
      <c r="A671" s="199"/>
      <c r="B671" s="200"/>
      <c r="C671" s="200"/>
      <c r="D671" s="201"/>
      <c r="E671" s="202"/>
      <c r="F671" s="197"/>
      <c r="G671" s="197"/>
      <c r="H671" s="197"/>
      <c r="I671" s="197"/>
      <c r="J671" s="197"/>
    </row>
    <row r="672">
      <c r="A672" s="199"/>
      <c r="B672" s="200"/>
      <c r="C672" s="200"/>
      <c r="D672" s="201"/>
      <c r="E672" s="202"/>
      <c r="F672" s="197"/>
      <c r="G672" s="197"/>
      <c r="H672" s="197"/>
      <c r="I672" s="197"/>
      <c r="J672" s="197"/>
    </row>
    <row r="673">
      <c r="A673" s="199"/>
      <c r="B673" s="200"/>
      <c r="C673" s="200"/>
      <c r="D673" s="201"/>
      <c r="E673" s="202"/>
      <c r="F673" s="197"/>
      <c r="G673" s="197"/>
      <c r="H673" s="197"/>
      <c r="I673" s="197"/>
      <c r="J673" s="197"/>
    </row>
    <row r="674">
      <c r="A674" s="199"/>
      <c r="B674" s="200"/>
      <c r="C674" s="200"/>
      <c r="D674" s="201"/>
      <c r="E674" s="202"/>
      <c r="F674" s="197"/>
      <c r="G674" s="197"/>
      <c r="H674" s="197"/>
      <c r="I674" s="197"/>
      <c r="J674" s="197"/>
    </row>
    <row r="675">
      <c r="A675" s="199"/>
      <c r="B675" s="200"/>
      <c r="C675" s="200"/>
      <c r="D675" s="201"/>
      <c r="E675" s="202"/>
      <c r="F675" s="197"/>
      <c r="G675" s="197"/>
      <c r="H675" s="197"/>
      <c r="I675" s="197"/>
      <c r="J675" s="197"/>
    </row>
    <row r="676">
      <c r="A676" s="199"/>
      <c r="B676" s="200"/>
      <c r="C676" s="200"/>
      <c r="D676" s="201"/>
      <c r="E676" s="202"/>
      <c r="F676" s="197"/>
      <c r="G676" s="197"/>
      <c r="H676" s="197"/>
      <c r="I676" s="197"/>
      <c r="J676" s="197"/>
    </row>
    <row r="677">
      <c r="A677" s="199"/>
      <c r="B677" s="200"/>
      <c r="C677" s="200"/>
      <c r="D677" s="201"/>
      <c r="E677" s="202"/>
      <c r="F677" s="197"/>
      <c r="G677" s="197"/>
      <c r="H677" s="197"/>
      <c r="I677" s="197"/>
      <c r="J677" s="197"/>
    </row>
    <row r="678">
      <c r="A678" s="199"/>
      <c r="B678" s="200"/>
      <c r="C678" s="200"/>
      <c r="D678" s="201"/>
      <c r="E678" s="202"/>
      <c r="F678" s="197"/>
      <c r="G678" s="197"/>
      <c r="H678" s="197"/>
      <c r="I678" s="197"/>
      <c r="J678" s="197"/>
    </row>
    <row r="679">
      <c r="A679" s="199"/>
      <c r="B679" s="200"/>
      <c r="C679" s="200"/>
      <c r="D679" s="201"/>
      <c r="E679" s="202"/>
      <c r="F679" s="197"/>
      <c r="G679" s="197"/>
      <c r="H679" s="197"/>
      <c r="I679" s="197"/>
      <c r="J679" s="197"/>
    </row>
    <row r="680">
      <c r="A680" s="199"/>
      <c r="B680" s="200"/>
      <c r="C680" s="200"/>
      <c r="D680" s="201"/>
      <c r="E680" s="202"/>
      <c r="F680" s="197"/>
      <c r="G680" s="197"/>
      <c r="H680" s="197"/>
      <c r="I680" s="197"/>
      <c r="J680" s="197"/>
    </row>
    <row r="681">
      <c r="A681" s="199"/>
      <c r="B681" s="200"/>
      <c r="C681" s="200"/>
      <c r="D681" s="201"/>
      <c r="E681" s="202"/>
      <c r="F681" s="197"/>
      <c r="G681" s="197"/>
      <c r="H681" s="197"/>
      <c r="I681" s="197"/>
      <c r="J681" s="197"/>
    </row>
    <row r="682">
      <c r="A682" s="199"/>
      <c r="B682" s="200"/>
      <c r="C682" s="200"/>
      <c r="D682" s="201"/>
      <c r="E682" s="202"/>
      <c r="F682" s="197"/>
      <c r="G682" s="197"/>
      <c r="H682" s="197"/>
      <c r="I682" s="197"/>
      <c r="J682" s="197"/>
    </row>
    <row r="683">
      <c r="A683" s="199"/>
      <c r="B683" s="200"/>
      <c r="C683" s="200"/>
      <c r="D683" s="201"/>
      <c r="E683" s="202"/>
      <c r="F683" s="197"/>
      <c r="G683" s="197"/>
      <c r="H683" s="197"/>
      <c r="I683" s="197"/>
      <c r="J683" s="197"/>
    </row>
    <row r="684">
      <c r="A684" s="199"/>
      <c r="B684" s="200"/>
      <c r="C684" s="200"/>
      <c r="D684" s="201"/>
      <c r="E684" s="202"/>
      <c r="F684" s="197"/>
      <c r="G684" s="197"/>
      <c r="H684" s="197"/>
      <c r="I684" s="197"/>
      <c r="J684" s="197"/>
    </row>
    <row r="685">
      <c r="A685" s="199"/>
      <c r="B685" s="200"/>
      <c r="C685" s="200"/>
      <c r="D685" s="201"/>
      <c r="E685" s="202"/>
      <c r="F685" s="197"/>
      <c r="G685" s="197"/>
      <c r="H685" s="197"/>
      <c r="I685" s="197"/>
      <c r="J685" s="197"/>
    </row>
    <row r="686">
      <c r="A686" s="199"/>
      <c r="B686" s="200"/>
      <c r="C686" s="200"/>
      <c r="D686" s="201"/>
      <c r="E686" s="202"/>
      <c r="F686" s="197"/>
      <c r="G686" s="197"/>
      <c r="H686" s="197"/>
      <c r="I686" s="197"/>
      <c r="J686" s="197"/>
    </row>
    <row r="687">
      <c r="A687" s="199"/>
      <c r="B687" s="200"/>
      <c r="C687" s="200"/>
      <c r="D687" s="201"/>
      <c r="E687" s="202"/>
      <c r="F687" s="197"/>
      <c r="G687" s="197"/>
      <c r="H687" s="197"/>
      <c r="I687" s="197"/>
      <c r="J687" s="197"/>
    </row>
    <row r="688">
      <c r="A688" s="199"/>
      <c r="B688" s="200"/>
      <c r="C688" s="200"/>
      <c r="D688" s="201"/>
      <c r="E688" s="202"/>
      <c r="F688" s="197"/>
      <c r="G688" s="197"/>
      <c r="H688" s="197"/>
      <c r="I688" s="197"/>
      <c r="J688" s="197"/>
    </row>
    <row r="689">
      <c r="A689" s="199"/>
      <c r="B689" s="200"/>
      <c r="C689" s="200"/>
      <c r="D689" s="201"/>
      <c r="E689" s="202"/>
      <c r="F689" s="197"/>
      <c r="G689" s="197"/>
      <c r="H689" s="197"/>
      <c r="I689" s="197"/>
      <c r="J689" s="197"/>
    </row>
    <row r="690">
      <c r="A690" s="199"/>
      <c r="B690" s="200"/>
      <c r="C690" s="200"/>
      <c r="D690" s="201"/>
      <c r="E690" s="202"/>
      <c r="F690" s="197"/>
      <c r="G690" s="197"/>
      <c r="H690" s="197"/>
      <c r="I690" s="197"/>
      <c r="J690" s="197"/>
    </row>
    <row r="691">
      <c r="A691" s="199"/>
      <c r="B691" s="200"/>
      <c r="C691" s="200"/>
      <c r="D691" s="201"/>
      <c r="E691" s="202"/>
      <c r="F691" s="197"/>
      <c r="G691" s="197"/>
      <c r="H691" s="197"/>
      <c r="I691" s="197"/>
      <c r="J691" s="197"/>
    </row>
    <row r="692">
      <c r="A692" s="199"/>
      <c r="B692" s="200"/>
      <c r="C692" s="200"/>
      <c r="D692" s="201"/>
      <c r="E692" s="202"/>
      <c r="F692" s="197"/>
      <c r="G692" s="197"/>
      <c r="H692" s="197"/>
      <c r="I692" s="197"/>
      <c r="J692" s="197"/>
    </row>
    <row r="693">
      <c r="A693" s="199"/>
      <c r="B693" s="200"/>
      <c r="C693" s="200"/>
      <c r="D693" s="201"/>
      <c r="E693" s="202"/>
      <c r="F693" s="197"/>
      <c r="G693" s="197"/>
      <c r="H693" s="197"/>
      <c r="I693" s="197"/>
      <c r="J693" s="197"/>
    </row>
    <row r="694">
      <c r="A694" s="199"/>
      <c r="B694" s="200"/>
      <c r="C694" s="200"/>
      <c r="D694" s="201"/>
      <c r="E694" s="202"/>
      <c r="F694" s="197"/>
      <c r="G694" s="197"/>
      <c r="H694" s="197"/>
      <c r="I694" s="197"/>
      <c r="J694" s="197"/>
    </row>
    <row r="695">
      <c r="A695" s="199"/>
      <c r="B695" s="200"/>
      <c r="C695" s="200"/>
      <c r="D695" s="201"/>
      <c r="E695" s="202"/>
      <c r="F695" s="197"/>
      <c r="G695" s="197"/>
      <c r="H695" s="197"/>
      <c r="I695" s="197"/>
      <c r="J695" s="197"/>
    </row>
    <row r="696">
      <c r="A696" s="199"/>
      <c r="B696" s="200"/>
      <c r="C696" s="200"/>
      <c r="D696" s="201"/>
      <c r="E696" s="202"/>
      <c r="F696" s="197"/>
      <c r="G696" s="197"/>
      <c r="H696" s="197"/>
      <c r="I696" s="197"/>
      <c r="J696" s="197"/>
    </row>
    <row r="697">
      <c r="A697" s="199"/>
      <c r="B697" s="200"/>
      <c r="C697" s="200"/>
      <c r="D697" s="201"/>
      <c r="E697" s="202"/>
      <c r="F697" s="197"/>
      <c r="G697" s="197"/>
      <c r="H697" s="197"/>
      <c r="I697" s="197"/>
      <c r="J697" s="197"/>
    </row>
    <row r="698">
      <c r="A698" s="199"/>
      <c r="B698" s="200"/>
      <c r="C698" s="200"/>
      <c r="D698" s="201"/>
      <c r="E698" s="202"/>
      <c r="F698" s="197"/>
      <c r="G698" s="197"/>
      <c r="H698" s="197"/>
      <c r="I698" s="197"/>
      <c r="J698" s="197"/>
    </row>
    <row r="699">
      <c r="A699" s="199"/>
      <c r="B699" s="200"/>
      <c r="C699" s="200"/>
      <c r="D699" s="201"/>
      <c r="E699" s="202"/>
      <c r="F699" s="197"/>
      <c r="G699" s="197"/>
      <c r="H699" s="197"/>
      <c r="I699" s="197"/>
      <c r="J699" s="197"/>
    </row>
    <row r="700">
      <c r="A700" s="199"/>
      <c r="B700" s="200"/>
      <c r="C700" s="200"/>
      <c r="D700" s="201"/>
      <c r="E700" s="202"/>
      <c r="F700" s="197"/>
      <c r="G700" s="197"/>
      <c r="H700" s="197"/>
      <c r="I700" s="197"/>
      <c r="J700" s="197"/>
    </row>
    <row r="701">
      <c r="A701" s="199"/>
      <c r="B701" s="200"/>
      <c r="C701" s="200"/>
      <c r="D701" s="201"/>
      <c r="E701" s="202"/>
      <c r="F701" s="197"/>
      <c r="G701" s="197"/>
      <c r="H701" s="197"/>
      <c r="I701" s="197"/>
      <c r="J701" s="197"/>
    </row>
    <row r="702">
      <c r="A702" s="199"/>
      <c r="B702" s="200"/>
      <c r="C702" s="200"/>
      <c r="D702" s="201"/>
      <c r="E702" s="202"/>
      <c r="F702" s="197"/>
      <c r="G702" s="197"/>
      <c r="H702" s="197"/>
      <c r="I702" s="197"/>
      <c r="J702" s="197"/>
    </row>
    <row r="703">
      <c r="A703" s="199"/>
      <c r="B703" s="200"/>
      <c r="C703" s="200"/>
      <c r="D703" s="201"/>
      <c r="E703" s="202"/>
      <c r="F703" s="197"/>
      <c r="G703" s="197"/>
      <c r="H703" s="197"/>
      <c r="I703" s="197"/>
      <c r="J703" s="197"/>
    </row>
    <row r="704">
      <c r="A704" s="199"/>
      <c r="B704" s="200"/>
      <c r="C704" s="200"/>
      <c r="D704" s="201"/>
      <c r="E704" s="202"/>
      <c r="F704" s="197"/>
      <c r="G704" s="197"/>
      <c r="H704" s="197"/>
      <c r="I704" s="197"/>
      <c r="J704" s="197"/>
    </row>
    <row r="705">
      <c r="A705" s="199"/>
      <c r="B705" s="200"/>
      <c r="C705" s="200"/>
      <c r="D705" s="201"/>
      <c r="E705" s="202"/>
      <c r="F705" s="197"/>
      <c r="G705" s="197"/>
      <c r="H705" s="197"/>
      <c r="I705" s="197"/>
      <c r="J705" s="197"/>
    </row>
    <row r="706">
      <c r="A706" s="199"/>
      <c r="B706" s="200"/>
      <c r="C706" s="200"/>
      <c r="D706" s="201"/>
      <c r="E706" s="202"/>
      <c r="F706" s="197"/>
      <c r="G706" s="197"/>
      <c r="H706" s="197"/>
      <c r="I706" s="197"/>
      <c r="J706" s="197"/>
    </row>
    <row r="707">
      <c r="A707" s="199"/>
      <c r="B707" s="200"/>
      <c r="C707" s="200"/>
      <c r="D707" s="201"/>
      <c r="E707" s="202"/>
      <c r="F707" s="197"/>
      <c r="G707" s="197"/>
      <c r="H707" s="197"/>
      <c r="I707" s="197"/>
      <c r="J707" s="197"/>
    </row>
    <row r="708">
      <c r="A708" s="199"/>
      <c r="B708" s="200"/>
      <c r="C708" s="200"/>
      <c r="D708" s="201"/>
      <c r="E708" s="202"/>
      <c r="F708" s="197"/>
      <c r="G708" s="197"/>
      <c r="H708" s="197"/>
      <c r="I708" s="197"/>
      <c r="J708" s="197"/>
    </row>
    <row r="709">
      <c r="A709" s="199"/>
      <c r="B709" s="200"/>
      <c r="C709" s="200"/>
      <c r="D709" s="201"/>
      <c r="E709" s="202"/>
      <c r="F709" s="197"/>
      <c r="G709" s="197"/>
      <c r="H709" s="197"/>
      <c r="I709" s="197"/>
      <c r="J709" s="197"/>
    </row>
    <row r="710">
      <c r="A710" s="199"/>
      <c r="B710" s="200"/>
      <c r="C710" s="200"/>
      <c r="D710" s="201"/>
      <c r="E710" s="202"/>
      <c r="F710" s="197"/>
      <c r="G710" s="197"/>
      <c r="H710" s="197"/>
      <c r="I710" s="197"/>
      <c r="J710" s="197"/>
    </row>
    <row r="711">
      <c r="A711" s="199"/>
      <c r="B711" s="200"/>
      <c r="C711" s="200"/>
      <c r="D711" s="201"/>
      <c r="E711" s="202"/>
      <c r="F711" s="197"/>
      <c r="G711" s="197"/>
      <c r="H711" s="197"/>
      <c r="I711" s="197"/>
      <c r="J711" s="197"/>
    </row>
    <row r="712">
      <c r="A712" s="199"/>
      <c r="B712" s="200"/>
      <c r="C712" s="200"/>
      <c r="D712" s="201"/>
      <c r="E712" s="202"/>
      <c r="F712" s="197"/>
      <c r="G712" s="197"/>
      <c r="H712" s="197"/>
      <c r="I712" s="197"/>
      <c r="J712" s="197"/>
    </row>
    <row r="713">
      <c r="A713" s="199"/>
      <c r="B713" s="200"/>
      <c r="C713" s="200"/>
      <c r="D713" s="201"/>
      <c r="E713" s="202"/>
      <c r="F713" s="197"/>
      <c r="G713" s="197"/>
      <c r="H713" s="197"/>
      <c r="I713" s="197"/>
      <c r="J713" s="197"/>
    </row>
    <row r="714">
      <c r="A714" s="199"/>
      <c r="B714" s="200"/>
      <c r="C714" s="200"/>
      <c r="D714" s="201"/>
      <c r="E714" s="202"/>
      <c r="F714" s="197"/>
      <c r="G714" s="197"/>
      <c r="H714" s="197"/>
      <c r="I714" s="197"/>
      <c r="J714" s="197"/>
    </row>
    <row r="715">
      <c r="A715" s="199"/>
      <c r="B715" s="200"/>
      <c r="C715" s="200"/>
      <c r="D715" s="201"/>
      <c r="E715" s="202"/>
      <c r="F715" s="197"/>
      <c r="G715" s="197"/>
      <c r="H715" s="197"/>
      <c r="I715" s="197"/>
      <c r="J715" s="197"/>
    </row>
    <row r="716">
      <c r="A716" s="199"/>
      <c r="B716" s="200"/>
      <c r="C716" s="200"/>
      <c r="D716" s="201"/>
      <c r="E716" s="202"/>
      <c r="F716" s="197"/>
      <c r="G716" s="197"/>
      <c r="H716" s="197"/>
      <c r="I716" s="197"/>
      <c r="J716" s="197"/>
    </row>
    <row r="717">
      <c r="A717" s="199"/>
      <c r="B717" s="200"/>
      <c r="C717" s="200"/>
      <c r="D717" s="201"/>
      <c r="E717" s="202"/>
      <c r="F717" s="197"/>
      <c r="G717" s="197"/>
      <c r="H717" s="197"/>
      <c r="I717" s="197"/>
      <c r="J717" s="197"/>
    </row>
    <row r="718">
      <c r="A718" s="199"/>
      <c r="B718" s="200"/>
      <c r="C718" s="200"/>
      <c r="D718" s="201"/>
      <c r="E718" s="202"/>
      <c r="F718" s="197"/>
      <c r="G718" s="197"/>
      <c r="H718" s="197"/>
      <c r="I718" s="197"/>
      <c r="J718" s="197"/>
    </row>
    <row r="719">
      <c r="A719" s="199"/>
      <c r="B719" s="200"/>
      <c r="C719" s="200"/>
      <c r="D719" s="201"/>
      <c r="E719" s="202"/>
      <c r="F719" s="197"/>
      <c r="G719" s="197"/>
      <c r="H719" s="197"/>
      <c r="I719" s="197"/>
      <c r="J719" s="197"/>
    </row>
    <row r="720">
      <c r="A720" s="199"/>
      <c r="B720" s="200"/>
      <c r="C720" s="200"/>
      <c r="D720" s="201"/>
      <c r="E720" s="202"/>
      <c r="F720" s="197"/>
      <c r="G720" s="197"/>
      <c r="H720" s="197"/>
      <c r="I720" s="197"/>
      <c r="J720" s="197"/>
    </row>
    <row r="721">
      <c r="A721" s="199"/>
      <c r="B721" s="200"/>
      <c r="C721" s="200"/>
      <c r="D721" s="201"/>
      <c r="E721" s="202"/>
      <c r="F721" s="197"/>
      <c r="G721" s="197"/>
      <c r="H721" s="197"/>
      <c r="I721" s="197"/>
      <c r="J721" s="197"/>
    </row>
    <row r="722">
      <c r="A722" s="199"/>
      <c r="B722" s="200"/>
      <c r="C722" s="200"/>
      <c r="D722" s="201"/>
      <c r="E722" s="202"/>
      <c r="F722" s="197"/>
      <c r="G722" s="197"/>
      <c r="H722" s="197"/>
      <c r="I722" s="197"/>
      <c r="J722" s="197"/>
    </row>
    <row r="723">
      <c r="A723" s="199"/>
      <c r="B723" s="200"/>
      <c r="C723" s="200"/>
      <c r="D723" s="201"/>
      <c r="E723" s="202"/>
      <c r="F723" s="197"/>
      <c r="G723" s="197"/>
      <c r="H723" s="197"/>
      <c r="I723" s="197"/>
      <c r="J723" s="197"/>
    </row>
    <row r="724">
      <c r="A724" s="199"/>
      <c r="B724" s="200"/>
      <c r="C724" s="200"/>
      <c r="D724" s="201"/>
      <c r="E724" s="202"/>
      <c r="F724" s="197"/>
      <c r="G724" s="197"/>
      <c r="H724" s="197"/>
      <c r="I724" s="197"/>
      <c r="J724" s="197"/>
    </row>
    <row r="725">
      <c r="A725" s="199"/>
      <c r="B725" s="200"/>
      <c r="C725" s="200"/>
      <c r="D725" s="201"/>
      <c r="E725" s="202"/>
      <c r="F725" s="197"/>
      <c r="G725" s="197"/>
      <c r="H725" s="197"/>
      <c r="I725" s="197"/>
      <c r="J725" s="197"/>
    </row>
    <row r="726">
      <c r="A726" s="199"/>
      <c r="B726" s="200"/>
      <c r="C726" s="200"/>
      <c r="D726" s="201"/>
      <c r="E726" s="202"/>
      <c r="F726" s="197"/>
      <c r="G726" s="197"/>
      <c r="H726" s="197"/>
      <c r="I726" s="197"/>
      <c r="J726" s="197"/>
    </row>
    <row r="727">
      <c r="A727" s="199"/>
      <c r="B727" s="200"/>
      <c r="C727" s="200"/>
      <c r="D727" s="201"/>
      <c r="E727" s="202"/>
      <c r="F727" s="197"/>
      <c r="G727" s="197"/>
      <c r="H727" s="197"/>
      <c r="I727" s="197"/>
      <c r="J727" s="197"/>
    </row>
    <row r="728">
      <c r="A728" s="199"/>
      <c r="B728" s="200"/>
      <c r="C728" s="200"/>
      <c r="D728" s="201"/>
      <c r="E728" s="202"/>
      <c r="F728" s="197"/>
      <c r="G728" s="197"/>
      <c r="H728" s="197"/>
      <c r="I728" s="197"/>
      <c r="J728" s="197"/>
    </row>
    <row r="729">
      <c r="A729" s="199"/>
      <c r="B729" s="200"/>
      <c r="C729" s="200"/>
      <c r="D729" s="201"/>
      <c r="E729" s="202"/>
      <c r="F729" s="197"/>
      <c r="G729" s="197"/>
      <c r="H729" s="197"/>
      <c r="I729" s="197"/>
      <c r="J729" s="197"/>
    </row>
    <row r="730">
      <c r="A730" s="199"/>
      <c r="B730" s="200"/>
      <c r="C730" s="200"/>
      <c r="D730" s="201"/>
      <c r="E730" s="202"/>
      <c r="F730" s="197"/>
      <c r="G730" s="197"/>
      <c r="H730" s="197"/>
      <c r="I730" s="197"/>
      <c r="J730" s="197"/>
    </row>
    <row r="731">
      <c r="A731" s="199"/>
      <c r="B731" s="200"/>
      <c r="C731" s="200"/>
      <c r="D731" s="201"/>
      <c r="E731" s="202"/>
      <c r="F731" s="197"/>
      <c r="G731" s="197"/>
      <c r="H731" s="197"/>
      <c r="I731" s="197"/>
      <c r="J731" s="197"/>
    </row>
    <row r="732">
      <c r="A732" s="199"/>
      <c r="B732" s="200"/>
      <c r="C732" s="200"/>
      <c r="D732" s="201"/>
      <c r="E732" s="202"/>
      <c r="F732" s="197"/>
      <c r="G732" s="197"/>
      <c r="H732" s="197"/>
      <c r="I732" s="197"/>
      <c r="J732" s="197"/>
    </row>
    <row r="733">
      <c r="A733" s="199"/>
      <c r="B733" s="200"/>
      <c r="C733" s="200"/>
      <c r="D733" s="201"/>
      <c r="E733" s="202"/>
      <c r="F733" s="197"/>
      <c r="G733" s="197"/>
      <c r="H733" s="197"/>
      <c r="I733" s="197"/>
      <c r="J733" s="197"/>
    </row>
    <row r="734">
      <c r="A734" s="199"/>
      <c r="B734" s="200"/>
      <c r="C734" s="200"/>
      <c r="D734" s="201"/>
      <c r="E734" s="202"/>
      <c r="F734" s="197"/>
      <c r="G734" s="197"/>
      <c r="H734" s="197"/>
      <c r="I734" s="197"/>
      <c r="J734" s="197"/>
    </row>
    <row r="735">
      <c r="A735" s="199"/>
      <c r="B735" s="200"/>
      <c r="C735" s="200"/>
      <c r="D735" s="201"/>
      <c r="E735" s="202"/>
      <c r="F735" s="197"/>
      <c r="G735" s="197"/>
      <c r="H735" s="197"/>
      <c r="I735" s="197"/>
      <c r="J735" s="197"/>
    </row>
    <row r="736">
      <c r="A736" s="199"/>
      <c r="B736" s="200"/>
      <c r="C736" s="200"/>
      <c r="D736" s="201"/>
      <c r="E736" s="202"/>
      <c r="F736" s="197"/>
      <c r="G736" s="197"/>
      <c r="H736" s="197"/>
      <c r="I736" s="197"/>
      <c r="J736" s="197"/>
    </row>
    <row r="737">
      <c r="A737" s="199"/>
      <c r="B737" s="200"/>
      <c r="C737" s="200"/>
      <c r="D737" s="201"/>
      <c r="E737" s="202"/>
      <c r="F737" s="197"/>
      <c r="G737" s="197"/>
      <c r="H737" s="197"/>
      <c r="I737" s="197"/>
      <c r="J737" s="197"/>
    </row>
    <row r="738">
      <c r="A738" s="199"/>
      <c r="B738" s="200"/>
      <c r="C738" s="200"/>
      <c r="D738" s="201"/>
      <c r="E738" s="202"/>
      <c r="F738" s="197"/>
      <c r="G738" s="197"/>
      <c r="H738" s="197"/>
      <c r="I738" s="197"/>
      <c r="J738" s="197"/>
    </row>
    <row r="739">
      <c r="A739" s="199"/>
      <c r="B739" s="200"/>
      <c r="C739" s="200"/>
      <c r="D739" s="201"/>
      <c r="E739" s="202"/>
      <c r="F739" s="197"/>
      <c r="G739" s="197"/>
      <c r="H739" s="197"/>
      <c r="I739" s="197"/>
      <c r="J739" s="197"/>
    </row>
    <row r="740">
      <c r="A740" s="199"/>
      <c r="B740" s="200"/>
      <c r="C740" s="200"/>
      <c r="D740" s="201"/>
      <c r="E740" s="202"/>
      <c r="F740" s="197"/>
      <c r="G740" s="197"/>
      <c r="H740" s="197"/>
      <c r="I740" s="197"/>
      <c r="J740" s="197"/>
    </row>
    <row r="741">
      <c r="A741" s="199"/>
      <c r="B741" s="200"/>
      <c r="C741" s="200"/>
      <c r="D741" s="201"/>
      <c r="E741" s="202"/>
      <c r="F741" s="197"/>
      <c r="G741" s="197"/>
      <c r="H741" s="197"/>
      <c r="I741" s="197"/>
      <c r="J741" s="197"/>
    </row>
    <row r="742">
      <c r="A742" s="199"/>
      <c r="B742" s="200"/>
      <c r="C742" s="200"/>
      <c r="D742" s="201"/>
      <c r="E742" s="202"/>
      <c r="F742" s="197"/>
      <c r="G742" s="197"/>
      <c r="H742" s="197"/>
      <c r="I742" s="197"/>
      <c r="J742" s="197"/>
    </row>
    <row r="743">
      <c r="A743" s="199"/>
      <c r="B743" s="200"/>
      <c r="C743" s="200"/>
      <c r="D743" s="201"/>
      <c r="E743" s="202"/>
      <c r="F743" s="197"/>
      <c r="G743" s="197"/>
      <c r="H743" s="197"/>
      <c r="I743" s="197"/>
      <c r="J743" s="197"/>
    </row>
    <row r="744">
      <c r="A744" s="199"/>
      <c r="B744" s="200"/>
      <c r="C744" s="200"/>
      <c r="D744" s="201"/>
      <c r="E744" s="202"/>
      <c r="F744" s="197"/>
      <c r="G744" s="197"/>
      <c r="H744" s="197"/>
      <c r="I744" s="197"/>
      <c r="J744" s="197"/>
    </row>
    <row r="745">
      <c r="A745" s="199"/>
      <c r="B745" s="200"/>
      <c r="C745" s="200"/>
      <c r="D745" s="201"/>
      <c r="E745" s="202"/>
      <c r="F745" s="197"/>
      <c r="G745" s="197"/>
      <c r="H745" s="197"/>
      <c r="I745" s="197"/>
      <c r="J745" s="197"/>
    </row>
    <row r="746">
      <c r="A746" s="199"/>
      <c r="B746" s="200"/>
      <c r="C746" s="200"/>
      <c r="D746" s="201"/>
      <c r="E746" s="202"/>
      <c r="F746" s="197"/>
      <c r="G746" s="197"/>
      <c r="H746" s="197"/>
      <c r="I746" s="197"/>
      <c r="J746" s="197"/>
    </row>
    <row r="747">
      <c r="A747" s="199"/>
      <c r="B747" s="200"/>
      <c r="C747" s="200"/>
      <c r="D747" s="201"/>
      <c r="E747" s="202"/>
      <c r="F747" s="197"/>
      <c r="G747" s="197"/>
      <c r="H747" s="197"/>
      <c r="I747" s="197"/>
      <c r="J747" s="197"/>
    </row>
    <row r="748">
      <c r="A748" s="199"/>
      <c r="B748" s="200"/>
      <c r="C748" s="200"/>
      <c r="D748" s="201"/>
      <c r="E748" s="202"/>
      <c r="F748" s="197"/>
      <c r="G748" s="197"/>
      <c r="H748" s="197"/>
      <c r="I748" s="197"/>
      <c r="J748" s="197"/>
    </row>
    <row r="749">
      <c r="A749" s="199"/>
      <c r="B749" s="200"/>
      <c r="C749" s="200"/>
      <c r="D749" s="201"/>
      <c r="E749" s="202"/>
      <c r="F749" s="197"/>
      <c r="G749" s="197"/>
      <c r="H749" s="197"/>
      <c r="I749" s="197"/>
      <c r="J749" s="197"/>
    </row>
    <row r="750">
      <c r="A750" s="199"/>
      <c r="B750" s="200"/>
      <c r="C750" s="200"/>
      <c r="D750" s="201"/>
      <c r="E750" s="202"/>
      <c r="F750" s="197"/>
      <c r="G750" s="197"/>
      <c r="H750" s="197"/>
      <c r="I750" s="197"/>
      <c r="J750" s="197"/>
    </row>
    <row r="751">
      <c r="A751" s="199"/>
      <c r="B751" s="200"/>
      <c r="C751" s="200"/>
      <c r="D751" s="201"/>
      <c r="E751" s="202"/>
      <c r="F751" s="197"/>
      <c r="G751" s="197"/>
      <c r="H751" s="197"/>
      <c r="I751" s="197"/>
      <c r="J751" s="197"/>
    </row>
    <row r="752">
      <c r="A752" s="199"/>
      <c r="B752" s="200"/>
      <c r="C752" s="200"/>
      <c r="D752" s="201"/>
      <c r="E752" s="202"/>
      <c r="F752" s="197"/>
      <c r="G752" s="197"/>
      <c r="H752" s="197"/>
      <c r="I752" s="197"/>
      <c r="J752" s="197"/>
    </row>
    <row r="753">
      <c r="A753" s="199"/>
      <c r="B753" s="200"/>
      <c r="C753" s="200"/>
      <c r="D753" s="201"/>
      <c r="E753" s="202"/>
      <c r="F753" s="197"/>
      <c r="G753" s="197"/>
      <c r="H753" s="197"/>
      <c r="I753" s="197"/>
      <c r="J753" s="197"/>
    </row>
    <row r="754">
      <c r="A754" s="199"/>
      <c r="B754" s="200"/>
      <c r="C754" s="200"/>
      <c r="D754" s="201"/>
      <c r="E754" s="202"/>
      <c r="F754" s="197"/>
      <c r="G754" s="197"/>
      <c r="H754" s="197"/>
      <c r="I754" s="197"/>
      <c r="J754" s="197"/>
    </row>
    <row r="755">
      <c r="A755" s="199"/>
      <c r="B755" s="200"/>
      <c r="C755" s="200"/>
      <c r="D755" s="201"/>
      <c r="E755" s="202"/>
      <c r="F755" s="197"/>
      <c r="G755" s="197"/>
      <c r="H755" s="197"/>
      <c r="I755" s="197"/>
      <c r="J755" s="197"/>
    </row>
    <row r="756">
      <c r="A756" s="199"/>
      <c r="B756" s="200"/>
      <c r="C756" s="200"/>
      <c r="D756" s="201"/>
      <c r="E756" s="202"/>
      <c r="F756" s="197"/>
      <c r="G756" s="197"/>
      <c r="H756" s="197"/>
      <c r="I756" s="197"/>
      <c r="J756" s="197"/>
    </row>
    <row r="757">
      <c r="A757" s="199"/>
      <c r="B757" s="200"/>
      <c r="C757" s="200"/>
      <c r="D757" s="201"/>
      <c r="E757" s="202"/>
      <c r="F757" s="197"/>
      <c r="G757" s="197"/>
      <c r="H757" s="197"/>
      <c r="I757" s="197"/>
      <c r="J757" s="197"/>
    </row>
    <row r="758">
      <c r="A758" s="199"/>
      <c r="B758" s="200"/>
      <c r="C758" s="200"/>
      <c r="D758" s="201"/>
      <c r="E758" s="202"/>
      <c r="F758" s="197"/>
      <c r="G758" s="197"/>
      <c r="H758" s="197"/>
      <c r="I758" s="197"/>
      <c r="J758" s="197"/>
    </row>
    <row r="759">
      <c r="A759" s="199"/>
      <c r="B759" s="200"/>
      <c r="C759" s="200"/>
      <c r="D759" s="201"/>
      <c r="E759" s="202"/>
      <c r="F759" s="197"/>
      <c r="G759" s="197"/>
      <c r="H759" s="197"/>
      <c r="I759" s="197"/>
      <c r="J759" s="197"/>
    </row>
    <row r="760">
      <c r="A760" s="199"/>
      <c r="B760" s="200"/>
      <c r="C760" s="200"/>
      <c r="D760" s="201"/>
      <c r="E760" s="202"/>
      <c r="F760" s="197"/>
      <c r="G760" s="197"/>
      <c r="H760" s="197"/>
      <c r="I760" s="197"/>
      <c r="J760" s="197"/>
    </row>
    <row r="761">
      <c r="A761" s="199"/>
      <c r="B761" s="200"/>
      <c r="C761" s="200"/>
      <c r="D761" s="201"/>
      <c r="E761" s="202"/>
      <c r="F761" s="197"/>
      <c r="G761" s="197"/>
      <c r="H761" s="197"/>
      <c r="I761" s="197"/>
      <c r="J761" s="197"/>
    </row>
    <row r="762">
      <c r="A762" s="199"/>
      <c r="B762" s="200"/>
      <c r="C762" s="200"/>
      <c r="D762" s="201"/>
      <c r="E762" s="202"/>
      <c r="F762" s="197"/>
      <c r="G762" s="197"/>
      <c r="H762" s="197"/>
      <c r="I762" s="197"/>
      <c r="J762" s="197"/>
    </row>
    <row r="763">
      <c r="A763" s="199"/>
      <c r="B763" s="200"/>
      <c r="C763" s="200"/>
      <c r="D763" s="201"/>
      <c r="E763" s="202"/>
      <c r="F763" s="197"/>
      <c r="G763" s="197"/>
      <c r="H763" s="197"/>
      <c r="I763" s="197"/>
      <c r="J763" s="197"/>
    </row>
    <row r="764">
      <c r="A764" s="199"/>
      <c r="B764" s="200"/>
      <c r="C764" s="200"/>
      <c r="D764" s="201"/>
      <c r="E764" s="202"/>
      <c r="F764" s="197"/>
      <c r="G764" s="197"/>
      <c r="H764" s="197"/>
      <c r="I764" s="197"/>
      <c r="J764" s="197"/>
    </row>
    <row r="765">
      <c r="A765" s="199"/>
      <c r="B765" s="200"/>
      <c r="C765" s="200"/>
      <c r="D765" s="201"/>
      <c r="E765" s="202"/>
      <c r="F765" s="197"/>
      <c r="G765" s="197"/>
      <c r="H765" s="197"/>
      <c r="I765" s="197"/>
      <c r="J765" s="197"/>
    </row>
    <row r="766">
      <c r="A766" s="199"/>
      <c r="B766" s="200"/>
      <c r="C766" s="200"/>
      <c r="D766" s="201"/>
      <c r="E766" s="202"/>
      <c r="F766" s="197"/>
      <c r="G766" s="197"/>
      <c r="H766" s="197"/>
      <c r="I766" s="197"/>
      <c r="J766" s="197"/>
    </row>
    <row r="767">
      <c r="A767" s="199"/>
      <c r="B767" s="200"/>
      <c r="C767" s="200"/>
      <c r="D767" s="201"/>
      <c r="E767" s="202"/>
      <c r="F767" s="197"/>
      <c r="G767" s="197"/>
      <c r="H767" s="197"/>
      <c r="I767" s="197"/>
      <c r="J767" s="197"/>
    </row>
    <row r="768">
      <c r="A768" s="199"/>
      <c r="B768" s="200"/>
      <c r="C768" s="200"/>
      <c r="D768" s="201"/>
      <c r="E768" s="202"/>
      <c r="F768" s="197"/>
      <c r="G768" s="197"/>
      <c r="H768" s="197"/>
      <c r="I768" s="197"/>
      <c r="J768" s="197"/>
    </row>
    <row r="769">
      <c r="A769" s="199"/>
      <c r="B769" s="200"/>
      <c r="C769" s="200"/>
      <c r="D769" s="201"/>
      <c r="E769" s="202"/>
      <c r="F769" s="197"/>
      <c r="G769" s="197"/>
      <c r="H769" s="197"/>
      <c r="I769" s="197"/>
      <c r="J769" s="197"/>
    </row>
    <row r="770">
      <c r="A770" s="199"/>
      <c r="B770" s="200"/>
      <c r="C770" s="200"/>
      <c r="D770" s="201"/>
      <c r="E770" s="202"/>
      <c r="F770" s="197"/>
      <c r="G770" s="197"/>
      <c r="H770" s="197"/>
      <c r="I770" s="197"/>
      <c r="J770" s="197"/>
    </row>
    <row r="771">
      <c r="A771" s="199"/>
      <c r="B771" s="200"/>
      <c r="C771" s="200"/>
      <c r="D771" s="201"/>
      <c r="E771" s="202"/>
      <c r="F771" s="197"/>
      <c r="G771" s="197"/>
      <c r="H771" s="197"/>
      <c r="I771" s="197"/>
      <c r="J771" s="197"/>
    </row>
    <row r="772">
      <c r="A772" s="199"/>
      <c r="B772" s="200"/>
      <c r="C772" s="200"/>
      <c r="D772" s="201"/>
      <c r="E772" s="202"/>
      <c r="F772" s="197"/>
      <c r="G772" s="197"/>
      <c r="H772" s="197"/>
      <c r="I772" s="197"/>
      <c r="J772" s="197"/>
    </row>
    <row r="773">
      <c r="A773" s="199"/>
      <c r="B773" s="200"/>
      <c r="C773" s="200"/>
      <c r="D773" s="201"/>
      <c r="E773" s="202"/>
      <c r="F773" s="197"/>
      <c r="G773" s="197"/>
      <c r="H773" s="197"/>
      <c r="I773" s="197"/>
      <c r="J773" s="197"/>
    </row>
    <row r="774">
      <c r="A774" s="199"/>
      <c r="B774" s="200"/>
      <c r="C774" s="200"/>
      <c r="D774" s="201"/>
      <c r="E774" s="202"/>
      <c r="F774" s="197"/>
      <c r="G774" s="197"/>
      <c r="H774" s="197"/>
      <c r="I774" s="197"/>
      <c r="J774" s="197"/>
    </row>
    <row r="775">
      <c r="A775" s="199"/>
      <c r="B775" s="200"/>
      <c r="C775" s="200"/>
      <c r="D775" s="201"/>
      <c r="E775" s="202"/>
      <c r="F775" s="197"/>
      <c r="G775" s="197"/>
      <c r="H775" s="197"/>
      <c r="I775" s="197"/>
      <c r="J775" s="197"/>
    </row>
    <row r="776">
      <c r="A776" s="199"/>
      <c r="B776" s="200"/>
      <c r="C776" s="200"/>
      <c r="D776" s="201"/>
      <c r="E776" s="202"/>
      <c r="F776" s="197"/>
      <c r="G776" s="197"/>
      <c r="H776" s="197"/>
      <c r="I776" s="197"/>
      <c r="J776" s="197"/>
    </row>
    <row r="777">
      <c r="A777" s="199"/>
      <c r="B777" s="200"/>
      <c r="C777" s="200"/>
      <c r="D777" s="201"/>
      <c r="E777" s="202"/>
      <c r="F777" s="197"/>
      <c r="G777" s="197"/>
      <c r="H777" s="197"/>
      <c r="I777" s="197"/>
      <c r="J777" s="197"/>
    </row>
    <row r="778">
      <c r="A778" s="199"/>
      <c r="B778" s="200"/>
      <c r="C778" s="200"/>
      <c r="D778" s="201"/>
      <c r="E778" s="202"/>
      <c r="F778" s="197"/>
      <c r="G778" s="197"/>
      <c r="H778" s="197"/>
      <c r="I778" s="197"/>
      <c r="J778" s="197"/>
    </row>
    <row r="779">
      <c r="A779" s="199"/>
      <c r="B779" s="200"/>
      <c r="C779" s="200"/>
      <c r="D779" s="201"/>
      <c r="E779" s="202"/>
      <c r="F779" s="197"/>
      <c r="G779" s="197"/>
      <c r="H779" s="197"/>
      <c r="I779" s="197"/>
      <c r="J779" s="197"/>
    </row>
    <row r="780">
      <c r="A780" s="199"/>
      <c r="B780" s="200"/>
      <c r="C780" s="200"/>
      <c r="D780" s="201"/>
      <c r="E780" s="202"/>
      <c r="F780" s="197"/>
      <c r="G780" s="197"/>
      <c r="H780" s="197"/>
      <c r="I780" s="197"/>
      <c r="J780" s="197"/>
    </row>
    <row r="781">
      <c r="A781" s="199"/>
      <c r="B781" s="200"/>
      <c r="C781" s="200"/>
      <c r="D781" s="201"/>
      <c r="E781" s="202"/>
      <c r="F781" s="197"/>
      <c r="G781" s="197"/>
      <c r="H781" s="197"/>
      <c r="I781" s="197"/>
      <c r="J781" s="197"/>
    </row>
    <row r="782">
      <c r="A782" s="199"/>
      <c r="B782" s="200"/>
      <c r="C782" s="200"/>
      <c r="D782" s="201"/>
      <c r="E782" s="202"/>
      <c r="F782" s="197"/>
      <c r="G782" s="197"/>
      <c r="H782" s="197"/>
      <c r="I782" s="197"/>
      <c r="J782" s="197"/>
    </row>
    <row r="783">
      <c r="A783" s="199"/>
      <c r="B783" s="200"/>
      <c r="C783" s="200"/>
      <c r="D783" s="201"/>
      <c r="E783" s="202"/>
      <c r="F783" s="197"/>
      <c r="G783" s="197"/>
      <c r="H783" s="197"/>
      <c r="I783" s="197"/>
      <c r="J783" s="197"/>
    </row>
    <row r="784">
      <c r="A784" s="199"/>
      <c r="B784" s="200"/>
      <c r="C784" s="200"/>
      <c r="D784" s="201"/>
      <c r="E784" s="202"/>
      <c r="F784" s="197"/>
      <c r="G784" s="197"/>
      <c r="H784" s="197"/>
      <c r="I784" s="197"/>
      <c r="J784" s="197"/>
    </row>
    <row r="785">
      <c r="A785" s="199"/>
      <c r="B785" s="200"/>
      <c r="C785" s="200"/>
      <c r="D785" s="201"/>
      <c r="E785" s="202"/>
      <c r="F785" s="197"/>
      <c r="G785" s="197"/>
      <c r="H785" s="197"/>
      <c r="I785" s="197"/>
      <c r="J785" s="197"/>
    </row>
    <row r="786">
      <c r="A786" s="199"/>
      <c r="B786" s="200"/>
      <c r="C786" s="200"/>
      <c r="D786" s="201"/>
      <c r="E786" s="202"/>
      <c r="F786" s="197"/>
      <c r="G786" s="197"/>
      <c r="H786" s="197"/>
      <c r="I786" s="197"/>
      <c r="J786" s="197"/>
    </row>
    <row r="787">
      <c r="A787" s="199"/>
      <c r="B787" s="200"/>
      <c r="C787" s="200"/>
      <c r="D787" s="201"/>
      <c r="E787" s="202"/>
      <c r="F787" s="197"/>
      <c r="G787" s="197"/>
      <c r="H787" s="197"/>
      <c r="I787" s="197"/>
      <c r="J787" s="197"/>
    </row>
    <row r="788">
      <c r="A788" s="199"/>
      <c r="B788" s="200"/>
      <c r="C788" s="200"/>
      <c r="D788" s="201"/>
      <c r="E788" s="202"/>
      <c r="F788" s="197"/>
      <c r="G788" s="197"/>
      <c r="H788" s="197"/>
      <c r="I788" s="197"/>
      <c r="J788" s="197"/>
    </row>
    <row r="789">
      <c r="A789" s="199"/>
      <c r="B789" s="200"/>
      <c r="C789" s="200"/>
      <c r="D789" s="201"/>
      <c r="E789" s="202"/>
      <c r="F789" s="197"/>
      <c r="G789" s="197"/>
      <c r="H789" s="197"/>
      <c r="I789" s="197"/>
      <c r="J789" s="197"/>
    </row>
    <row r="790">
      <c r="A790" s="199"/>
      <c r="B790" s="200"/>
      <c r="C790" s="200"/>
      <c r="D790" s="201"/>
      <c r="E790" s="202"/>
      <c r="F790" s="197"/>
      <c r="G790" s="197"/>
      <c r="H790" s="197"/>
      <c r="I790" s="197"/>
      <c r="J790" s="197"/>
    </row>
    <row r="791">
      <c r="A791" s="199"/>
      <c r="B791" s="200"/>
      <c r="C791" s="200"/>
      <c r="D791" s="201"/>
      <c r="E791" s="202"/>
      <c r="F791" s="197"/>
      <c r="G791" s="197"/>
      <c r="H791" s="197"/>
      <c r="I791" s="197"/>
      <c r="J791" s="197"/>
    </row>
    <row r="792">
      <c r="A792" s="199"/>
      <c r="B792" s="200"/>
      <c r="C792" s="200"/>
      <c r="D792" s="201"/>
      <c r="E792" s="202"/>
      <c r="F792" s="197"/>
      <c r="G792" s="197"/>
      <c r="H792" s="197"/>
      <c r="I792" s="197"/>
      <c r="J792" s="197"/>
    </row>
    <row r="793">
      <c r="A793" s="199"/>
      <c r="B793" s="200"/>
      <c r="C793" s="200"/>
      <c r="D793" s="201"/>
      <c r="E793" s="202"/>
      <c r="F793" s="197"/>
      <c r="G793" s="197"/>
      <c r="H793" s="197"/>
      <c r="I793" s="197"/>
      <c r="J793" s="197"/>
    </row>
    <row r="794">
      <c r="A794" s="199"/>
      <c r="B794" s="200"/>
      <c r="C794" s="200"/>
      <c r="D794" s="201"/>
      <c r="E794" s="202"/>
      <c r="F794" s="197"/>
      <c r="G794" s="197"/>
      <c r="H794" s="197"/>
      <c r="I794" s="197"/>
      <c r="J794" s="197"/>
    </row>
    <row r="795">
      <c r="A795" s="199"/>
      <c r="B795" s="200"/>
      <c r="C795" s="200"/>
      <c r="D795" s="201"/>
      <c r="E795" s="202"/>
      <c r="F795" s="197"/>
      <c r="G795" s="197"/>
      <c r="H795" s="197"/>
      <c r="I795" s="197"/>
      <c r="J795" s="197"/>
    </row>
    <row r="796">
      <c r="A796" s="199"/>
      <c r="B796" s="200"/>
      <c r="C796" s="200"/>
      <c r="D796" s="201"/>
      <c r="E796" s="202"/>
      <c r="F796" s="197"/>
      <c r="G796" s="197"/>
      <c r="H796" s="197"/>
      <c r="I796" s="197"/>
      <c r="J796" s="197"/>
    </row>
    <row r="797">
      <c r="A797" s="199"/>
      <c r="B797" s="200"/>
      <c r="C797" s="200"/>
      <c r="D797" s="201"/>
      <c r="E797" s="202"/>
      <c r="F797" s="197"/>
      <c r="G797" s="197"/>
      <c r="H797" s="197"/>
      <c r="I797" s="197"/>
      <c r="J797" s="197"/>
    </row>
    <row r="798">
      <c r="A798" s="199"/>
      <c r="B798" s="200"/>
      <c r="C798" s="200"/>
      <c r="D798" s="201"/>
      <c r="E798" s="202"/>
      <c r="F798" s="197"/>
      <c r="G798" s="197"/>
      <c r="H798" s="197"/>
      <c r="I798" s="197"/>
      <c r="J798" s="197"/>
    </row>
    <row r="799">
      <c r="A799" s="199"/>
      <c r="B799" s="200"/>
      <c r="C799" s="200"/>
      <c r="D799" s="201"/>
      <c r="E799" s="202"/>
      <c r="F799" s="197"/>
      <c r="G799" s="197"/>
      <c r="H799" s="197"/>
      <c r="I799" s="197"/>
      <c r="J799" s="197"/>
    </row>
    <row r="800">
      <c r="A800" s="199"/>
      <c r="B800" s="200"/>
      <c r="C800" s="200"/>
      <c r="D800" s="201"/>
      <c r="E800" s="202"/>
      <c r="F800" s="197"/>
      <c r="G800" s="197"/>
      <c r="H800" s="197"/>
      <c r="I800" s="197"/>
      <c r="J800" s="197"/>
    </row>
    <row r="801">
      <c r="A801" s="199"/>
      <c r="B801" s="200"/>
      <c r="C801" s="200"/>
      <c r="D801" s="201"/>
      <c r="E801" s="202"/>
      <c r="F801" s="197"/>
      <c r="G801" s="197"/>
      <c r="H801" s="197"/>
      <c r="I801" s="197"/>
      <c r="J801" s="197"/>
    </row>
    <row r="802">
      <c r="A802" s="199"/>
      <c r="B802" s="200"/>
      <c r="C802" s="200"/>
      <c r="D802" s="201"/>
      <c r="E802" s="202"/>
      <c r="F802" s="197"/>
      <c r="G802" s="197"/>
      <c r="H802" s="197"/>
      <c r="I802" s="197"/>
      <c r="J802" s="197"/>
    </row>
    <row r="803">
      <c r="A803" s="199"/>
      <c r="B803" s="200"/>
      <c r="C803" s="200"/>
      <c r="D803" s="201"/>
      <c r="E803" s="202"/>
      <c r="F803" s="197"/>
      <c r="G803" s="197"/>
      <c r="H803" s="197"/>
      <c r="I803" s="197"/>
      <c r="J803" s="197"/>
    </row>
    <row r="804">
      <c r="A804" s="199"/>
      <c r="B804" s="200"/>
      <c r="C804" s="200"/>
      <c r="D804" s="201"/>
      <c r="E804" s="202"/>
      <c r="F804" s="197"/>
      <c r="G804" s="197"/>
      <c r="H804" s="197"/>
      <c r="I804" s="197"/>
      <c r="J804" s="197"/>
    </row>
    <row r="805">
      <c r="A805" s="199"/>
      <c r="B805" s="200"/>
      <c r="C805" s="200"/>
      <c r="D805" s="201"/>
      <c r="E805" s="202"/>
      <c r="F805" s="197"/>
      <c r="G805" s="197"/>
      <c r="H805" s="197"/>
      <c r="I805" s="197"/>
      <c r="J805" s="197"/>
    </row>
    <row r="806">
      <c r="A806" s="199"/>
      <c r="B806" s="200"/>
      <c r="C806" s="200"/>
      <c r="D806" s="201"/>
      <c r="E806" s="202"/>
      <c r="F806" s="197"/>
      <c r="G806" s="197"/>
      <c r="H806" s="197"/>
      <c r="I806" s="197"/>
      <c r="J806" s="197"/>
    </row>
    <row r="807">
      <c r="A807" s="199"/>
      <c r="B807" s="200"/>
      <c r="C807" s="200"/>
      <c r="D807" s="201"/>
      <c r="E807" s="202"/>
      <c r="F807" s="197"/>
      <c r="G807" s="197"/>
      <c r="H807" s="197"/>
      <c r="I807" s="197"/>
      <c r="J807" s="197"/>
    </row>
    <row r="808">
      <c r="A808" s="199"/>
      <c r="B808" s="200"/>
      <c r="C808" s="200"/>
      <c r="D808" s="201"/>
      <c r="E808" s="202"/>
      <c r="F808" s="197"/>
      <c r="G808" s="197"/>
      <c r="H808" s="197"/>
      <c r="I808" s="197"/>
      <c r="J808" s="197"/>
    </row>
    <row r="809">
      <c r="A809" s="199"/>
      <c r="B809" s="200"/>
      <c r="C809" s="200"/>
      <c r="D809" s="201"/>
      <c r="E809" s="202"/>
      <c r="F809" s="197"/>
      <c r="G809" s="197"/>
      <c r="H809" s="197"/>
      <c r="I809" s="197"/>
      <c r="J809" s="197"/>
    </row>
    <row r="810">
      <c r="A810" s="199"/>
      <c r="B810" s="200"/>
      <c r="C810" s="200"/>
      <c r="D810" s="201"/>
      <c r="E810" s="202"/>
      <c r="F810" s="197"/>
      <c r="G810" s="197"/>
      <c r="H810" s="197"/>
      <c r="I810" s="197"/>
      <c r="J810" s="197"/>
    </row>
    <row r="811">
      <c r="A811" s="199"/>
      <c r="B811" s="200"/>
      <c r="C811" s="200"/>
      <c r="D811" s="201"/>
      <c r="E811" s="202"/>
      <c r="F811" s="197"/>
      <c r="G811" s="197"/>
      <c r="H811" s="197"/>
      <c r="I811" s="197"/>
      <c r="J811" s="197"/>
    </row>
    <row r="812">
      <c r="A812" s="199"/>
      <c r="B812" s="200"/>
      <c r="C812" s="200"/>
      <c r="D812" s="201"/>
      <c r="E812" s="202"/>
      <c r="F812" s="197"/>
      <c r="G812" s="197"/>
      <c r="H812" s="197"/>
      <c r="I812" s="197"/>
      <c r="J812" s="197"/>
    </row>
    <row r="813">
      <c r="A813" s="199"/>
      <c r="B813" s="200"/>
      <c r="C813" s="200"/>
      <c r="D813" s="201"/>
      <c r="E813" s="202"/>
      <c r="F813" s="197"/>
      <c r="G813" s="197"/>
      <c r="H813" s="197"/>
      <c r="I813" s="197"/>
      <c r="J813" s="197"/>
    </row>
    <row r="814">
      <c r="A814" s="199"/>
      <c r="B814" s="200"/>
      <c r="C814" s="200"/>
      <c r="D814" s="201"/>
      <c r="E814" s="202"/>
      <c r="F814" s="197"/>
      <c r="G814" s="197"/>
      <c r="H814" s="197"/>
      <c r="I814" s="197"/>
      <c r="J814" s="197"/>
    </row>
    <row r="815">
      <c r="A815" s="199"/>
      <c r="B815" s="200"/>
      <c r="C815" s="200"/>
      <c r="D815" s="201"/>
      <c r="E815" s="202"/>
      <c r="F815" s="197"/>
      <c r="G815" s="197"/>
      <c r="H815" s="197"/>
      <c r="I815" s="197"/>
      <c r="J815" s="197"/>
    </row>
    <row r="816">
      <c r="A816" s="199"/>
      <c r="B816" s="200"/>
      <c r="C816" s="200"/>
      <c r="D816" s="201"/>
      <c r="E816" s="202"/>
      <c r="F816" s="197"/>
      <c r="G816" s="197"/>
      <c r="H816" s="197"/>
      <c r="I816" s="197"/>
      <c r="J816" s="197"/>
    </row>
    <row r="817">
      <c r="A817" s="199"/>
      <c r="B817" s="200"/>
      <c r="C817" s="200"/>
      <c r="D817" s="201"/>
      <c r="E817" s="202"/>
      <c r="F817" s="197"/>
      <c r="G817" s="197"/>
      <c r="H817" s="197"/>
      <c r="I817" s="197"/>
      <c r="J817" s="197"/>
    </row>
    <row r="818">
      <c r="A818" s="199"/>
      <c r="B818" s="200"/>
      <c r="C818" s="200"/>
      <c r="D818" s="201"/>
      <c r="E818" s="202"/>
      <c r="F818" s="197"/>
      <c r="G818" s="197"/>
      <c r="H818" s="197"/>
      <c r="I818" s="197"/>
      <c r="J818" s="197"/>
    </row>
    <row r="819">
      <c r="A819" s="199"/>
      <c r="B819" s="200"/>
      <c r="C819" s="200"/>
      <c r="D819" s="201"/>
      <c r="E819" s="202"/>
      <c r="F819" s="197"/>
      <c r="G819" s="197"/>
      <c r="H819" s="197"/>
      <c r="I819" s="197"/>
      <c r="J819" s="197"/>
    </row>
    <row r="820">
      <c r="A820" s="199"/>
      <c r="B820" s="200"/>
      <c r="C820" s="200"/>
      <c r="D820" s="201"/>
      <c r="E820" s="202"/>
      <c r="F820" s="197"/>
      <c r="G820" s="197"/>
      <c r="H820" s="197"/>
      <c r="I820" s="197"/>
      <c r="J820" s="197"/>
    </row>
    <row r="821">
      <c r="A821" s="199"/>
      <c r="B821" s="200"/>
      <c r="C821" s="200"/>
      <c r="D821" s="201"/>
      <c r="E821" s="202"/>
      <c r="F821" s="197"/>
      <c r="G821" s="197"/>
      <c r="H821" s="197"/>
      <c r="I821" s="197"/>
      <c r="J821" s="197"/>
    </row>
    <row r="822">
      <c r="A822" s="199"/>
      <c r="B822" s="200"/>
      <c r="C822" s="200"/>
      <c r="D822" s="201"/>
      <c r="E822" s="202"/>
      <c r="F822" s="197"/>
      <c r="G822" s="197"/>
      <c r="H822" s="197"/>
      <c r="I822" s="197"/>
      <c r="J822" s="197"/>
    </row>
    <row r="823">
      <c r="A823" s="199"/>
      <c r="B823" s="200"/>
      <c r="C823" s="200"/>
      <c r="D823" s="201"/>
      <c r="E823" s="202"/>
      <c r="F823" s="197"/>
      <c r="G823" s="197"/>
      <c r="H823" s="197"/>
      <c r="I823" s="197"/>
      <c r="J823" s="197"/>
    </row>
    <row r="824">
      <c r="A824" s="199"/>
      <c r="B824" s="200"/>
      <c r="C824" s="200"/>
      <c r="D824" s="201"/>
      <c r="E824" s="202"/>
      <c r="F824" s="197"/>
      <c r="G824" s="197"/>
      <c r="H824" s="197"/>
      <c r="I824" s="197"/>
      <c r="J824" s="197"/>
    </row>
    <row r="825">
      <c r="A825" s="199"/>
      <c r="B825" s="200"/>
      <c r="C825" s="200"/>
      <c r="D825" s="201"/>
      <c r="E825" s="202"/>
      <c r="F825" s="197"/>
      <c r="G825" s="197"/>
      <c r="H825" s="197"/>
      <c r="I825" s="197"/>
      <c r="J825" s="197"/>
    </row>
    <row r="826">
      <c r="A826" s="199"/>
      <c r="B826" s="200"/>
      <c r="C826" s="200"/>
      <c r="D826" s="201"/>
      <c r="E826" s="202"/>
      <c r="F826" s="197"/>
      <c r="G826" s="197"/>
      <c r="H826" s="197"/>
      <c r="I826" s="197"/>
      <c r="J826" s="197"/>
    </row>
    <row r="827">
      <c r="A827" s="199"/>
      <c r="B827" s="200"/>
      <c r="C827" s="200"/>
      <c r="D827" s="201"/>
      <c r="E827" s="202"/>
      <c r="F827" s="197"/>
      <c r="G827" s="197"/>
      <c r="H827" s="197"/>
      <c r="I827" s="197"/>
      <c r="J827" s="197"/>
    </row>
    <row r="828">
      <c r="A828" s="199"/>
      <c r="B828" s="200"/>
      <c r="C828" s="200"/>
      <c r="D828" s="201"/>
      <c r="E828" s="202"/>
      <c r="F828" s="197"/>
      <c r="G828" s="197"/>
      <c r="H828" s="197"/>
      <c r="I828" s="197"/>
      <c r="J828" s="197"/>
    </row>
    <row r="829">
      <c r="A829" s="199"/>
      <c r="B829" s="200"/>
      <c r="C829" s="200"/>
      <c r="D829" s="201"/>
      <c r="E829" s="202"/>
      <c r="F829" s="197"/>
      <c r="G829" s="197"/>
      <c r="H829" s="197"/>
      <c r="I829" s="197"/>
      <c r="J829" s="197"/>
    </row>
    <row r="830">
      <c r="A830" s="199"/>
      <c r="B830" s="200"/>
      <c r="C830" s="200"/>
      <c r="D830" s="201"/>
      <c r="E830" s="202"/>
      <c r="F830" s="197"/>
      <c r="G830" s="197"/>
      <c r="H830" s="197"/>
      <c r="I830" s="197"/>
      <c r="J830" s="197"/>
    </row>
    <row r="831">
      <c r="A831" s="199"/>
      <c r="B831" s="200"/>
      <c r="C831" s="200"/>
      <c r="D831" s="201"/>
      <c r="E831" s="202"/>
      <c r="F831" s="197"/>
      <c r="G831" s="197"/>
      <c r="H831" s="197"/>
      <c r="I831" s="197"/>
      <c r="J831" s="197"/>
    </row>
    <row r="832">
      <c r="A832" s="199"/>
      <c r="B832" s="200"/>
      <c r="C832" s="200"/>
      <c r="D832" s="201"/>
      <c r="E832" s="202"/>
      <c r="F832" s="197"/>
      <c r="G832" s="197"/>
      <c r="H832" s="197"/>
      <c r="I832" s="197"/>
      <c r="J832" s="197"/>
    </row>
    <row r="833">
      <c r="A833" s="199"/>
      <c r="B833" s="200"/>
      <c r="C833" s="200"/>
      <c r="D833" s="201"/>
      <c r="E833" s="202"/>
      <c r="F833" s="197"/>
      <c r="G833" s="197"/>
      <c r="H833" s="197"/>
      <c r="I833" s="197"/>
      <c r="J833" s="197"/>
    </row>
    <row r="834">
      <c r="A834" s="199"/>
      <c r="B834" s="200"/>
      <c r="C834" s="200"/>
      <c r="D834" s="201"/>
      <c r="E834" s="202"/>
      <c r="F834" s="197"/>
      <c r="G834" s="197"/>
      <c r="H834" s="197"/>
      <c r="I834" s="197"/>
      <c r="J834" s="197"/>
    </row>
    <row r="835">
      <c r="A835" s="199"/>
      <c r="B835" s="200"/>
      <c r="C835" s="200"/>
      <c r="D835" s="201"/>
      <c r="E835" s="202"/>
      <c r="F835" s="197"/>
      <c r="G835" s="197"/>
      <c r="H835" s="197"/>
      <c r="I835" s="197"/>
      <c r="J835" s="197"/>
    </row>
    <row r="836">
      <c r="A836" s="199"/>
      <c r="B836" s="200"/>
      <c r="C836" s="200"/>
      <c r="D836" s="201"/>
      <c r="E836" s="202"/>
      <c r="F836" s="197"/>
      <c r="G836" s="197"/>
      <c r="H836" s="197"/>
      <c r="I836" s="197"/>
      <c r="J836" s="197"/>
    </row>
    <row r="837">
      <c r="A837" s="199"/>
      <c r="B837" s="200"/>
      <c r="C837" s="200"/>
      <c r="D837" s="201"/>
      <c r="E837" s="202"/>
      <c r="F837" s="197"/>
      <c r="G837" s="197"/>
      <c r="H837" s="197"/>
      <c r="I837" s="197"/>
      <c r="J837" s="197"/>
    </row>
    <row r="838">
      <c r="A838" s="199"/>
      <c r="B838" s="200"/>
      <c r="C838" s="200"/>
      <c r="D838" s="201"/>
      <c r="E838" s="202"/>
      <c r="F838" s="197"/>
      <c r="G838" s="197"/>
      <c r="H838" s="197"/>
      <c r="I838" s="197"/>
      <c r="J838" s="197"/>
    </row>
    <row r="839">
      <c r="A839" s="199"/>
      <c r="B839" s="200"/>
      <c r="C839" s="200"/>
      <c r="D839" s="201"/>
      <c r="E839" s="202"/>
      <c r="F839" s="197"/>
      <c r="G839" s="197"/>
      <c r="H839" s="197"/>
      <c r="I839" s="197"/>
      <c r="J839" s="197"/>
    </row>
    <row r="840">
      <c r="A840" s="199"/>
      <c r="B840" s="200"/>
      <c r="C840" s="200"/>
      <c r="D840" s="201"/>
      <c r="E840" s="202"/>
      <c r="F840" s="197"/>
      <c r="G840" s="197"/>
      <c r="H840" s="197"/>
      <c r="I840" s="197"/>
      <c r="J840" s="197"/>
    </row>
    <row r="841">
      <c r="A841" s="199"/>
      <c r="B841" s="200"/>
      <c r="C841" s="200"/>
      <c r="D841" s="201"/>
      <c r="E841" s="202"/>
      <c r="F841" s="197"/>
      <c r="G841" s="197"/>
      <c r="H841" s="197"/>
      <c r="I841" s="197"/>
      <c r="J841" s="197"/>
    </row>
    <row r="842">
      <c r="A842" s="199"/>
      <c r="B842" s="200"/>
      <c r="C842" s="200"/>
      <c r="D842" s="201"/>
      <c r="E842" s="202"/>
      <c r="F842" s="197"/>
      <c r="G842" s="197"/>
      <c r="H842" s="197"/>
      <c r="I842" s="197"/>
      <c r="J842" s="197"/>
    </row>
    <row r="843">
      <c r="A843" s="199"/>
      <c r="B843" s="200"/>
      <c r="C843" s="200"/>
      <c r="D843" s="201"/>
      <c r="E843" s="202"/>
      <c r="F843" s="197"/>
      <c r="G843" s="197"/>
      <c r="H843" s="197"/>
      <c r="I843" s="197"/>
      <c r="J843" s="197"/>
    </row>
    <row r="844">
      <c r="A844" s="199"/>
      <c r="B844" s="200"/>
      <c r="C844" s="200"/>
      <c r="D844" s="201"/>
      <c r="E844" s="202"/>
      <c r="F844" s="197"/>
      <c r="G844" s="197"/>
      <c r="H844" s="197"/>
      <c r="I844" s="197"/>
      <c r="J844" s="197"/>
    </row>
    <row r="845">
      <c r="A845" s="199"/>
      <c r="B845" s="200"/>
      <c r="C845" s="200"/>
      <c r="D845" s="201"/>
      <c r="E845" s="202"/>
      <c r="F845" s="197"/>
      <c r="G845" s="197"/>
      <c r="H845" s="197"/>
      <c r="I845" s="197"/>
      <c r="J845" s="197"/>
    </row>
    <row r="846">
      <c r="A846" s="199"/>
      <c r="B846" s="200"/>
      <c r="C846" s="200"/>
      <c r="D846" s="201"/>
      <c r="E846" s="202"/>
      <c r="F846" s="197"/>
      <c r="G846" s="197"/>
      <c r="H846" s="197"/>
      <c r="I846" s="197"/>
      <c r="J846" s="197"/>
    </row>
    <row r="847">
      <c r="A847" s="199"/>
      <c r="B847" s="200"/>
      <c r="C847" s="200"/>
      <c r="D847" s="201"/>
      <c r="E847" s="202"/>
      <c r="F847" s="197"/>
      <c r="G847" s="197"/>
      <c r="H847" s="197"/>
      <c r="I847" s="197"/>
      <c r="J847" s="197"/>
    </row>
    <row r="848">
      <c r="A848" s="199"/>
      <c r="B848" s="200"/>
      <c r="C848" s="200"/>
      <c r="D848" s="201"/>
      <c r="E848" s="202"/>
      <c r="F848" s="197"/>
      <c r="G848" s="197"/>
      <c r="H848" s="197"/>
      <c r="I848" s="197"/>
      <c r="J848" s="197"/>
    </row>
    <row r="849">
      <c r="A849" s="199"/>
      <c r="B849" s="200"/>
      <c r="C849" s="200"/>
      <c r="D849" s="201"/>
      <c r="E849" s="202"/>
      <c r="F849" s="197"/>
      <c r="G849" s="197"/>
      <c r="H849" s="197"/>
      <c r="I849" s="197"/>
      <c r="J849" s="197"/>
    </row>
    <row r="850">
      <c r="A850" s="199"/>
      <c r="B850" s="200"/>
      <c r="C850" s="200"/>
      <c r="D850" s="201"/>
      <c r="E850" s="202"/>
      <c r="F850" s="197"/>
      <c r="G850" s="197"/>
      <c r="H850" s="197"/>
      <c r="I850" s="197"/>
      <c r="J850" s="197"/>
    </row>
    <row r="851">
      <c r="A851" s="199"/>
      <c r="B851" s="200"/>
      <c r="C851" s="200"/>
      <c r="D851" s="201"/>
      <c r="E851" s="202"/>
      <c r="F851" s="197"/>
      <c r="G851" s="197"/>
      <c r="H851" s="197"/>
      <c r="I851" s="197"/>
      <c r="J851" s="197"/>
    </row>
    <row r="852">
      <c r="A852" s="199"/>
      <c r="B852" s="200"/>
      <c r="C852" s="200"/>
      <c r="D852" s="201"/>
      <c r="E852" s="202"/>
      <c r="F852" s="197"/>
      <c r="G852" s="197"/>
      <c r="H852" s="197"/>
      <c r="I852" s="197"/>
      <c r="J852" s="197"/>
    </row>
    <row r="853">
      <c r="A853" s="199"/>
      <c r="B853" s="200"/>
      <c r="C853" s="200"/>
      <c r="D853" s="201"/>
      <c r="E853" s="202"/>
      <c r="F853" s="197"/>
      <c r="G853" s="197"/>
      <c r="H853" s="197"/>
      <c r="I853" s="197"/>
      <c r="J853" s="197"/>
    </row>
    <row r="854">
      <c r="A854" s="199"/>
      <c r="B854" s="200"/>
      <c r="C854" s="200"/>
      <c r="D854" s="201"/>
      <c r="E854" s="202"/>
      <c r="F854" s="197"/>
      <c r="G854" s="197"/>
      <c r="H854" s="197"/>
      <c r="I854" s="197"/>
      <c r="J854" s="197"/>
    </row>
    <row r="855">
      <c r="A855" s="199"/>
      <c r="B855" s="200"/>
      <c r="C855" s="200"/>
      <c r="D855" s="201"/>
      <c r="E855" s="202"/>
      <c r="F855" s="197"/>
      <c r="G855" s="197"/>
      <c r="H855" s="197"/>
      <c r="I855" s="197"/>
      <c r="J855" s="197"/>
    </row>
    <row r="856">
      <c r="A856" s="199"/>
      <c r="B856" s="200"/>
      <c r="C856" s="200"/>
      <c r="D856" s="201"/>
      <c r="E856" s="202"/>
      <c r="F856" s="197"/>
      <c r="G856" s="197"/>
      <c r="H856" s="197"/>
      <c r="I856" s="197"/>
      <c r="J856" s="197"/>
    </row>
    <row r="857">
      <c r="A857" s="199"/>
      <c r="B857" s="200"/>
      <c r="C857" s="200"/>
      <c r="D857" s="201"/>
      <c r="E857" s="202"/>
      <c r="F857" s="197"/>
      <c r="G857" s="197"/>
      <c r="H857" s="197"/>
      <c r="I857" s="197"/>
      <c r="J857" s="197"/>
    </row>
    <row r="858">
      <c r="A858" s="199"/>
      <c r="B858" s="200"/>
      <c r="C858" s="200"/>
      <c r="D858" s="201"/>
      <c r="E858" s="202"/>
      <c r="F858" s="197"/>
      <c r="G858" s="197"/>
      <c r="H858" s="197"/>
      <c r="I858" s="197"/>
      <c r="J858" s="197"/>
    </row>
    <row r="859">
      <c r="A859" s="199"/>
      <c r="B859" s="200"/>
      <c r="C859" s="200"/>
      <c r="D859" s="201"/>
      <c r="E859" s="202"/>
      <c r="F859" s="197"/>
      <c r="G859" s="197"/>
      <c r="H859" s="197"/>
      <c r="I859" s="197"/>
      <c r="J859" s="197"/>
    </row>
    <row r="860">
      <c r="A860" s="199"/>
      <c r="B860" s="200"/>
      <c r="C860" s="200"/>
      <c r="D860" s="201"/>
      <c r="E860" s="202"/>
      <c r="F860" s="197"/>
      <c r="G860" s="197"/>
      <c r="H860" s="197"/>
      <c r="I860" s="197"/>
      <c r="J860" s="197"/>
    </row>
    <row r="861">
      <c r="A861" s="199"/>
      <c r="B861" s="200"/>
      <c r="C861" s="200"/>
      <c r="D861" s="201"/>
      <c r="E861" s="202"/>
      <c r="F861" s="197"/>
      <c r="G861" s="197"/>
      <c r="H861" s="197"/>
      <c r="I861" s="197"/>
      <c r="J861" s="197"/>
    </row>
    <row r="862">
      <c r="A862" s="199"/>
      <c r="B862" s="200"/>
      <c r="C862" s="200"/>
      <c r="D862" s="201"/>
      <c r="E862" s="202"/>
      <c r="F862" s="197"/>
      <c r="G862" s="197"/>
      <c r="H862" s="197"/>
      <c r="I862" s="197"/>
      <c r="J862" s="197"/>
    </row>
    <row r="863">
      <c r="A863" s="199"/>
      <c r="B863" s="200"/>
      <c r="C863" s="200"/>
      <c r="D863" s="201"/>
      <c r="E863" s="202"/>
      <c r="F863" s="197"/>
      <c r="G863" s="197"/>
      <c r="H863" s="197"/>
      <c r="I863" s="197"/>
      <c r="J863" s="197"/>
    </row>
    <row r="864">
      <c r="A864" s="199"/>
      <c r="B864" s="200"/>
      <c r="C864" s="200"/>
      <c r="D864" s="201"/>
      <c r="E864" s="202"/>
      <c r="F864" s="197"/>
      <c r="G864" s="197"/>
      <c r="H864" s="197"/>
      <c r="I864" s="197"/>
      <c r="J864" s="197"/>
    </row>
    <row r="865">
      <c r="A865" s="199"/>
      <c r="B865" s="200"/>
      <c r="C865" s="200"/>
      <c r="D865" s="201"/>
      <c r="E865" s="202"/>
      <c r="F865" s="197"/>
      <c r="G865" s="197"/>
      <c r="H865" s="197"/>
      <c r="I865" s="197"/>
      <c r="J865" s="197"/>
    </row>
    <row r="866">
      <c r="A866" s="199"/>
      <c r="B866" s="200"/>
      <c r="C866" s="200"/>
      <c r="D866" s="201"/>
      <c r="E866" s="202"/>
      <c r="F866" s="197"/>
      <c r="G866" s="197"/>
      <c r="H866" s="197"/>
      <c r="I866" s="197"/>
      <c r="J866" s="197"/>
    </row>
    <row r="867">
      <c r="A867" s="199"/>
      <c r="B867" s="200"/>
      <c r="C867" s="200"/>
      <c r="D867" s="201"/>
      <c r="E867" s="202"/>
      <c r="F867" s="197"/>
      <c r="G867" s="197"/>
      <c r="H867" s="197"/>
      <c r="I867" s="197"/>
      <c r="J867" s="197"/>
    </row>
    <row r="868">
      <c r="A868" s="199"/>
      <c r="B868" s="200"/>
      <c r="C868" s="200"/>
      <c r="D868" s="201"/>
      <c r="E868" s="202"/>
      <c r="F868" s="197"/>
      <c r="G868" s="197"/>
      <c r="H868" s="197"/>
      <c r="I868" s="197"/>
      <c r="J868" s="197"/>
    </row>
    <row r="869">
      <c r="A869" s="199"/>
      <c r="B869" s="200"/>
      <c r="C869" s="200"/>
      <c r="D869" s="201"/>
      <c r="E869" s="202"/>
      <c r="F869" s="197"/>
      <c r="G869" s="197"/>
      <c r="H869" s="197"/>
      <c r="I869" s="197"/>
      <c r="J869" s="197"/>
    </row>
    <row r="870">
      <c r="A870" s="199"/>
      <c r="B870" s="200"/>
      <c r="C870" s="200"/>
      <c r="D870" s="201"/>
      <c r="E870" s="202"/>
      <c r="F870" s="197"/>
      <c r="G870" s="197"/>
      <c r="H870" s="197"/>
      <c r="I870" s="197"/>
      <c r="J870" s="197"/>
    </row>
    <row r="871">
      <c r="A871" s="199"/>
      <c r="B871" s="200"/>
      <c r="C871" s="200"/>
      <c r="D871" s="201"/>
      <c r="E871" s="202"/>
      <c r="F871" s="197"/>
      <c r="G871" s="197"/>
      <c r="H871" s="197"/>
      <c r="I871" s="197"/>
      <c r="J871" s="197"/>
    </row>
    <row r="872">
      <c r="A872" s="199"/>
      <c r="B872" s="200"/>
      <c r="C872" s="200"/>
      <c r="D872" s="201"/>
      <c r="E872" s="202"/>
      <c r="F872" s="197"/>
      <c r="G872" s="197"/>
      <c r="H872" s="197"/>
      <c r="I872" s="197"/>
      <c r="J872" s="197"/>
    </row>
    <row r="873">
      <c r="A873" s="199"/>
      <c r="B873" s="200"/>
      <c r="C873" s="200"/>
      <c r="D873" s="201"/>
      <c r="E873" s="202"/>
      <c r="F873" s="197"/>
      <c r="G873" s="197"/>
      <c r="H873" s="197"/>
      <c r="I873" s="197"/>
      <c r="J873" s="197"/>
    </row>
    <row r="874">
      <c r="A874" s="199"/>
      <c r="B874" s="200"/>
      <c r="C874" s="200"/>
      <c r="D874" s="201"/>
      <c r="E874" s="202"/>
      <c r="F874" s="197"/>
      <c r="G874" s="197"/>
      <c r="H874" s="197"/>
      <c r="I874" s="197"/>
      <c r="J874" s="197"/>
    </row>
    <row r="875">
      <c r="A875" s="199"/>
      <c r="B875" s="200"/>
      <c r="C875" s="200"/>
      <c r="D875" s="201"/>
      <c r="E875" s="202"/>
      <c r="F875" s="197"/>
      <c r="G875" s="197"/>
      <c r="H875" s="197"/>
      <c r="I875" s="197"/>
      <c r="J875" s="197"/>
    </row>
    <row r="876">
      <c r="A876" s="199"/>
      <c r="B876" s="200"/>
      <c r="C876" s="200"/>
      <c r="D876" s="201"/>
      <c r="E876" s="202"/>
      <c r="F876" s="197"/>
      <c r="G876" s="197"/>
      <c r="H876" s="197"/>
      <c r="I876" s="197"/>
      <c r="J876" s="197"/>
    </row>
    <row r="877">
      <c r="A877" s="199"/>
      <c r="B877" s="200"/>
      <c r="C877" s="200"/>
      <c r="D877" s="201"/>
      <c r="E877" s="202"/>
      <c r="F877" s="197"/>
      <c r="G877" s="197"/>
      <c r="H877" s="197"/>
      <c r="I877" s="197"/>
      <c r="J877" s="197"/>
    </row>
    <row r="878">
      <c r="A878" s="199"/>
      <c r="B878" s="200"/>
      <c r="C878" s="200"/>
      <c r="D878" s="201"/>
      <c r="E878" s="202"/>
      <c r="F878" s="197"/>
      <c r="G878" s="197"/>
      <c r="H878" s="197"/>
      <c r="I878" s="197"/>
      <c r="J878" s="197"/>
    </row>
    <row r="879">
      <c r="A879" s="199"/>
      <c r="B879" s="200"/>
      <c r="C879" s="200"/>
      <c r="D879" s="201"/>
      <c r="E879" s="202"/>
      <c r="F879" s="197"/>
      <c r="G879" s="197"/>
      <c r="H879" s="197"/>
      <c r="I879" s="197"/>
      <c r="J879" s="197"/>
    </row>
    <row r="880">
      <c r="A880" s="199"/>
      <c r="B880" s="200"/>
      <c r="C880" s="200"/>
      <c r="D880" s="201"/>
      <c r="E880" s="202"/>
      <c r="F880" s="197"/>
      <c r="G880" s="197"/>
      <c r="H880" s="197"/>
      <c r="I880" s="197"/>
      <c r="J880" s="197"/>
    </row>
    <row r="881">
      <c r="A881" s="199"/>
      <c r="B881" s="200"/>
      <c r="C881" s="200"/>
      <c r="D881" s="201"/>
      <c r="E881" s="202"/>
      <c r="F881" s="197"/>
      <c r="G881" s="197"/>
      <c r="H881" s="197"/>
      <c r="I881" s="197"/>
      <c r="J881" s="197"/>
    </row>
    <row r="882">
      <c r="A882" s="199"/>
      <c r="B882" s="200"/>
      <c r="C882" s="200"/>
      <c r="D882" s="201"/>
      <c r="E882" s="202"/>
      <c r="F882" s="197"/>
      <c r="G882" s="197"/>
      <c r="H882" s="197"/>
      <c r="I882" s="197"/>
      <c r="J882" s="197"/>
    </row>
    <row r="883">
      <c r="A883" s="199"/>
      <c r="B883" s="200"/>
      <c r="C883" s="200"/>
      <c r="D883" s="201"/>
      <c r="E883" s="202"/>
      <c r="F883" s="197"/>
      <c r="G883" s="197"/>
      <c r="H883" s="197"/>
      <c r="I883" s="197"/>
      <c r="J883" s="197"/>
    </row>
    <row r="884">
      <c r="A884" s="199"/>
      <c r="B884" s="200"/>
      <c r="C884" s="200"/>
      <c r="D884" s="201"/>
      <c r="E884" s="202"/>
      <c r="F884" s="197"/>
      <c r="G884" s="197"/>
      <c r="H884" s="197"/>
      <c r="I884" s="197"/>
      <c r="J884" s="197"/>
    </row>
    <row r="885">
      <c r="A885" s="199"/>
      <c r="B885" s="200"/>
      <c r="C885" s="200"/>
      <c r="D885" s="201"/>
      <c r="E885" s="202"/>
      <c r="F885" s="197"/>
      <c r="G885" s="197"/>
      <c r="H885" s="197"/>
      <c r="I885" s="197"/>
      <c r="J885" s="197"/>
    </row>
    <row r="886">
      <c r="A886" s="199"/>
      <c r="B886" s="200"/>
      <c r="C886" s="200"/>
      <c r="D886" s="201"/>
      <c r="E886" s="202"/>
      <c r="F886" s="197"/>
      <c r="G886" s="197"/>
      <c r="H886" s="197"/>
      <c r="I886" s="197"/>
      <c r="J886" s="197"/>
    </row>
    <row r="887">
      <c r="A887" s="199"/>
      <c r="B887" s="200"/>
      <c r="C887" s="200"/>
      <c r="D887" s="201"/>
      <c r="E887" s="202"/>
      <c r="F887" s="197"/>
      <c r="G887" s="197"/>
      <c r="H887" s="197"/>
      <c r="I887" s="197"/>
      <c r="J887" s="197"/>
    </row>
    <row r="888">
      <c r="A888" s="199"/>
      <c r="B888" s="200"/>
      <c r="C888" s="200"/>
      <c r="D888" s="201"/>
      <c r="E888" s="202"/>
      <c r="F888" s="197"/>
      <c r="G888" s="197"/>
      <c r="H888" s="197"/>
      <c r="I888" s="197"/>
      <c r="J888" s="197"/>
    </row>
    <row r="889">
      <c r="A889" s="199"/>
      <c r="B889" s="200"/>
      <c r="C889" s="200"/>
      <c r="D889" s="201"/>
      <c r="E889" s="202"/>
      <c r="F889" s="197"/>
      <c r="G889" s="197"/>
      <c r="H889" s="197"/>
      <c r="I889" s="197"/>
      <c r="J889" s="197"/>
    </row>
    <row r="890">
      <c r="A890" s="199"/>
      <c r="B890" s="200"/>
      <c r="C890" s="200"/>
      <c r="D890" s="201"/>
      <c r="E890" s="202"/>
      <c r="F890" s="197"/>
      <c r="G890" s="197"/>
      <c r="H890" s="197"/>
      <c r="I890" s="197"/>
      <c r="J890" s="197"/>
    </row>
    <row r="891">
      <c r="A891" s="203"/>
      <c r="B891" s="204"/>
      <c r="C891" s="204"/>
      <c r="D891" s="205"/>
      <c r="E891" s="206"/>
      <c r="F891" s="197"/>
      <c r="G891" s="197"/>
      <c r="H891" s="197"/>
      <c r="I891" s="197"/>
      <c r="J891" s="197"/>
    </row>
  </sheetData>
  <mergeCells count="3">
    <mergeCell ref="A1:E1"/>
    <mergeCell ref="A2:C2"/>
    <mergeCell ref="A3:B3"/>
  </mergeCells>
  <dataValidations>
    <dataValidation type="list" allowBlank="1" showErrorMessage="1" sqref="E6:E891">
      <formula1>lists!$A:$A</formula1>
    </dataValidation>
    <dataValidation type="custom" allowBlank="1" showDropDown="1" showErrorMessage="1" sqref="A6:A891">
      <formula1>OR(NOT(ISERROR(DATEVALUE(A6))), AND(ISNUMBER(A6), LEFT(CELL("format", A6))="D"))</formula1>
    </dataValidation>
    <dataValidation type="list" allowBlank="1" sqref="B6:B891">
      <formula1>lists!$C$3:$C891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75"/>
    <col customWidth="1" min="2" max="2" width="14.75"/>
    <col customWidth="1" min="3" max="3" width="10.75"/>
    <col customWidth="1" min="4" max="4" width="17.13"/>
    <col customWidth="1" min="6" max="7" width="8.88"/>
    <col customWidth="1" min="8" max="8" width="11.5"/>
    <col customWidth="1" min="9" max="9" width="15.0"/>
    <col customWidth="1" min="10" max="10" width="20.88"/>
    <col customWidth="1" min="11" max="11" width="9.0"/>
    <col customWidth="1" min="12" max="12" width="8.75"/>
    <col customWidth="1" min="13" max="13" width="17.38"/>
    <col customWidth="1" min="14" max="14" width="0.38"/>
  </cols>
  <sheetData>
    <row r="1">
      <c r="A1" s="207" t="s">
        <v>565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</row>
    <row r="2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</row>
    <row r="3">
      <c r="A3" s="213" t="s">
        <v>566</v>
      </c>
      <c r="B3" s="214">
        <v>44127.0</v>
      </c>
      <c r="C3" s="213" t="s">
        <v>567</v>
      </c>
      <c r="D3" s="215">
        <v>44127.0</v>
      </c>
      <c r="E3" s="216" t="s">
        <v>568</v>
      </c>
      <c r="F3" s="217" t="str">
        <f>HelperFormulas!C6</f>
        <v>0 BAG  &amp; 0 KG</v>
      </c>
      <c r="H3" s="218" t="s">
        <v>202</v>
      </c>
      <c r="I3" s="217" t="str">
        <f>HelperFormulas!C7</f>
        <v>0 BAG  &amp; 0 KG</v>
      </c>
      <c r="J3" s="219"/>
      <c r="K3" s="213" t="s">
        <v>569</v>
      </c>
      <c r="L3" s="220" t="str">
        <f>IF(HelperFormulas!A11&gt;1,HelperFormulas!A11 &amp; " BAGS ",HelperFormulas!A11&amp;" BAG ") &amp; " &amp; " &amp; IF(HelperFormulas!A12&gt;1,HelperFormulas!A12 &amp; " KGS",HelperFormulas!A12&amp;" KG")</f>
        <v>0 BAG  &amp; 0 KG</v>
      </c>
      <c r="N3" s="221"/>
    </row>
    <row r="4">
      <c r="K4" s="222" t="s">
        <v>570</v>
      </c>
      <c r="L4" s="223">
        <f>L6+L12</f>
        <v>1810500</v>
      </c>
      <c r="N4" s="224"/>
    </row>
    <row r="5">
      <c r="A5" s="225" t="s">
        <v>571</v>
      </c>
      <c r="B5" s="99"/>
      <c r="D5" s="225" t="s">
        <v>572</v>
      </c>
      <c r="H5" s="99"/>
      <c r="K5" s="226"/>
      <c r="L5" s="227"/>
      <c r="M5" s="227"/>
      <c r="N5" s="228"/>
    </row>
    <row r="6">
      <c r="D6" s="229">
        <f>IF(B3="","SELECT DATE",B3)</f>
        <v>44127</v>
      </c>
      <c r="E6" s="230" t="s">
        <v>575</v>
      </c>
      <c r="F6" s="231" t="str">
        <f>IF((HelperFormulas!C11-HelperFormulas!A24)&gt;1,(HelperFormulas!C11-HelperFormulas!A24)&amp;" BAGS ",(HelperFormulas!C11-HelperFormulas!A24)&amp;" BAG ") &amp; "&amp; "&amp; IF(HelperFormulas!C12&gt;1,HelperFormulas!C12&amp; " KGS ",HelperFormulas!C12 &amp; " KG")</f>
        <v>2069 BAGS &amp; 23 KGS </v>
      </c>
      <c r="H6" s="99"/>
      <c r="I6" s="225" t="s">
        <v>211</v>
      </c>
      <c r="K6" s="232" t="s">
        <v>576</v>
      </c>
      <c r="L6" s="233">
        <f>I10-L10</f>
        <v>0</v>
      </c>
    </row>
    <row r="7">
      <c r="D7" s="234"/>
      <c r="E7" s="235"/>
      <c r="F7" s="234"/>
      <c r="G7" s="236"/>
      <c r="H7" s="99"/>
      <c r="I7" s="237"/>
      <c r="J7" s="238"/>
      <c r="K7" s="232" t="s">
        <v>577</v>
      </c>
      <c r="L7" s="239">
        <f>SUM(TempFinOps!J2:J518)</f>
        <v>0</v>
      </c>
      <c r="M7" s="240"/>
    </row>
    <row r="8">
      <c r="D8" s="235"/>
      <c r="E8" s="241" t="str">
        <f>HelperFormulas!D15</f>
        <v>0 BAG 0 KG</v>
      </c>
      <c r="G8" s="242"/>
      <c r="H8" s="243" t="s">
        <v>575</v>
      </c>
      <c r="I8" s="244">
        <f>HelperFormulas!B19</f>
        <v>0</v>
      </c>
      <c r="J8" s="245"/>
      <c r="K8" s="232" t="s">
        <v>578</v>
      </c>
      <c r="L8" s="246">
        <f>sum(WarehouseSScale!I3:I518)</f>
        <v>0</v>
      </c>
      <c r="M8" s="245"/>
    </row>
    <row r="9">
      <c r="D9" s="235"/>
      <c r="E9" s="247" t="s">
        <v>579</v>
      </c>
      <c r="F9" s="248"/>
      <c r="G9" s="242"/>
      <c r="H9" s="249" t="s">
        <v>580</v>
      </c>
      <c r="I9" s="250">
        <f>SUM(TempFinOps!I2:I518)</f>
        <v>0</v>
      </c>
      <c r="J9" s="251"/>
      <c r="K9" s="232" t="s">
        <v>581</v>
      </c>
      <c r="L9" s="252">
        <f>SUM(TempFinOps!G2:G518)</f>
        <v>0</v>
      </c>
      <c r="M9" s="253"/>
    </row>
    <row r="10">
      <c r="D10" s="235"/>
      <c r="E10" s="235"/>
      <c r="F10" s="235"/>
      <c r="G10" s="242"/>
      <c r="H10" s="249" t="s">
        <v>582</v>
      </c>
      <c r="I10" s="254">
        <f>I8+I9</f>
        <v>0</v>
      </c>
      <c r="J10" s="253"/>
      <c r="K10" s="232" t="s">
        <v>582</v>
      </c>
      <c r="L10" s="255">
        <f>L8+L9+L7</f>
        <v>0</v>
      </c>
      <c r="M10" s="253"/>
    </row>
    <row r="11">
      <c r="D11" s="235"/>
      <c r="E11" s="241" t="str">
        <f>IF(HelperFormulas!B11 &gt; 1, HelperFormulas!B11 &amp;" BAGS ",HelperFormulas!B11 &amp;" BAG ") &amp; "&amp; "&amp; IF(HelperFormulas!B12&gt;1,HelperFormulas!B12 &amp; " KGS ",HelperFormulas!B12 &amp; " KG ")</f>
        <v>0 BAG &amp; 0 KG </v>
      </c>
      <c r="G11" s="235"/>
      <c r="H11" s="99"/>
      <c r="I11" s="256"/>
      <c r="J11" s="257"/>
      <c r="K11" s="257"/>
      <c r="L11" s="257"/>
      <c r="M11" s="257"/>
    </row>
    <row r="12">
      <c r="D12" s="235"/>
      <c r="E12" s="258" t="s">
        <v>583</v>
      </c>
      <c r="F12" s="259"/>
      <c r="G12" s="235"/>
      <c r="H12" s="99"/>
      <c r="I12" s="225" t="s">
        <v>584</v>
      </c>
      <c r="K12" s="232" t="s">
        <v>576</v>
      </c>
      <c r="L12" s="260">
        <f>I16-L16</f>
        <v>1810500</v>
      </c>
    </row>
    <row r="13">
      <c r="C13" s="226"/>
      <c r="D13" s="261"/>
      <c r="E13" s="261"/>
      <c r="F13" s="235"/>
      <c r="G13" s="262"/>
      <c r="H13" s="243" t="s">
        <v>575</v>
      </c>
      <c r="I13" s="263">
        <f>HelperFormulas!A19</f>
        <v>1810500</v>
      </c>
      <c r="J13" s="245"/>
      <c r="K13" s="226"/>
      <c r="L13" s="264"/>
      <c r="M13" s="264"/>
    </row>
    <row r="14">
      <c r="C14" s="226"/>
      <c r="D14" s="265" t="str">
        <f>IF((HelperFormulas!D11-HelperFormulas!A24-HelperFormulas!A22)&gt;1,(HelperFormulas!D11-HelperFormulas!A24-HelperFormulas!A22)&amp;" BAGS ",(HelperFormulas!D11-HelperFormulas!A24-HelperFormulas!A22)&amp;" BAG ") &amp; "&amp; "&amp; IF(HelperFormulas!D12&gt;1,HelperFormulas!D12&amp; " KGS ",HelperFormulas!D12 &amp; " KG")</f>
        <v>2069 BAGS &amp; 23 KGS </v>
      </c>
      <c r="F14" s="235"/>
      <c r="G14" s="266">
        <f>HelperFormulas!G14</f>
        <v>138839</v>
      </c>
      <c r="H14" s="249" t="s">
        <v>197</v>
      </c>
      <c r="I14" s="267">
        <f>SUM(TempFinOps!H2:H518)</f>
        <v>0</v>
      </c>
      <c r="J14" s="251"/>
      <c r="K14" s="232" t="s">
        <v>585</v>
      </c>
      <c r="L14" s="268">
        <f>sum(WarehousePfnance!K2:K518)+SUM(TempFinOps!F2:F518)</f>
        <v>0</v>
      </c>
      <c r="M14" s="245"/>
    </row>
    <row r="15">
      <c r="C15" s="226"/>
      <c r="D15" s="269" t="s">
        <v>586</v>
      </c>
      <c r="E15" s="235"/>
      <c r="F15" s="235"/>
      <c r="G15" s="270" t="s">
        <v>587</v>
      </c>
      <c r="H15" s="271" t="s">
        <v>502</v>
      </c>
      <c r="I15" s="267">
        <f>L7</f>
        <v>0</v>
      </c>
      <c r="J15" s="251"/>
      <c r="K15" s="232" t="s">
        <v>211</v>
      </c>
      <c r="L15" s="272">
        <f>I9</f>
        <v>0</v>
      </c>
      <c r="M15" s="253"/>
    </row>
    <row r="16">
      <c r="C16" s="226"/>
      <c r="D16" s="273" t="s">
        <v>546</v>
      </c>
      <c r="F16" s="274" t="str">
        <f>HelperFormulas!A22 &amp; " BAGS"</f>
        <v>0 BAGS</v>
      </c>
      <c r="H16" s="249" t="s">
        <v>582</v>
      </c>
      <c r="I16" s="275">
        <f>I13+I14+I15</f>
        <v>1810500</v>
      </c>
      <c r="J16" s="253"/>
      <c r="K16" s="232" t="s">
        <v>582</v>
      </c>
      <c r="L16" s="276">
        <f>L14+L15</f>
        <v>0</v>
      </c>
      <c r="M16" s="253"/>
    </row>
    <row r="17">
      <c r="C17" s="226"/>
      <c r="H17" s="249"/>
      <c r="I17" s="277"/>
      <c r="J17" s="277"/>
      <c r="K17" s="232"/>
      <c r="L17" s="278"/>
      <c r="M17" s="278"/>
    </row>
    <row r="18">
      <c r="C18" s="226"/>
      <c r="D18" s="279" t="s">
        <v>588</v>
      </c>
      <c r="I18" s="280">
        <f>$B$3</f>
        <v>44127</v>
      </c>
      <c r="L18" s="281"/>
      <c r="M18" s="282"/>
    </row>
    <row r="19">
      <c r="C19" s="226"/>
      <c r="H19" s="249"/>
      <c r="I19" s="277"/>
      <c r="J19" s="277"/>
      <c r="K19" s="232"/>
      <c r="L19" s="278"/>
      <c r="M19" s="278"/>
    </row>
    <row r="20">
      <c r="C20" s="226"/>
      <c r="D20" s="283" t="s">
        <v>202</v>
      </c>
      <c r="H20" s="99"/>
      <c r="J20" s="284" t="s">
        <v>589</v>
      </c>
      <c r="K20" s="285"/>
      <c r="L20" s="286"/>
      <c r="M20" s="278"/>
    </row>
    <row r="21">
      <c r="C21" s="226"/>
      <c r="D21" s="237"/>
      <c r="E21" s="237"/>
      <c r="H21" s="99"/>
      <c r="J21" s="287"/>
      <c r="K21" s="288"/>
      <c r="L21" s="286"/>
      <c r="M21" s="278"/>
    </row>
    <row r="22" ht="15.0" customHeight="1">
      <c r="D22" s="289" t="s">
        <v>3</v>
      </c>
      <c r="E22" s="290" t="s">
        <v>94</v>
      </c>
      <c r="F22" s="290" t="s">
        <v>9</v>
      </c>
      <c r="G22" s="290" t="s">
        <v>10</v>
      </c>
      <c r="H22" s="291" t="s">
        <v>90</v>
      </c>
      <c r="I22" s="227"/>
      <c r="M22" s="290"/>
    </row>
    <row r="23">
      <c r="D23" s="96"/>
      <c r="E23" s="96">
        <v>0.0</v>
      </c>
      <c r="F23" s="96">
        <v>0.0</v>
      </c>
      <c r="G23" s="96">
        <v>0.0</v>
      </c>
      <c r="H23" s="96">
        <v>0.0</v>
      </c>
    </row>
    <row r="24">
      <c r="D24" s="96" t="s">
        <v>590</v>
      </c>
      <c r="E24" s="96">
        <v>0.0</v>
      </c>
      <c r="F24" s="96">
        <v>0.0</v>
      </c>
      <c r="G24" s="96">
        <v>0.0</v>
      </c>
      <c r="H24" s="96">
        <v>0.0</v>
      </c>
    </row>
    <row r="25"/>
    <row r="26"/>
    <row r="27"/>
    <row r="28"/>
    <row r="29"/>
    <row r="30"/>
    <row r="31"/>
    <row r="32"/>
    <row r="33"/>
    <row r="34"/>
    <row r="35"/>
    <row r="36">
      <c r="C36" s="226"/>
      <c r="D36" s="289"/>
      <c r="E36" s="290">
        <v>0.0</v>
      </c>
      <c r="F36" s="290">
        <v>0.0</v>
      </c>
      <c r="G36" s="290">
        <v>0.0</v>
      </c>
      <c r="H36" s="291">
        <v>0.0</v>
      </c>
      <c r="I36" s="227"/>
      <c r="K36" s="96">
        <v>0.0</v>
      </c>
      <c r="L36" s="96">
        <v>0.0</v>
      </c>
      <c r="M36" s="290"/>
    </row>
    <row r="37">
      <c r="C37" s="226"/>
      <c r="D37" s="292"/>
      <c r="E37" s="290">
        <v>15.0</v>
      </c>
      <c r="F37" s="290">
        <v>90.0</v>
      </c>
      <c r="G37" s="291">
        <v>1002687.0</v>
      </c>
      <c r="H37" s="291">
        <v>12000.0</v>
      </c>
      <c r="I37" s="227"/>
      <c r="J37" s="101" t="s">
        <v>76</v>
      </c>
      <c r="K37" s="96">
        <v>1.0</v>
      </c>
      <c r="L37" s="96">
        <v>22.0</v>
      </c>
      <c r="M37" s="290"/>
    </row>
    <row r="38">
      <c r="C38" s="226"/>
      <c r="D38" s="289"/>
      <c r="E38" s="290">
        <v>0.0</v>
      </c>
      <c r="F38" s="290">
        <v>0.0</v>
      </c>
      <c r="G38" s="291">
        <v>0.0</v>
      </c>
      <c r="H38" s="291">
        <v>2400000.0</v>
      </c>
      <c r="I38" s="290"/>
      <c r="J38" s="101" t="s">
        <v>77</v>
      </c>
      <c r="K38" s="96">
        <v>5.0</v>
      </c>
      <c r="L38" s="96">
        <v>13.0</v>
      </c>
      <c r="M38" s="290"/>
    </row>
    <row r="39">
      <c r="C39" s="226"/>
      <c r="D39" s="289"/>
      <c r="E39" s="290">
        <v>0.0</v>
      </c>
      <c r="F39" s="290">
        <v>0.0</v>
      </c>
      <c r="G39" s="291">
        <v>0.0</v>
      </c>
      <c r="H39" s="264">
        <v>12000.0</v>
      </c>
      <c r="I39" s="286"/>
      <c r="M39" s="293"/>
    </row>
    <row r="40">
      <c r="C40" s="226"/>
      <c r="E40" s="227">
        <v>15.0</v>
      </c>
      <c r="F40" s="227">
        <v>90.0</v>
      </c>
      <c r="G40" s="264">
        <v>1002687.0</v>
      </c>
      <c r="H40" s="264">
        <v>2424000.0</v>
      </c>
      <c r="I40" s="286"/>
      <c r="M40" s="293"/>
    </row>
    <row r="41">
      <c r="C41" s="226"/>
      <c r="E41" s="227"/>
      <c r="F41" s="227"/>
      <c r="G41" s="227"/>
      <c r="H41" s="294"/>
      <c r="I41" s="293"/>
      <c r="M41" s="293"/>
    </row>
    <row r="42">
      <c r="C42" s="226"/>
      <c r="E42" s="227"/>
      <c r="F42" s="227"/>
      <c r="G42" s="227"/>
      <c r="H42" s="294"/>
      <c r="I42" s="278"/>
      <c r="M42" s="293"/>
    </row>
    <row r="43">
      <c r="C43" s="226"/>
      <c r="E43" s="227"/>
      <c r="F43" s="227"/>
      <c r="G43" s="227"/>
      <c r="H43" s="294"/>
      <c r="I43" s="278"/>
      <c r="M43" s="293"/>
    </row>
    <row r="44">
      <c r="C44" s="226"/>
      <c r="E44" s="227"/>
      <c r="F44" s="227"/>
      <c r="G44" s="227"/>
      <c r="H44" s="294"/>
      <c r="I44" s="278"/>
      <c r="M44" s="293"/>
    </row>
    <row r="45">
      <c r="C45" s="226"/>
      <c r="E45" s="227"/>
      <c r="F45" s="227"/>
      <c r="G45" s="227"/>
      <c r="H45" s="294"/>
      <c r="I45" s="278"/>
      <c r="M45" s="293"/>
    </row>
    <row r="46">
      <c r="C46" s="226"/>
      <c r="E46" s="227"/>
      <c r="F46" s="227"/>
      <c r="G46" s="227"/>
      <c r="H46" s="295"/>
      <c r="I46" s="278"/>
      <c r="M46" s="293"/>
    </row>
    <row r="47">
      <c r="C47" s="226"/>
      <c r="E47" s="227"/>
      <c r="F47" s="227"/>
      <c r="G47" s="227"/>
      <c r="H47" s="295"/>
      <c r="I47" s="278"/>
      <c r="M47" s="293"/>
    </row>
    <row r="48">
      <c r="C48" s="226"/>
      <c r="E48" s="227"/>
      <c r="F48" s="227"/>
      <c r="G48" s="227"/>
      <c r="H48" s="295"/>
      <c r="I48" s="278"/>
      <c r="M48" s="293"/>
    </row>
    <row r="49">
      <c r="C49" s="226"/>
      <c r="E49" s="227"/>
      <c r="F49" s="227"/>
      <c r="G49" s="227"/>
      <c r="H49" s="295"/>
      <c r="I49" s="278"/>
      <c r="J49" s="296"/>
      <c r="K49" s="232"/>
      <c r="L49" s="278"/>
      <c r="M49" s="293"/>
    </row>
    <row r="50">
      <c r="C50" s="226"/>
      <c r="E50" s="227"/>
      <c r="F50" s="227"/>
      <c r="G50" s="227"/>
      <c r="H50" s="295"/>
      <c r="I50" s="278"/>
      <c r="J50" s="296"/>
      <c r="K50" s="232"/>
      <c r="L50" s="278"/>
      <c r="M50" s="293"/>
    </row>
    <row r="51">
      <c r="C51" s="226"/>
      <c r="E51" s="227"/>
      <c r="F51" s="227"/>
      <c r="G51" s="227"/>
      <c r="H51" s="295"/>
      <c r="I51" s="278"/>
      <c r="J51" s="296"/>
      <c r="K51" s="232"/>
      <c r="L51" s="278"/>
      <c r="M51" s="293"/>
    </row>
    <row r="52">
      <c r="C52" s="226"/>
      <c r="E52" s="227"/>
      <c r="F52" s="227"/>
      <c r="G52" s="227"/>
      <c r="H52" s="295"/>
      <c r="I52" s="278"/>
      <c r="J52" s="296"/>
      <c r="K52" s="232"/>
      <c r="L52" s="278"/>
      <c r="M52" s="293"/>
    </row>
    <row r="53">
      <c r="C53" s="226"/>
      <c r="E53" s="227"/>
      <c r="F53" s="227"/>
      <c r="G53" s="227"/>
      <c r="H53" s="295"/>
      <c r="I53" s="278"/>
      <c r="J53" s="296"/>
      <c r="K53" s="232"/>
      <c r="L53" s="278"/>
      <c r="M53" s="293"/>
    </row>
    <row r="54">
      <c r="C54" s="226"/>
      <c r="E54" s="227"/>
      <c r="F54" s="227"/>
      <c r="G54" s="227"/>
      <c r="H54" s="295"/>
      <c r="I54" s="278"/>
      <c r="J54" s="296"/>
      <c r="K54" s="232"/>
      <c r="L54" s="278"/>
      <c r="M54" s="293"/>
    </row>
    <row r="55">
      <c r="C55" s="226"/>
      <c r="E55" s="227"/>
      <c r="F55" s="227"/>
      <c r="G55" s="227"/>
      <c r="H55" s="295"/>
      <c r="I55" s="278"/>
      <c r="J55" s="296"/>
      <c r="K55" s="232"/>
      <c r="L55" s="278"/>
      <c r="M55" s="293"/>
    </row>
    <row r="56">
      <c r="C56" s="226"/>
      <c r="E56" s="227"/>
      <c r="F56" s="227"/>
      <c r="G56" s="227"/>
      <c r="H56" s="295"/>
      <c r="I56" s="278"/>
      <c r="J56" s="296"/>
      <c r="K56" s="232"/>
      <c r="L56" s="278"/>
      <c r="M56" s="293"/>
    </row>
    <row r="57">
      <c r="C57" s="226"/>
      <c r="E57" s="227"/>
      <c r="F57" s="227"/>
      <c r="G57" s="227"/>
      <c r="H57" s="295"/>
      <c r="I57" s="278"/>
      <c r="J57" s="296"/>
      <c r="K57" s="232"/>
      <c r="L57" s="278"/>
      <c r="M57" s="293"/>
    </row>
    <row r="58">
      <c r="C58" s="226"/>
      <c r="E58" s="227"/>
      <c r="F58" s="227"/>
      <c r="G58" s="227"/>
      <c r="H58" s="295"/>
      <c r="I58" s="278"/>
      <c r="J58" s="296"/>
      <c r="K58" s="232"/>
      <c r="L58" s="278"/>
      <c r="M58" s="293"/>
    </row>
    <row r="59">
      <c r="C59" s="226"/>
      <c r="E59" s="227"/>
      <c r="F59" s="227"/>
      <c r="G59" s="227"/>
      <c r="H59" s="295"/>
      <c r="I59" s="278"/>
      <c r="J59" s="296"/>
      <c r="K59" s="232"/>
      <c r="L59" s="278"/>
      <c r="M59" s="293"/>
    </row>
    <row r="60">
      <c r="C60" s="226"/>
      <c r="E60" s="227"/>
      <c r="F60" s="227"/>
      <c r="G60" s="227"/>
      <c r="H60" s="295"/>
      <c r="I60" s="278"/>
      <c r="J60" s="296"/>
      <c r="K60" s="232"/>
      <c r="L60" s="278"/>
      <c r="M60" s="293"/>
    </row>
    <row r="61">
      <c r="C61" s="226"/>
      <c r="E61" s="227"/>
      <c r="F61" s="227"/>
      <c r="G61" s="227"/>
      <c r="H61" s="295"/>
      <c r="I61" s="278"/>
      <c r="J61" s="296"/>
      <c r="K61" s="232"/>
      <c r="L61" s="278"/>
      <c r="M61" s="293"/>
    </row>
    <row r="62">
      <c r="C62" s="226"/>
      <c r="E62" s="227"/>
      <c r="F62" s="227"/>
      <c r="G62" s="227"/>
      <c r="H62" s="295"/>
      <c r="I62" s="278"/>
      <c r="J62" s="296"/>
      <c r="K62" s="232"/>
      <c r="L62" s="278"/>
      <c r="M62" s="293"/>
    </row>
    <row r="63">
      <c r="C63" s="226"/>
      <c r="E63" s="227"/>
      <c r="F63" s="227"/>
      <c r="G63" s="227"/>
      <c r="H63" s="295"/>
      <c r="I63" s="278"/>
      <c r="J63" s="296"/>
      <c r="K63" s="232"/>
      <c r="L63" s="278"/>
      <c r="M63" s="293"/>
    </row>
    <row r="64">
      <c r="C64" s="226"/>
      <c r="E64" s="227"/>
      <c r="F64" s="227"/>
      <c r="G64" s="227"/>
      <c r="H64" s="295"/>
      <c r="I64" s="278"/>
      <c r="J64" s="296"/>
      <c r="K64" s="232"/>
      <c r="L64" s="278"/>
      <c r="M64" s="293"/>
    </row>
    <row r="65">
      <c r="C65" s="226"/>
      <c r="E65" s="227"/>
      <c r="F65" s="227"/>
      <c r="G65" s="227"/>
      <c r="H65" s="295"/>
      <c r="I65" s="278"/>
      <c r="J65" s="296"/>
      <c r="K65" s="232"/>
      <c r="L65" s="278"/>
      <c r="M65" s="293"/>
    </row>
    <row r="66">
      <c r="C66" s="226"/>
      <c r="E66" s="227"/>
      <c r="F66" s="227"/>
      <c r="G66" s="227"/>
      <c r="H66" s="295"/>
      <c r="I66" s="278"/>
      <c r="J66" s="296"/>
      <c r="K66" s="232"/>
      <c r="L66" s="278"/>
      <c r="M66" s="293"/>
    </row>
    <row r="67">
      <c r="C67" s="226"/>
      <c r="E67" s="227"/>
      <c r="F67" s="227"/>
      <c r="G67" s="227"/>
      <c r="H67" s="295"/>
      <c r="I67" s="278"/>
      <c r="J67" s="296"/>
      <c r="K67" s="232"/>
      <c r="L67" s="278"/>
      <c r="M67" s="293"/>
    </row>
    <row r="68">
      <c r="C68" s="226"/>
      <c r="E68" s="227"/>
      <c r="F68" s="227"/>
      <c r="G68" s="227"/>
      <c r="H68" s="295"/>
      <c r="I68" s="278"/>
      <c r="J68" s="296"/>
      <c r="K68" s="232"/>
      <c r="L68" s="278"/>
      <c r="M68" s="293"/>
    </row>
    <row r="69">
      <c r="C69" s="226"/>
      <c r="E69" s="227"/>
      <c r="F69" s="227"/>
      <c r="G69" s="227"/>
      <c r="H69" s="295"/>
      <c r="I69" s="278"/>
      <c r="J69" s="296"/>
      <c r="K69" s="232"/>
      <c r="L69" s="278"/>
      <c r="M69" s="293"/>
    </row>
    <row r="70">
      <c r="C70" s="226"/>
      <c r="E70" s="227"/>
      <c r="F70" s="227"/>
      <c r="G70" s="227"/>
      <c r="H70" s="295"/>
      <c r="I70" s="278"/>
      <c r="J70" s="296"/>
      <c r="K70" s="232"/>
      <c r="L70" s="278"/>
      <c r="M70" s="293"/>
    </row>
    <row r="71">
      <c r="C71" s="226"/>
      <c r="E71" s="227"/>
      <c r="F71" s="227"/>
      <c r="G71" s="227"/>
      <c r="H71" s="295"/>
      <c r="I71" s="278"/>
      <c r="J71" s="296"/>
      <c r="K71" s="232"/>
      <c r="L71" s="278"/>
      <c r="M71" s="293"/>
    </row>
    <row r="72">
      <c r="C72" s="226"/>
      <c r="E72" s="227"/>
      <c r="F72" s="227"/>
      <c r="G72" s="227"/>
      <c r="H72" s="295"/>
      <c r="I72" s="278"/>
      <c r="J72" s="296"/>
      <c r="K72" s="232"/>
      <c r="L72" s="278"/>
      <c r="M72" s="293"/>
    </row>
    <row r="73">
      <c r="C73" s="226"/>
      <c r="E73" s="227"/>
      <c r="F73" s="227"/>
      <c r="G73" s="227"/>
      <c r="H73" s="295"/>
      <c r="I73" s="278"/>
      <c r="J73" s="296"/>
      <c r="K73" s="232"/>
      <c r="L73" s="278"/>
      <c r="M73" s="293"/>
    </row>
    <row r="74">
      <c r="C74" s="226"/>
      <c r="E74" s="227"/>
      <c r="F74" s="227"/>
      <c r="G74" s="227"/>
      <c r="H74" s="295"/>
      <c r="I74" s="278"/>
      <c r="J74" s="296"/>
      <c r="K74" s="232"/>
      <c r="L74" s="278"/>
      <c r="M74" s="293"/>
    </row>
    <row r="75">
      <c r="C75" s="226"/>
      <c r="E75" s="227"/>
      <c r="F75" s="227"/>
      <c r="G75" s="227"/>
      <c r="H75" s="295"/>
      <c r="I75" s="278"/>
      <c r="J75" s="296"/>
      <c r="K75" s="232"/>
      <c r="L75" s="278"/>
      <c r="M75" s="293"/>
    </row>
    <row r="76">
      <c r="C76" s="226"/>
      <c r="E76" s="227"/>
      <c r="F76" s="227"/>
      <c r="G76" s="227"/>
      <c r="H76" s="295"/>
      <c r="I76" s="278"/>
      <c r="J76" s="296"/>
      <c r="K76" s="232"/>
      <c r="L76" s="278"/>
      <c r="M76" s="293"/>
    </row>
    <row r="77">
      <c r="C77" s="226"/>
      <c r="E77" s="227"/>
      <c r="F77" s="227"/>
      <c r="G77" s="227"/>
      <c r="H77" s="295"/>
      <c r="I77" s="278"/>
      <c r="J77" s="296"/>
      <c r="K77" s="232"/>
      <c r="L77" s="278"/>
      <c r="M77" s="293"/>
    </row>
    <row r="78">
      <c r="C78" s="226"/>
      <c r="E78" s="227"/>
      <c r="F78" s="227"/>
      <c r="G78" s="227"/>
      <c r="H78" s="295"/>
      <c r="I78" s="278"/>
      <c r="J78" s="296"/>
      <c r="K78" s="232"/>
      <c r="L78" s="278"/>
      <c r="M78" s="293"/>
    </row>
    <row r="79">
      <c r="C79" s="226"/>
      <c r="E79" s="227"/>
      <c r="F79" s="227"/>
      <c r="G79" s="227"/>
      <c r="H79" s="295"/>
      <c r="I79" s="278"/>
      <c r="J79" s="296"/>
      <c r="K79" s="232"/>
      <c r="L79" s="278"/>
      <c r="M79" s="293"/>
    </row>
    <row r="80">
      <c r="C80" s="226"/>
      <c r="E80" s="227"/>
      <c r="F80" s="227"/>
      <c r="G80" s="227"/>
      <c r="H80" s="295"/>
      <c r="I80" s="278"/>
      <c r="J80" s="296"/>
      <c r="K80" s="232"/>
      <c r="L80" s="278"/>
      <c r="M80" s="293"/>
    </row>
    <row r="81">
      <c r="C81" s="226"/>
      <c r="E81" s="227"/>
      <c r="F81" s="227"/>
      <c r="G81" s="227"/>
      <c r="H81" s="295"/>
      <c r="I81" s="278"/>
      <c r="J81" s="296"/>
      <c r="K81" s="232"/>
      <c r="L81" s="278"/>
      <c r="M81" s="293"/>
    </row>
    <row r="82">
      <c r="C82" s="226"/>
      <c r="E82" s="227"/>
      <c r="F82" s="227"/>
      <c r="G82" s="227"/>
      <c r="H82" s="295"/>
      <c r="I82" s="278"/>
      <c r="J82" s="296"/>
      <c r="K82" s="232"/>
      <c r="L82" s="278"/>
      <c r="M82" s="293"/>
    </row>
    <row r="83">
      <c r="C83" s="226"/>
      <c r="E83" s="227"/>
      <c r="F83" s="227"/>
      <c r="G83" s="227"/>
      <c r="H83" s="295"/>
      <c r="I83" s="278"/>
      <c r="J83" s="296"/>
      <c r="K83" s="232"/>
      <c r="L83" s="278"/>
      <c r="M83" s="293"/>
    </row>
    <row r="84">
      <c r="C84" s="226"/>
      <c r="E84" s="227"/>
      <c r="F84" s="227"/>
      <c r="G84" s="227"/>
      <c r="H84" s="295"/>
      <c r="I84" s="278"/>
      <c r="J84" s="296"/>
      <c r="K84" s="232"/>
      <c r="L84" s="278"/>
      <c r="M84" s="293"/>
    </row>
    <row r="85">
      <c r="C85" s="226"/>
      <c r="E85" s="227"/>
      <c r="F85" s="227"/>
      <c r="G85" s="227"/>
      <c r="H85" s="295"/>
      <c r="I85" s="278"/>
      <c r="J85" s="296"/>
      <c r="K85" s="232"/>
      <c r="L85" s="278"/>
      <c r="M85" s="293"/>
    </row>
    <row r="86">
      <c r="C86" s="226"/>
      <c r="E86" s="227"/>
      <c r="F86" s="227"/>
      <c r="G86" s="227"/>
      <c r="H86" s="295"/>
      <c r="I86" s="278"/>
      <c r="J86" s="296"/>
      <c r="K86" s="232"/>
      <c r="L86" s="278"/>
      <c r="M86" s="293"/>
    </row>
    <row r="87">
      <c r="C87" s="226"/>
      <c r="E87" s="227"/>
      <c r="F87" s="227"/>
      <c r="G87" s="227"/>
      <c r="H87" s="295"/>
      <c r="I87" s="278"/>
      <c r="J87" s="296"/>
      <c r="K87" s="232"/>
      <c r="L87" s="278"/>
      <c r="M87" s="293"/>
    </row>
    <row r="88">
      <c r="C88" s="226"/>
      <c r="E88" s="227"/>
      <c r="F88" s="227"/>
      <c r="G88" s="227"/>
      <c r="H88" s="295"/>
      <c r="I88" s="278"/>
      <c r="J88" s="296"/>
      <c r="K88" s="232"/>
      <c r="L88" s="278"/>
      <c r="M88" s="293"/>
    </row>
    <row r="89">
      <c r="C89" s="226"/>
      <c r="E89" s="227"/>
      <c r="F89" s="227"/>
      <c r="G89" s="227"/>
      <c r="H89" s="295"/>
      <c r="I89" s="278"/>
      <c r="J89" s="296"/>
      <c r="K89" s="232"/>
      <c r="L89" s="278"/>
      <c r="M89" s="293"/>
    </row>
    <row r="90">
      <c r="C90" s="226"/>
      <c r="E90" s="227"/>
      <c r="F90" s="227"/>
      <c r="G90" s="227"/>
      <c r="H90" s="295"/>
      <c r="I90" s="278"/>
      <c r="J90" s="296"/>
      <c r="K90" s="232"/>
      <c r="L90" s="278"/>
      <c r="M90" s="293"/>
    </row>
    <row r="91">
      <c r="C91" s="226"/>
      <c r="E91" s="227"/>
      <c r="F91" s="227"/>
      <c r="G91" s="227"/>
      <c r="H91" s="295"/>
      <c r="I91" s="278"/>
      <c r="J91" s="296"/>
      <c r="K91" s="232"/>
      <c r="L91" s="278"/>
      <c r="M91" s="293"/>
    </row>
    <row r="92">
      <c r="C92" s="226"/>
      <c r="E92" s="227"/>
      <c r="F92" s="227"/>
      <c r="G92" s="227"/>
      <c r="H92" s="295"/>
      <c r="I92" s="278"/>
      <c r="J92" s="296"/>
      <c r="K92" s="232"/>
      <c r="L92" s="278"/>
      <c r="M92" s="293"/>
    </row>
    <row r="93">
      <c r="C93" s="226"/>
      <c r="E93" s="227"/>
      <c r="F93" s="227"/>
      <c r="G93" s="227"/>
      <c r="H93" s="295"/>
      <c r="I93" s="278"/>
      <c r="J93" s="296"/>
      <c r="K93" s="232"/>
      <c r="L93" s="278"/>
      <c r="M93" s="293"/>
    </row>
    <row r="94">
      <c r="C94" s="226"/>
      <c r="E94" s="227"/>
      <c r="F94" s="227"/>
      <c r="G94" s="227"/>
      <c r="H94" s="295"/>
      <c r="I94" s="278"/>
      <c r="J94" s="296"/>
      <c r="K94" s="232"/>
      <c r="L94" s="278"/>
      <c r="M94" s="293"/>
    </row>
    <row r="95">
      <c r="C95" s="226"/>
      <c r="E95" s="227"/>
      <c r="F95" s="227"/>
      <c r="G95" s="227"/>
      <c r="H95" s="295"/>
      <c r="I95" s="278"/>
      <c r="J95" s="296"/>
      <c r="K95" s="232"/>
      <c r="L95" s="278"/>
      <c r="M95" s="293"/>
    </row>
    <row r="96">
      <c r="C96" s="226"/>
      <c r="E96" s="227"/>
      <c r="F96" s="227"/>
      <c r="G96" s="227"/>
      <c r="H96" s="295"/>
      <c r="I96" s="278"/>
      <c r="J96" s="296"/>
      <c r="K96" s="232"/>
      <c r="L96" s="278"/>
      <c r="M96" s="293"/>
    </row>
    <row r="97">
      <c r="C97" s="226"/>
      <c r="E97" s="227"/>
      <c r="F97" s="227"/>
      <c r="G97" s="227"/>
      <c r="H97" s="295"/>
      <c r="I97" s="278"/>
      <c r="J97" s="296"/>
      <c r="K97" s="232"/>
      <c r="L97" s="278"/>
      <c r="M97" s="293"/>
    </row>
    <row r="98">
      <c r="C98" s="226"/>
      <c r="E98" s="227"/>
      <c r="F98" s="227"/>
      <c r="G98" s="227"/>
      <c r="H98" s="295"/>
      <c r="I98" s="278"/>
      <c r="J98" s="296"/>
      <c r="K98" s="232"/>
      <c r="L98" s="278"/>
      <c r="M98" s="293"/>
    </row>
    <row r="99">
      <c r="C99" s="226"/>
      <c r="E99" s="227"/>
      <c r="F99" s="227"/>
      <c r="G99" s="227"/>
      <c r="H99" s="295"/>
      <c r="I99" s="278"/>
      <c r="J99" s="296"/>
      <c r="K99" s="232"/>
      <c r="L99" s="278"/>
      <c r="M99" s="293"/>
    </row>
    <row r="100">
      <c r="C100" s="226"/>
      <c r="E100" s="227"/>
      <c r="F100" s="227"/>
      <c r="G100" s="227"/>
      <c r="H100" s="295"/>
      <c r="I100" s="278"/>
      <c r="J100" s="296"/>
      <c r="K100" s="232"/>
      <c r="L100" s="278"/>
      <c r="M100" s="293"/>
    </row>
    <row r="101">
      <c r="C101" s="226"/>
      <c r="E101" s="227"/>
      <c r="F101" s="227"/>
      <c r="G101" s="227"/>
      <c r="H101" s="295"/>
      <c r="I101" s="278"/>
      <c r="J101" s="296"/>
      <c r="K101" s="232"/>
      <c r="L101" s="278"/>
      <c r="M101" s="293"/>
    </row>
    <row r="102">
      <c r="C102" s="226"/>
      <c r="E102" s="227"/>
      <c r="F102" s="227"/>
      <c r="G102" s="227"/>
      <c r="H102" s="295"/>
      <c r="I102" s="278"/>
      <c r="J102" s="296"/>
      <c r="K102" s="232"/>
      <c r="L102" s="278"/>
      <c r="M102" s="293"/>
    </row>
    <row r="103">
      <c r="C103" s="226"/>
      <c r="E103" s="227"/>
      <c r="F103" s="227"/>
      <c r="G103" s="227"/>
      <c r="H103" s="295"/>
      <c r="I103" s="278"/>
      <c r="J103" s="296"/>
      <c r="K103" s="232"/>
      <c r="L103" s="278"/>
      <c r="M103" s="293"/>
    </row>
    <row r="104">
      <c r="C104" s="226"/>
      <c r="E104" s="227"/>
      <c r="F104" s="227"/>
      <c r="G104" s="227"/>
      <c r="H104" s="295"/>
      <c r="I104" s="278"/>
      <c r="J104" s="296"/>
      <c r="K104" s="232"/>
      <c r="L104" s="278"/>
      <c r="M104" s="293"/>
    </row>
    <row r="105">
      <c r="A105" s="99"/>
      <c r="B105" s="99"/>
      <c r="C105" s="226"/>
      <c r="E105" s="227"/>
      <c r="F105" s="227"/>
      <c r="G105" s="227"/>
      <c r="H105" s="295"/>
      <c r="I105" s="278"/>
      <c r="J105" s="296"/>
      <c r="K105" s="232"/>
      <c r="L105" s="278"/>
      <c r="M105" s="293"/>
    </row>
    <row r="106">
      <c r="A106" s="99"/>
      <c r="B106" s="99"/>
      <c r="C106" s="226"/>
      <c r="E106" s="227"/>
      <c r="F106" s="227"/>
      <c r="G106" s="227"/>
      <c r="H106" s="295"/>
      <c r="I106" s="278"/>
      <c r="J106" s="296"/>
      <c r="K106" s="232"/>
      <c r="L106" s="278"/>
      <c r="M106" s="293"/>
    </row>
    <row r="107">
      <c r="A107" s="99"/>
      <c r="B107" s="99"/>
      <c r="C107" s="226"/>
      <c r="E107" s="227"/>
      <c r="F107" s="227"/>
      <c r="G107" s="227"/>
      <c r="H107" s="295"/>
      <c r="I107" s="278"/>
      <c r="J107" s="296"/>
      <c r="K107" s="232"/>
      <c r="L107" s="278"/>
      <c r="M107" s="293"/>
    </row>
    <row r="108">
      <c r="A108" s="99"/>
      <c r="B108" s="99"/>
      <c r="C108" s="226"/>
      <c r="E108" s="227"/>
      <c r="F108" s="227"/>
      <c r="G108" s="227"/>
      <c r="H108" s="295"/>
      <c r="I108" s="278"/>
      <c r="J108" s="296"/>
      <c r="K108" s="232"/>
      <c r="L108" s="278"/>
      <c r="M108" s="293"/>
    </row>
    <row r="109">
      <c r="A109" s="99"/>
      <c r="B109" s="99"/>
      <c r="C109" s="226"/>
      <c r="E109" s="227"/>
      <c r="F109" s="227"/>
      <c r="G109" s="227"/>
      <c r="H109" s="295"/>
      <c r="I109" s="278"/>
      <c r="J109" s="296"/>
      <c r="K109" s="232"/>
      <c r="L109" s="278"/>
      <c r="M109" s="293"/>
    </row>
    <row r="110">
      <c r="A110" s="99"/>
      <c r="B110" s="99"/>
      <c r="C110" s="226"/>
      <c r="E110" s="227"/>
      <c r="F110" s="227"/>
      <c r="G110" s="227"/>
      <c r="H110" s="295"/>
      <c r="I110" s="278"/>
      <c r="J110" s="296"/>
      <c r="K110" s="232"/>
      <c r="L110" s="278"/>
      <c r="M110" s="293"/>
    </row>
    <row r="111">
      <c r="A111" s="99"/>
      <c r="B111" s="99"/>
      <c r="C111" s="226"/>
      <c r="E111" s="227"/>
      <c r="F111" s="227"/>
      <c r="G111" s="227"/>
      <c r="H111" s="295"/>
      <c r="I111" s="278"/>
      <c r="J111" s="296"/>
      <c r="K111" s="232"/>
      <c r="L111" s="278"/>
      <c r="M111" s="293"/>
    </row>
    <row r="112">
      <c r="A112" s="99"/>
      <c r="B112" s="99"/>
      <c r="C112" s="226"/>
      <c r="E112" s="227"/>
      <c r="F112" s="227"/>
      <c r="G112" s="227"/>
      <c r="H112" s="295"/>
      <c r="I112" s="278"/>
      <c r="J112" s="296"/>
      <c r="K112" s="232"/>
      <c r="L112" s="278"/>
      <c r="M112" s="293"/>
    </row>
    <row r="113">
      <c r="A113" s="99"/>
      <c r="B113" s="99"/>
      <c r="C113" s="226"/>
      <c r="E113" s="227"/>
      <c r="F113" s="227"/>
      <c r="G113" s="227"/>
      <c r="H113" s="295"/>
      <c r="I113" s="278"/>
      <c r="J113" s="296"/>
      <c r="K113" s="232"/>
      <c r="L113" s="278"/>
      <c r="M113" s="293"/>
    </row>
    <row r="114">
      <c r="A114" s="99"/>
      <c r="B114" s="99"/>
      <c r="C114" s="226"/>
      <c r="E114" s="227"/>
      <c r="F114" s="227"/>
      <c r="G114" s="227"/>
      <c r="H114" s="295"/>
      <c r="I114" s="278"/>
      <c r="J114" s="296"/>
      <c r="K114" s="232"/>
      <c r="L114" s="278"/>
      <c r="M114" s="293"/>
    </row>
    <row r="115">
      <c r="A115" s="99"/>
      <c r="B115" s="99"/>
      <c r="C115" s="226"/>
      <c r="E115" s="227"/>
      <c r="F115" s="227"/>
      <c r="G115" s="227"/>
      <c r="H115" s="295"/>
      <c r="I115" s="278"/>
      <c r="J115" s="296"/>
      <c r="K115" s="232"/>
      <c r="L115" s="278"/>
      <c r="M115" s="293"/>
    </row>
    <row r="116">
      <c r="A116" s="99"/>
      <c r="B116" s="99"/>
      <c r="C116" s="226"/>
      <c r="E116" s="227"/>
      <c r="F116" s="227"/>
      <c r="G116" s="227"/>
      <c r="H116" s="295"/>
      <c r="I116" s="278"/>
      <c r="J116" s="296"/>
      <c r="K116" s="232"/>
      <c r="L116" s="278"/>
      <c r="M116" s="293"/>
    </row>
    <row r="117">
      <c r="A117" s="99"/>
      <c r="B117" s="99"/>
      <c r="C117" s="226"/>
      <c r="E117" s="227"/>
      <c r="F117" s="227"/>
      <c r="G117" s="227"/>
      <c r="H117" s="295"/>
      <c r="I117" s="278"/>
      <c r="J117" s="296"/>
      <c r="K117" s="232"/>
      <c r="L117" s="278"/>
      <c r="M117" s="293"/>
    </row>
    <row r="118">
      <c r="A118" s="99"/>
      <c r="B118" s="99"/>
      <c r="C118" s="226"/>
      <c r="E118" s="227"/>
      <c r="F118" s="227"/>
      <c r="G118" s="227"/>
      <c r="H118" s="295"/>
      <c r="I118" s="278"/>
      <c r="J118" s="296"/>
      <c r="K118" s="232"/>
      <c r="L118" s="278"/>
      <c r="M118" s="293"/>
    </row>
    <row r="119">
      <c r="A119" s="99"/>
      <c r="B119" s="99"/>
      <c r="C119" s="226"/>
      <c r="E119" s="227"/>
      <c r="F119" s="227"/>
      <c r="G119" s="227"/>
      <c r="H119" s="295"/>
      <c r="I119" s="278"/>
      <c r="J119" s="296"/>
      <c r="K119" s="232"/>
      <c r="L119" s="278"/>
      <c r="M119" s="293"/>
    </row>
    <row r="120">
      <c r="A120" s="99"/>
      <c r="B120" s="99"/>
      <c r="C120" s="226"/>
      <c r="E120" s="227"/>
      <c r="F120" s="227"/>
      <c r="G120" s="227"/>
      <c r="H120" s="295"/>
      <c r="I120" s="278"/>
      <c r="J120" s="296"/>
      <c r="K120" s="232"/>
      <c r="L120" s="278"/>
      <c r="M120" s="293"/>
    </row>
    <row r="121">
      <c r="A121" s="99"/>
      <c r="B121" s="99"/>
      <c r="C121" s="226"/>
      <c r="E121" s="227"/>
      <c r="F121" s="227"/>
      <c r="G121" s="227"/>
      <c r="H121" s="295"/>
      <c r="I121" s="278"/>
      <c r="J121" s="296"/>
      <c r="K121" s="232"/>
      <c r="L121" s="278"/>
      <c r="M121" s="293"/>
    </row>
    <row r="122">
      <c r="A122" s="99"/>
      <c r="B122" s="99"/>
      <c r="C122" s="226"/>
      <c r="E122" s="227"/>
      <c r="F122" s="227"/>
      <c r="G122" s="227"/>
      <c r="H122" s="295"/>
      <c r="I122" s="278"/>
      <c r="J122" s="296"/>
      <c r="K122" s="232"/>
      <c r="L122" s="278"/>
      <c r="M122" s="293"/>
    </row>
    <row r="123">
      <c r="A123" s="99"/>
      <c r="B123" s="99"/>
      <c r="C123" s="226"/>
      <c r="E123" s="227"/>
      <c r="F123" s="227"/>
      <c r="G123" s="227"/>
      <c r="H123" s="295"/>
      <c r="I123" s="278"/>
      <c r="J123" s="296"/>
      <c r="K123" s="232"/>
      <c r="L123" s="278"/>
      <c r="M123" s="293"/>
    </row>
    <row r="124">
      <c r="A124" s="99"/>
      <c r="B124" s="99"/>
      <c r="C124" s="226"/>
      <c r="E124" s="227"/>
      <c r="F124" s="227"/>
      <c r="G124" s="227"/>
      <c r="H124" s="295"/>
      <c r="I124" s="278"/>
      <c r="J124" s="296"/>
      <c r="K124" s="232"/>
      <c r="L124" s="278"/>
      <c r="M124" s="293"/>
    </row>
    <row r="125">
      <c r="A125" s="99"/>
      <c r="B125" s="99"/>
      <c r="C125" s="226"/>
      <c r="E125" s="227"/>
      <c r="F125" s="227"/>
      <c r="G125" s="227"/>
      <c r="H125" s="295"/>
      <c r="I125" s="278"/>
      <c r="J125" s="296"/>
      <c r="K125" s="232"/>
      <c r="L125" s="278"/>
      <c r="M125" s="293"/>
    </row>
    <row r="126">
      <c r="A126" s="99"/>
      <c r="B126" s="99"/>
      <c r="C126" s="226"/>
      <c r="E126" s="227"/>
      <c r="F126" s="227"/>
      <c r="G126" s="227"/>
      <c r="H126" s="295"/>
      <c r="I126" s="278"/>
      <c r="J126" s="296"/>
      <c r="K126" s="232"/>
      <c r="L126" s="278"/>
      <c r="M126" s="293"/>
    </row>
    <row r="127">
      <c r="A127" s="99"/>
      <c r="B127" s="99"/>
      <c r="C127" s="226"/>
      <c r="E127" s="227"/>
      <c r="F127" s="227"/>
      <c r="G127" s="227"/>
      <c r="H127" s="295"/>
      <c r="I127" s="278"/>
      <c r="J127" s="296"/>
      <c r="K127" s="232"/>
      <c r="L127" s="278"/>
      <c r="M127" s="293"/>
    </row>
    <row r="128">
      <c r="A128" s="99"/>
      <c r="B128" s="99"/>
      <c r="C128" s="226"/>
      <c r="E128" s="227"/>
      <c r="F128" s="227"/>
      <c r="G128" s="227"/>
      <c r="H128" s="295"/>
      <c r="I128" s="278"/>
      <c r="J128" s="296"/>
      <c r="K128" s="232"/>
      <c r="L128" s="278"/>
      <c r="M128" s="293"/>
    </row>
    <row r="129">
      <c r="A129" s="99"/>
      <c r="B129" s="99"/>
      <c r="C129" s="226"/>
      <c r="E129" s="227"/>
      <c r="F129" s="227"/>
      <c r="G129" s="227"/>
      <c r="H129" s="295"/>
      <c r="I129" s="278"/>
      <c r="J129" s="296"/>
      <c r="K129" s="232"/>
      <c r="L129" s="278"/>
      <c r="M129" s="293"/>
    </row>
    <row r="130">
      <c r="A130" s="99"/>
      <c r="B130" s="99"/>
      <c r="C130" s="226"/>
      <c r="E130" s="227"/>
      <c r="F130" s="227"/>
      <c r="G130" s="227"/>
      <c r="H130" s="295"/>
      <c r="I130" s="278"/>
      <c r="J130" s="296"/>
      <c r="K130" s="232"/>
      <c r="L130" s="278"/>
      <c r="M130" s="293"/>
    </row>
    <row r="131">
      <c r="A131" s="99"/>
      <c r="B131" s="99"/>
      <c r="C131" s="226"/>
      <c r="E131" s="227"/>
      <c r="F131" s="227"/>
      <c r="G131" s="227"/>
      <c r="H131" s="295"/>
      <c r="I131" s="278"/>
      <c r="J131" s="296"/>
      <c r="K131" s="232"/>
      <c r="L131" s="278"/>
      <c r="M131" s="293"/>
    </row>
    <row r="132">
      <c r="A132" s="99"/>
      <c r="B132" s="99"/>
      <c r="C132" s="226"/>
      <c r="E132" s="227"/>
      <c r="F132" s="227"/>
      <c r="G132" s="227"/>
      <c r="H132" s="295"/>
      <c r="I132" s="278"/>
      <c r="J132" s="296"/>
      <c r="K132" s="232"/>
      <c r="L132" s="278"/>
      <c r="M132" s="293"/>
    </row>
    <row r="133">
      <c r="A133" s="99"/>
      <c r="B133" s="99"/>
      <c r="C133" s="226"/>
      <c r="E133" s="227"/>
      <c r="F133" s="227"/>
      <c r="G133" s="227"/>
      <c r="H133" s="295"/>
      <c r="I133" s="278"/>
      <c r="J133" s="296"/>
      <c r="K133" s="232"/>
      <c r="L133" s="278"/>
      <c r="M133" s="293"/>
    </row>
    <row r="134">
      <c r="A134" s="99"/>
      <c r="B134" s="99"/>
      <c r="C134" s="226"/>
      <c r="E134" s="227"/>
      <c r="F134" s="227"/>
      <c r="G134" s="227"/>
      <c r="H134" s="295"/>
      <c r="I134" s="278"/>
      <c r="J134" s="296"/>
      <c r="K134" s="232"/>
      <c r="L134" s="278"/>
      <c r="M134" s="293"/>
    </row>
    <row r="135">
      <c r="A135" s="99"/>
      <c r="B135" s="99"/>
      <c r="C135" s="226"/>
      <c r="E135" s="227"/>
      <c r="F135" s="227"/>
      <c r="G135" s="227"/>
      <c r="H135" s="295"/>
      <c r="I135" s="278"/>
      <c r="J135" s="296"/>
      <c r="K135" s="232"/>
      <c r="L135" s="278"/>
      <c r="M135" s="293"/>
    </row>
    <row r="136">
      <c r="A136" s="99"/>
      <c r="B136" s="99"/>
      <c r="C136" s="226"/>
      <c r="E136" s="227"/>
      <c r="F136" s="227"/>
      <c r="G136" s="227"/>
      <c r="H136" s="295"/>
      <c r="I136" s="278"/>
      <c r="J136" s="296"/>
      <c r="K136" s="232"/>
      <c r="L136" s="278"/>
      <c r="M136" s="293"/>
    </row>
    <row r="137">
      <c r="A137" s="99"/>
      <c r="B137" s="99"/>
      <c r="C137" s="226"/>
      <c r="E137" s="227"/>
      <c r="F137" s="227"/>
      <c r="G137" s="227"/>
      <c r="H137" s="295"/>
      <c r="I137" s="278"/>
      <c r="J137" s="296"/>
      <c r="K137" s="232"/>
      <c r="L137" s="278"/>
      <c r="M137" s="293"/>
    </row>
    <row r="138">
      <c r="A138" s="99"/>
      <c r="B138" s="99"/>
      <c r="C138" s="226"/>
      <c r="E138" s="227"/>
      <c r="F138" s="227"/>
      <c r="G138" s="227"/>
      <c r="H138" s="295"/>
      <c r="I138" s="278"/>
      <c r="J138" s="296"/>
      <c r="K138" s="232"/>
      <c r="L138" s="278"/>
      <c r="M138" s="293"/>
    </row>
    <row r="139">
      <c r="A139" s="99"/>
      <c r="B139" s="99"/>
      <c r="C139" s="226"/>
      <c r="E139" s="227"/>
      <c r="F139" s="227"/>
      <c r="G139" s="227"/>
      <c r="H139" s="295"/>
      <c r="I139" s="278"/>
      <c r="J139" s="296"/>
      <c r="K139" s="232"/>
      <c r="L139" s="278"/>
      <c r="M139" s="293"/>
    </row>
    <row r="140">
      <c r="A140" s="99"/>
      <c r="B140" s="99"/>
      <c r="C140" s="226"/>
      <c r="E140" s="227"/>
      <c r="F140" s="227"/>
      <c r="G140" s="227"/>
      <c r="H140" s="295"/>
      <c r="I140" s="278"/>
      <c r="J140" s="296"/>
      <c r="K140" s="232"/>
      <c r="L140" s="278"/>
      <c r="M140" s="293"/>
    </row>
    <row r="141">
      <c r="A141" s="99"/>
      <c r="B141" s="99"/>
      <c r="C141" s="226"/>
      <c r="E141" s="227"/>
      <c r="F141" s="227"/>
      <c r="G141" s="227"/>
      <c r="H141" s="295"/>
      <c r="I141" s="278"/>
      <c r="J141" s="296"/>
      <c r="K141" s="232"/>
      <c r="L141" s="278"/>
      <c r="M141" s="293"/>
    </row>
    <row r="142">
      <c r="A142" s="99"/>
      <c r="B142" s="99"/>
      <c r="C142" s="226"/>
      <c r="E142" s="227"/>
      <c r="F142" s="227"/>
      <c r="G142" s="227"/>
      <c r="H142" s="295"/>
      <c r="I142" s="278"/>
      <c r="J142" s="296"/>
      <c r="K142" s="232"/>
      <c r="L142" s="278"/>
      <c r="M142" s="293"/>
    </row>
    <row r="143">
      <c r="A143" s="99"/>
      <c r="B143" s="99"/>
      <c r="C143" s="226"/>
      <c r="E143" s="227"/>
      <c r="F143" s="227"/>
      <c r="G143" s="227"/>
      <c r="H143" s="295"/>
      <c r="I143" s="278"/>
      <c r="J143" s="296"/>
      <c r="K143" s="232"/>
      <c r="L143" s="278"/>
      <c r="M143" s="293"/>
    </row>
    <row r="144">
      <c r="A144" s="99"/>
      <c r="B144" s="99"/>
      <c r="C144" s="226"/>
      <c r="E144" s="227"/>
      <c r="F144" s="227"/>
      <c r="G144" s="227"/>
      <c r="H144" s="295"/>
      <c r="I144" s="278"/>
      <c r="J144" s="296"/>
      <c r="K144" s="232"/>
      <c r="L144" s="278"/>
      <c r="M144" s="293"/>
    </row>
    <row r="145">
      <c r="A145" s="99"/>
      <c r="B145" s="99"/>
      <c r="C145" s="226"/>
      <c r="E145" s="227"/>
      <c r="F145" s="227"/>
      <c r="G145" s="227"/>
      <c r="H145" s="295"/>
      <c r="I145" s="278"/>
      <c r="J145" s="296"/>
      <c r="K145" s="232"/>
      <c r="L145" s="278"/>
      <c r="M145" s="293"/>
    </row>
    <row r="146">
      <c r="A146" s="99"/>
      <c r="B146" s="99"/>
      <c r="C146" s="226"/>
      <c r="E146" s="227"/>
      <c r="F146" s="227"/>
      <c r="G146" s="227"/>
      <c r="H146" s="295"/>
      <c r="I146" s="278"/>
      <c r="J146" s="296"/>
      <c r="K146" s="232"/>
      <c r="L146" s="278"/>
      <c r="M146" s="293"/>
    </row>
    <row r="147">
      <c r="A147" s="99"/>
      <c r="B147" s="99"/>
      <c r="C147" s="226"/>
      <c r="E147" s="227"/>
      <c r="F147" s="227"/>
      <c r="G147" s="227"/>
      <c r="H147" s="295"/>
      <c r="I147" s="278"/>
      <c r="J147" s="296"/>
      <c r="K147" s="232"/>
      <c r="L147" s="278"/>
      <c r="M147" s="293"/>
    </row>
    <row r="148">
      <c r="A148" s="99"/>
      <c r="B148" s="99"/>
      <c r="C148" s="226"/>
      <c r="E148" s="227"/>
      <c r="F148" s="227"/>
      <c r="G148" s="227"/>
      <c r="H148" s="295"/>
      <c r="I148" s="278"/>
      <c r="J148" s="296"/>
      <c r="K148" s="232"/>
      <c r="L148" s="278"/>
      <c r="M148" s="293"/>
    </row>
    <row r="149">
      <c r="A149" s="99"/>
      <c r="B149" s="99"/>
      <c r="C149" s="226"/>
      <c r="E149" s="227"/>
      <c r="F149" s="227"/>
      <c r="G149" s="227"/>
      <c r="H149" s="295"/>
      <c r="I149" s="278"/>
      <c r="J149" s="296"/>
      <c r="K149" s="232"/>
      <c r="L149" s="278"/>
      <c r="M149" s="293"/>
    </row>
    <row r="150">
      <c r="A150" s="99"/>
      <c r="B150" s="99"/>
      <c r="C150" s="226"/>
      <c r="E150" s="227"/>
      <c r="F150" s="227"/>
      <c r="G150" s="227"/>
      <c r="H150" s="295"/>
      <c r="I150" s="278"/>
      <c r="J150" s="296"/>
      <c r="K150" s="232"/>
      <c r="L150" s="278"/>
      <c r="M150" s="293"/>
    </row>
    <row r="151">
      <c r="A151" s="99"/>
      <c r="B151" s="99"/>
      <c r="C151" s="226"/>
      <c r="E151" s="227"/>
      <c r="F151" s="227"/>
      <c r="G151" s="227"/>
      <c r="H151" s="295"/>
      <c r="I151" s="278"/>
      <c r="J151" s="296"/>
      <c r="K151" s="232"/>
      <c r="L151" s="278"/>
      <c r="M151" s="293"/>
    </row>
    <row r="152">
      <c r="A152" s="99"/>
      <c r="B152" s="99"/>
      <c r="C152" s="226"/>
      <c r="E152" s="227"/>
      <c r="F152" s="227"/>
      <c r="G152" s="227"/>
      <c r="H152" s="295"/>
      <c r="I152" s="278"/>
      <c r="J152" s="296"/>
      <c r="K152" s="232"/>
      <c r="L152" s="278"/>
      <c r="M152" s="293"/>
    </row>
    <row r="153">
      <c r="A153" s="99"/>
      <c r="B153" s="99"/>
      <c r="C153" s="226"/>
      <c r="E153" s="227"/>
      <c r="F153" s="227"/>
      <c r="G153" s="227"/>
      <c r="H153" s="295"/>
      <c r="I153" s="278"/>
      <c r="J153" s="296"/>
      <c r="K153" s="232"/>
      <c r="L153" s="278"/>
      <c r="M153" s="293"/>
    </row>
    <row r="154">
      <c r="A154" s="99"/>
      <c r="B154" s="99"/>
      <c r="C154" s="226"/>
      <c r="E154" s="227"/>
      <c r="F154" s="227"/>
      <c r="G154" s="227"/>
      <c r="H154" s="295"/>
      <c r="I154" s="278"/>
      <c r="J154" s="296"/>
      <c r="K154" s="232"/>
      <c r="L154" s="278"/>
      <c r="M154" s="293"/>
    </row>
    <row r="155">
      <c r="A155" s="99"/>
      <c r="B155" s="99"/>
      <c r="C155" s="226"/>
      <c r="E155" s="227"/>
      <c r="F155" s="227"/>
      <c r="G155" s="227"/>
      <c r="H155" s="295"/>
      <c r="I155" s="278"/>
      <c r="J155" s="296"/>
      <c r="K155" s="232"/>
      <c r="L155" s="278"/>
      <c r="M155" s="293"/>
    </row>
    <row r="156">
      <c r="A156" s="99"/>
      <c r="B156" s="99"/>
      <c r="C156" s="226"/>
      <c r="E156" s="227"/>
      <c r="F156" s="227"/>
      <c r="G156" s="227"/>
      <c r="H156" s="295"/>
      <c r="I156" s="278"/>
      <c r="J156" s="296"/>
      <c r="K156" s="232"/>
      <c r="L156" s="278"/>
      <c r="M156" s="293"/>
    </row>
    <row r="157">
      <c r="A157" s="99"/>
      <c r="B157" s="99"/>
      <c r="C157" s="226"/>
      <c r="E157" s="227"/>
      <c r="F157" s="227"/>
      <c r="G157" s="227"/>
      <c r="H157" s="295"/>
      <c r="I157" s="278"/>
      <c r="J157" s="296"/>
      <c r="K157" s="232"/>
      <c r="L157" s="278"/>
      <c r="M157" s="293"/>
    </row>
    <row r="158">
      <c r="A158" s="99"/>
      <c r="B158" s="99"/>
      <c r="C158" s="226"/>
      <c r="E158" s="227"/>
      <c r="F158" s="227"/>
      <c r="G158" s="227"/>
      <c r="H158" s="295"/>
      <c r="I158" s="278"/>
      <c r="J158" s="296"/>
      <c r="K158" s="232"/>
      <c r="L158" s="278"/>
      <c r="M158" s="293"/>
    </row>
    <row r="159">
      <c r="A159" s="99"/>
      <c r="B159" s="99"/>
      <c r="C159" s="226"/>
      <c r="E159" s="227"/>
      <c r="F159" s="227"/>
      <c r="G159" s="227"/>
      <c r="H159" s="295"/>
      <c r="I159" s="278"/>
      <c r="J159" s="296"/>
      <c r="K159" s="232"/>
      <c r="L159" s="278"/>
      <c r="M159" s="293"/>
    </row>
    <row r="160">
      <c r="A160" s="99"/>
      <c r="B160" s="99"/>
      <c r="C160" s="226"/>
      <c r="E160" s="227"/>
      <c r="F160" s="227"/>
      <c r="G160" s="227"/>
      <c r="H160" s="295"/>
      <c r="I160" s="278"/>
      <c r="J160" s="296"/>
      <c r="K160" s="232"/>
      <c r="L160" s="278"/>
      <c r="M160" s="293"/>
    </row>
    <row r="161">
      <c r="A161" s="99"/>
      <c r="B161" s="99"/>
      <c r="C161" s="226"/>
      <c r="E161" s="227"/>
      <c r="F161" s="227"/>
      <c r="G161" s="227"/>
      <c r="H161" s="295"/>
      <c r="I161" s="278"/>
      <c r="J161" s="296"/>
      <c r="K161" s="232"/>
      <c r="L161" s="278"/>
      <c r="M161" s="293"/>
    </row>
    <row r="162">
      <c r="A162" s="99"/>
      <c r="B162" s="99"/>
      <c r="C162" s="226"/>
      <c r="E162" s="227"/>
      <c r="F162" s="227"/>
      <c r="G162" s="227"/>
      <c r="H162" s="295"/>
      <c r="I162" s="278"/>
      <c r="J162" s="296"/>
      <c r="K162" s="232"/>
      <c r="L162" s="278"/>
      <c r="M162" s="293"/>
    </row>
    <row r="163">
      <c r="A163" s="99"/>
      <c r="B163" s="99"/>
      <c r="C163" s="226"/>
      <c r="E163" s="227"/>
      <c r="F163" s="227"/>
      <c r="G163" s="227"/>
      <c r="H163" s="295"/>
      <c r="I163" s="278"/>
      <c r="J163" s="296"/>
      <c r="K163" s="232"/>
      <c r="L163" s="278"/>
      <c r="M163" s="293"/>
    </row>
    <row r="164">
      <c r="A164" s="99"/>
      <c r="B164" s="99"/>
      <c r="C164" s="226"/>
      <c r="E164" s="227"/>
      <c r="F164" s="227"/>
      <c r="G164" s="227"/>
      <c r="H164" s="295"/>
      <c r="I164" s="278"/>
      <c r="J164" s="296"/>
      <c r="K164" s="232"/>
      <c r="L164" s="278"/>
      <c r="M164" s="293"/>
    </row>
    <row r="165">
      <c r="A165" s="99"/>
      <c r="B165" s="99"/>
      <c r="C165" s="226"/>
      <c r="E165" s="227"/>
      <c r="F165" s="227"/>
      <c r="G165" s="227"/>
      <c r="H165" s="295"/>
      <c r="I165" s="278"/>
      <c r="J165" s="296"/>
      <c r="K165" s="232"/>
      <c r="L165" s="278"/>
      <c r="M165" s="293"/>
    </row>
    <row r="166">
      <c r="A166" s="99"/>
      <c r="B166" s="99"/>
      <c r="C166" s="226"/>
      <c r="E166" s="227"/>
      <c r="F166" s="227"/>
      <c r="G166" s="227"/>
      <c r="H166" s="295"/>
      <c r="I166" s="278"/>
      <c r="J166" s="296"/>
      <c r="K166" s="232"/>
      <c r="L166" s="278"/>
      <c r="M166" s="293"/>
    </row>
    <row r="167">
      <c r="A167" s="99"/>
      <c r="B167" s="99"/>
      <c r="C167" s="226"/>
      <c r="E167" s="227"/>
      <c r="F167" s="227"/>
      <c r="G167" s="227"/>
      <c r="H167" s="295"/>
      <c r="I167" s="278"/>
      <c r="J167" s="296"/>
      <c r="K167" s="232"/>
      <c r="L167" s="278"/>
      <c r="M167" s="293"/>
    </row>
    <row r="168">
      <c r="A168" s="99"/>
      <c r="B168" s="99"/>
      <c r="C168" s="226"/>
      <c r="E168" s="227"/>
      <c r="F168" s="227"/>
      <c r="G168" s="227"/>
      <c r="H168" s="295"/>
      <c r="I168" s="278"/>
      <c r="J168" s="296"/>
      <c r="K168" s="232"/>
      <c r="L168" s="278"/>
      <c r="M168" s="293"/>
    </row>
    <row r="169">
      <c r="A169" s="99"/>
      <c r="B169" s="99"/>
      <c r="C169" s="226"/>
      <c r="E169" s="227"/>
      <c r="F169" s="227"/>
      <c r="G169" s="227"/>
      <c r="H169" s="295"/>
      <c r="I169" s="278"/>
      <c r="J169" s="296"/>
      <c r="K169" s="232"/>
      <c r="L169" s="278"/>
      <c r="M169" s="293"/>
    </row>
    <row r="170">
      <c r="A170" s="99"/>
      <c r="B170" s="99"/>
      <c r="C170" s="226"/>
      <c r="E170" s="227"/>
      <c r="F170" s="227"/>
      <c r="G170" s="227"/>
      <c r="H170" s="295"/>
      <c r="I170" s="278"/>
      <c r="J170" s="296"/>
      <c r="K170" s="232"/>
      <c r="L170" s="278"/>
      <c r="M170" s="293"/>
    </row>
    <row r="171">
      <c r="A171" s="99"/>
      <c r="B171" s="99"/>
      <c r="C171" s="226"/>
      <c r="E171" s="227"/>
      <c r="F171" s="227"/>
      <c r="G171" s="227"/>
      <c r="H171" s="295"/>
      <c r="I171" s="278"/>
      <c r="J171" s="296"/>
      <c r="K171" s="232"/>
      <c r="L171" s="278"/>
      <c r="M171" s="293"/>
    </row>
    <row r="172">
      <c r="A172" s="99"/>
      <c r="B172" s="99"/>
      <c r="C172" s="226"/>
      <c r="E172" s="227"/>
      <c r="F172" s="227"/>
      <c r="G172" s="227"/>
      <c r="H172" s="295"/>
      <c r="I172" s="278"/>
      <c r="J172" s="296"/>
      <c r="K172" s="232"/>
      <c r="L172" s="278"/>
      <c r="M172" s="293"/>
    </row>
    <row r="173">
      <c r="A173" s="99"/>
      <c r="B173" s="99"/>
      <c r="C173" s="226"/>
      <c r="E173" s="227"/>
      <c r="F173" s="227"/>
      <c r="G173" s="227"/>
      <c r="H173" s="295"/>
      <c r="I173" s="278"/>
      <c r="J173" s="296"/>
      <c r="K173" s="232"/>
      <c r="L173" s="278"/>
      <c r="M173" s="293"/>
    </row>
    <row r="174">
      <c r="A174" s="99"/>
      <c r="B174" s="99"/>
      <c r="C174" s="226"/>
      <c r="E174" s="227"/>
      <c r="F174" s="227"/>
      <c r="G174" s="227"/>
      <c r="H174" s="295"/>
      <c r="I174" s="278"/>
      <c r="J174" s="296"/>
      <c r="K174" s="232"/>
      <c r="L174" s="278"/>
      <c r="M174" s="293"/>
    </row>
    <row r="175">
      <c r="A175" s="99"/>
      <c r="B175" s="99"/>
      <c r="C175" s="226"/>
      <c r="E175" s="227"/>
      <c r="F175" s="227"/>
      <c r="G175" s="227"/>
      <c r="H175" s="295"/>
      <c r="I175" s="278"/>
      <c r="J175" s="296"/>
      <c r="K175" s="232"/>
      <c r="L175" s="278"/>
      <c r="M175" s="293"/>
    </row>
    <row r="176">
      <c r="A176" s="99"/>
      <c r="B176" s="99"/>
      <c r="C176" s="226"/>
      <c r="E176" s="227"/>
      <c r="F176" s="227"/>
      <c r="G176" s="227"/>
      <c r="H176" s="295"/>
      <c r="I176" s="278"/>
      <c r="J176" s="296"/>
      <c r="K176" s="232"/>
      <c r="L176" s="278"/>
      <c r="M176" s="293"/>
    </row>
    <row r="177">
      <c r="A177" s="99"/>
      <c r="B177" s="99"/>
      <c r="C177" s="226"/>
      <c r="E177" s="227"/>
      <c r="F177" s="227"/>
      <c r="G177" s="227"/>
      <c r="H177" s="295"/>
      <c r="I177" s="278"/>
      <c r="J177" s="296"/>
      <c r="K177" s="232"/>
      <c r="L177" s="278"/>
      <c r="M177" s="293"/>
    </row>
    <row r="178">
      <c r="A178" s="99"/>
      <c r="B178" s="99"/>
      <c r="C178" s="226"/>
      <c r="E178" s="227"/>
      <c r="F178" s="227"/>
      <c r="G178" s="227"/>
      <c r="H178" s="295"/>
      <c r="I178" s="278"/>
      <c r="J178" s="296"/>
      <c r="K178" s="232"/>
      <c r="L178" s="278"/>
      <c r="M178" s="293"/>
    </row>
    <row r="179">
      <c r="A179" s="99"/>
      <c r="B179" s="99"/>
      <c r="C179" s="226"/>
      <c r="E179" s="227"/>
      <c r="F179" s="227"/>
      <c r="G179" s="227"/>
      <c r="H179" s="295"/>
      <c r="I179" s="278"/>
      <c r="J179" s="296"/>
      <c r="K179" s="232"/>
      <c r="L179" s="278"/>
      <c r="M179" s="293"/>
    </row>
    <row r="180">
      <c r="A180" s="99"/>
      <c r="B180" s="99"/>
      <c r="C180" s="226"/>
      <c r="E180" s="227"/>
      <c r="F180" s="227"/>
      <c r="G180" s="227"/>
      <c r="H180" s="295"/>
      <c r="I180" s="278"/>
      <c r="J180" s="296"/>
      <c r="K180" s="232"/>
      <c r="L180" s="278"/>
      <c r="M180" s="293"/>
    </row>
    <row r="181">
      <c r="A181" s="99"/>
      <c r="B181" s="99"/>
      <c r="C181" s="226"/>
      <c r="E181" s="227"/>
      <c r="F181" s="227"/>
      <c r="G181" s="227"/>
      <c r="H181" s="295"/>
      <c r="I181" s="278"/>
      <c r="J181" s="296"/>
      <c r="K181" s="232"/>
      <c r="L181" s="278"/>
      <c r="M181" s="293"/>
    </row>
    <row r="182">
      <c r="A182" s="99"/>
      <c r="B182" s="99"/>
      <c r="C182" s="226"/>
      <c r="E182" s="227"/>
      <c r="F182" s="227"/>
      <c r="G182" s="227"/>
      <c r="H182" s="295"/>
      <c r="I182" s="278"/>
      <c r="J182" s="296"/>
      <c r="K182" s="232"/>
      <c r="L182" s="278"/>
      <c r="M182" s="293"/>
    </row>
    <row r="183">
      <c r="A183" s="99"/>
      <c r="B183" s="99"/>
      <c r="C183" s="226"/>
      <c r="E183" s="227"/>
      <c r="F183" s="227"/>
      <c r="G183" s="227"/>
      <c r="H183" s="295"/>
      <c r="I183" s="278"/>
      <c r="J183" s="296"/>
      <c r="K183" s="232"/>
      <c r="L183" s="278"/>
      <c r="M183" s="293"/>
    </row>
    <row r="184">
      <c r="A184" s="99"/>
      <c r="B184" s="99"/>
      <c r="C184" s="226"/>
      <c r="E184" s="227"/>
      <c r="F184" s="227"/>
      <c r="G184" s="227"/>
      <c r="H184" s="295"/>
      <c r="I184" s="278"/>
      <c r="J184" s="296"/>
      <c r="K184" s="232"/>
      <c r="L184" s="278"/>
      <c r="M184" s="293"/>
    </row>
    <row r="185">
      <c r="A185" s="99"/>
      <c r="B185" s="99"/>
      <c r="C185" s="226"/>
      <c r="E185" s="227"/>
      <c r="F185" s="227"/>
      <c r="G185" s="227"/>
      <c r="H185" s="295"/>
      <c r="I185" s="278"/>
      <c r="J185" s="296"/>
      <c r="K185" s="232"/>
      <c r="L185" s="278"/>
      <c r="M185" s="293"/>
    </row>
    <row r="186">
      <c r="A186" s="99"/>
      <c r="B186" s="99"/>
      <c r="C186" s="226"/>
      <c r="E186" s="227"/>
      <c r="F186" s="227"/>
      <c r="G186" s="227"/>
      <c r="H186" s="295"/>
      <c r="I186" s="278"/>
      <c r="J186" s="296"/>
      <c r="K186" s="232"/>
      <c r="L186" s="278"/>
      <c r="M186" s="293"/>
    </row>
    <row r="187">
      <c r="A187" s="99"/>
      <c r="B187" s="99"/>
      <c r="C187" s="226"/>
      <c r="E187" s="227"/>
      <c r="F187" s="227"/>
      <c r="G187" s="227"/>
      <c r="H187" s="295"/>
      <c r="I187" s="278"/>
      <c r="J187" s="296"/>
      <c r="K187" s="232"/>
      <c r="L187" s="278"/>
      <c r="M187" s="293"/>
    </row>
    <row r="188">
      <c r="A188" s="99"/>
      <c r="B188" s="99"/>
      <c r="C188" s="226"/>
      <c r="E188" s="227"/>
      <c r="F188" s="227"/>
      <c r="G188" s="227"/>
      <c r="H188" s="295"/>
      <c r="I188" s="278"/>
      <c r="J188" s="296"/>
      <c r="K188" s="232"/>
      <c r="L188" s="278"/>
      <c r="M188" s="293"/>
    </row>
    <row r="189">
      <c r="A189" s="99"/>
      <c r="B189" s="99"/>
      <c r="C189" s="226"/>
      <c r="E189" s="227"/>
      <c r="F189" s="227"/>
      <c r="G189" s="227"/>
      <c r="H189" s="295"/>
      <c r="I189" s="278"/>
      <c r="J189" s="296"/>
      <c r="K189" s="232"/>
      <c r="L189" s="278"/>
      <c r="M189" s="293"/>
    </row>
    <row r="190">
      <c r="A190" s="99"/>
      <c r="B190" s="99"/>
      <c r="C190" s="226"/>
      <c r="E190" s="227"/>
      <c r="F190" s="227"/>
      <c r="G190" s="227"/>
      <c r="H190" s="295"/>
      <c r="I190" s="278"/>
      <c r="J190" s="296"/>
      <c r="K190" s="232"/>
      <c r="L190" s="278"/>
      <c r="M190" s="293"/>
    </row>
    <row r="191">
      <c r="A191" s="99"/>
      <c r="B191" s="99"/>
      <c r="C191" s="226"/>
      <c r="E191" s="227"/>
      <c r="F191" s="227"/>
      <c r="G191" s="227"/>
      <c r="H191" s="295"/>
      <c r="I191" s="278"/>
      <c r="J191" s="296"/>
      <c r="K191" s="232"/>
      <c r="L191" s="278"/>
      <c r="M191" s="293"/>
    </row>
    <row r="192">
      <c r="A192" s="99"/>
      <c r="B192" s="99"/>
      <c r="C192" s="226"/>
      <c r="E192" s="227"/>
      <c r="F192" s="227"/>
      <c r="G192" s="227"/>
      <c r="H192" s="295"/>
      <c r="I192" s="278"/>
      <c r="J192" s="296"/>
      <c r="K192" s="232"/>
      <c r="L192" s="278"/>
      <c r="M192" s="293"/>
    </row>
    <row r="193">
      <c r="A193" s="99"/>
      <c r="B193" s="99"/>
      <c r="C193" s="226"/>
      <c r="E193" s="227"/>
      <c r="F193" s="227"/>
      <c r="G193" s="227"/>
      <c r="H193" s="295"/>
      <c r="I193" s="278"/>
      <c r="J193" s="296"/>
      <c r="K193" s="232"/>
      <c r="L193" s="278"/>
      <c r="M193" s="293"/>
    </row>
    <row r="194">
      <c r="A194" s="99"/>
      <c r="B194" s="99"/>
      <c r="C194" s="226"/>
      <c r="E194" s="227"/>
      <c r="F194" s="227"/>
      <c r="G194" s="227"/>
      <c r="H194" s="295"/>
      <c r="I194" s="278"/>
      <c r="J194" s="296"/>
      <c r="K194" s="232"/>
      <c r="L194" s="278"/>
      <c r="M194" s="293"/>
    </row>
    <row r="195">
      <c r="A195" s="99"/>
      <c r="B195" s="99"/>
      <c r="C195" s="226"/>
      <c r="E195" s="227"/>
      <c r="F195" s="227"/>
      <c r="G195" s="227"/>
      <c r="H195" s="295"/>
      <c r="I195" s="278"/>
      <c r="J195" s="296"/>
      <c r="K195" s="232"/>
      <c r="L195" s="278"/>
      <c r="M195" s="293"/>
    </row>
    <row r="196">
      <c r="A196" s="99"/>
      <c r="B196" s="99"/>
      <c r="C196" s="226"/>
      <c r="E196" s="227"/>
      <c r="F196" s="227"/>
      <c r="G196" s="227"/>
      <c r="H196" s="295"/>
      <c r="I196" s="278"/>
      <c r="J196" s="296"/>
      <c r="K196" s="232"/>
      <c r="L196" s="278"/>
      <c r="M196" s="293"/>
    </row>
    <row r="197">
      <c r="A197" s="99"/>
      <c r="B197" s="99"/>
      <c r="C197" s="226"/>
      <c r="E197" s="227"/>
      <c r="F197" s="227"/>
      <c r="G197" s="227"/>
      <c r="H197" s="295"/>
      <c r="I197" s="278"/>
      <c r="J197" s="296"/>
      <c r="K197" s="232"/>
      <c r="L197" s="278"/>
      <c r="M197" s="293"/>
    </row>
    <row r="198">
      <c r="A198" s="99"/>
      <c r="B198" s="99"/>
      <c r="C198" s="226"/>
      <c r="E198" s="227"/>
      <c r="F198" s="227"/>
      <c r="G198" s="227"/>
      <c r="H198" s="295"/>
      <c r="I198" s="278"/>
      <c r="J198" s="296"/>
      <c r="K198" s="232"/>
      <c r="L198" s="278"/>
      <c r="M198" s="293"/>
    </row>
    <row r="199">
      <c r="A199" s="99"/>
      <c r="B199" s="99"/>
      <c r="C199" s="226"/>
      <c r="E199" s="227"/>
      <c r="F199" s="227"/>
      <c r="G199" s="227"/>
      <c r="H199" s="295"/>
      <c r="I199" s="278"/>
      <c r="J199" s="296"/>
      <c r="K199" s="232"/>
      <c r="L199" s="278"/>
      <c r="M199" s="293"/>
    </row>
    <row r="200">
      <c r="A200" s="99"/>
      <c r="B200" s="99"/>
      <c r="C200" s="226"/>
      <c r="E200" s="227"/>
      <c r="F200" s="227"/>
      <c r="G200" s="227"/>
      <c r="H200" s="295"/>
      <c r="I200" s="278"/>
      <c r="J200" s="296"/>
      <c r="K200" s="232"/>
      <c r="L200" s="278"/>
      <c r="M200" s="293"/>
    </row>
    <row r="201">
      <c r="A201" s="99"/>
      <c r="B201" s="99"/>
      <c r="C201" s="226"/>
      <c r="E201" s="227"/>
      <c r="F201" s="227"/>
      <c r="G201" s="227"/>
      <c r="H201" s="295"/>
      <c r="I201" s="278"/>
      <c r="J201" s="296"/>
      <c r="K201" s="232"/>
      <c r="L201" s="278"/>
      <c r="M201" s="293"/>
    </row>
    <row r="202">
      <c r="A202" s="99"/>
      <c r="B202" s="99"/>
      <c r="C202" s="226"/>
      <c r="E202" s="227"/>
      <c r="F202" s="227"/>
      <c r="G202" s="227"/>
      <c r="H202" s="295"/>
      <c r="I202" s="278"/>
      <c r="J202" s="296"/>
      <c r="K202" s="232"/>
      <c r="L202" s="278"/>
      <c r="M202" s="293"/>
    </row>
    <row r="203">
      <c r="A203" s="99"/>
      <c r="B203" s="99"/>
      <c r="C203" s="226"/>
      <c r="E203" s="227"/>
      <c r="F203" s="227"/>
      <c r="G203" s="227"/>
      <c r="H203" s="295"/>
      <c r="I203" s="278"/>
      <c r="J203" s="296"/>
      <c r="K203" s="232"/>
      <c r="L203" s="278"/>
      <c r="M203" s="293"/>
    </row>
    <row r="204">
      <c r="A204" s="99"/>
      <c r="B204" s="99"/>
      <c r="C204" s="226"/>
      <c r="E204" s="227"/>
      <c r="F204" s="227"/>
      <c r="G204" s="227"/>
      <c r="H204" s="295"/>
      <c r="I204" s="278"/>
      <c r="J204" s="296"/>
      <c r="K204" s="232"/>
      <c r="L204" s="278"/>
      <c r="M204" s="293"/>
    </row>
    <row r="205">
      <c r="A205" s="99"/>
      <c r="B205" s="99"/>
      <c r="C205" s="226"/>
      <c r="E205" s="227"/>
      <c r="F205" s="227"/>
      <c r="G205" s="227"/>
      <c r="H205" s="295"/>
      <c r="I205" s="278"/>
      <c r="J205" s="296"/>
      <c r="K205" s="232"/>
      <c r="L205" s="278"/>
      <c r="M205" s="293"/>
    </row>
    <row r="206">
      <c r="A206" s="99"/>
      <c r="B206" s="99"/>
      <c r="C206" s="226"/>
      <c r="E206" s="227"/>
      <c r="F206" s="227"/>
      <c r="G206" s="227"/>
      <c r="H206" s="295"/>
      <c r="I206" s="278"/>
      <c r="J206" s="296"/>
      <c r="K206" s="232"/>
      <c r="L206" s="278"/>
      <c r="M206" s="293"/>
    </row>
    <row r="207">
      <c r="A207" s="99"/>
      <c r="B207" s="99"/>
      <c r="C207" s="226"/>
      <c r="E207" s="227"/>
      <c r="F207" s="227"/>
      <c r="G207" s="227"/>
      <c r="H207" s="295"/>
      <c r="I207" s="278"/>
      <c r="J207" s="296"/>
      <c r="K207" s="232"/>
      <c r="L207" s="278"/>
      <c r="M207" s="293"/>
    </row>
    <row r="208">
      <c r="A208" s="99"/>
      <c r="B208" s="99"/>
      <c r="C208" s="226"/>
      <c r="E208" s="227"/>
      <c r="F208" s="227"/>
      <c r="G208" s="227"/>
      <c r="H208" s="295"/>
      <c r="I208" s="278"/>
      <c r="J208" s="296"/>
      <c r="K208" s="232"/>
      <c r="L208" s="278"/>
      <c r="M208" s="293"/>
    </row>
    <row r="209">
      <c r="A209" s="99"/>
      <c r="B209" s="99"/>
      <c r="C209" s="226"/>
      <c r="E209" s="227"/>
      <c r="F209" s="227"/>
      <c r="G209" s="227"/>
      <c r="H209" s="295"/>
      <c r="I209" s="278"/>
      <c r="J209" s="296"/>
      <c r="K209" s="232"/>
      <c r="L209" s="278"/>
      <c r="M209" s="293"/>
    </row>
    <row r="210">
      <c r="A210" s="99"/>
      <c r="B210" s="99"/>
      <c r="C210" s="226"/>
      <c r="E210" s="227"/>
      <c r="F210" s="227"/>
      <c r="G210" s="227"/>
      <c r="H210" s="295"/>
      <c r="I210" s="278"/>
      <c r="J210" s="296"/>
      <c r="K210" s="232"/>
      <c r="L210" s="278"/>
      <c r="M210" s="293"/>
    </row>
    <row r="211">
      <c r="A211" s="99"/>
      <c r="B211" s="99"/>
      <c r="C211" s="226"/>
      <c r="E211" s="227"/>
      <c r="F211" s="227"/>
      <c r="G211" s="227"/>
      <c r="H211" s="295"/>
      <c r="I211" s="278"/>
      <c r="J211" s="296"/>
      <c r="K211" s="232"/>
      <c r="L211" s="278"/>
      <c r="M211" s="293"/>
    </row>
    <row r="212">
      <c r="A212" s="99"/>
      <c r="B212" s="99"/>
      <c r="C212" s="226"/>
      <c r="E212" s="227"/>
      <c r="F212" s="227"/>
      <c r="G212" s="227"/>
      <c r="H212" s="295"/>
      <c r="I212" s="278"/>
      <c r="J212" s="296"/>
      <c r="K212" s="232"/>
      <c r="L212" s="278"/>
      <c r="M212" s="293"/>
    </row>
    <row r="213">
      <c r="A213" s="99"/>
      <c r="B213" s="99"/>
      <c r="C213" s="226"/>
      <c r="E213" s="227"/>
      <c r="F213" s="227"/>
      <c r="G213" s="227"/>
      <c r="H213" s="295"/>
      <c r="I213" s="278"/>
      <c r="J213" s="296"/>
      <c r="K213" s="232"/>
      <c r="L213" s="278"/>
      <c r="M213" s="293"/>
    </row>
    <row r="214">
      <c r="A214" s="99"/>
      <c r="B214" s="99"/>
      <c r="C214" s="226"/>
      <c r="E214" s="227"/>
      <c r="F214" s="227"/>
      <c r="G214" s="227"/>
      <c r="H214" s="295"/>
      <c r="I214" s="278"/>
      <c r="J214" s="296"/>
      <c r="K214" s="232"/>
      <c r="L214" s="278"/>
      <c r="M214" s="293"/>
    </row>
    <row r="215">
      <c r="A215" s="99"/>
      <c r="B215" s="99"/>
      <c r="C215" s="226"/>
      <c r="E215" s="227"/>
      <c r="F215" s="227"/>
      <c r="G215" s="227"/>
      <c r="H215" s="295"/>
      <c r="I215" s="278"/>
      <c r="J215" s="296"/>
      <c r="K215" s="232"/>
      <c r="L215" s="278"/>
      <c r="M215" s="293"/>
    </row>
    <row r="216">
      <c r="A216" s="99"/>
      <c r="B216" s="99"/>
      <c r="C216" s="226"/>
      <c r="E216" s="227"/>
      <c r="F216" s="227"/>
      <c r="G216" s="227"/>
      <c r="H216" s="295"/>
      <c r="I216" s="278"/>
      <c r="J216" s="296"/>
      <c r="K216" s="232"/>
      <c r="L216" s="278"/>
      <c r="M216" s="293"/>
    </row>
    <row r="217">
      <c r="A217" s="99"/>
      <c r="B217" s="99"/>
      <c r="C217" s="226"/>
      <c r="E217" s="227"/>
      <c r="F217" s="227"/>
      <c r="G217" s="227"/>
      <c r="H217" s="295"/>
      <c r="I217" s="278"/>
      <c r="J217" s="296"/>
      <c r="K217" s="232"/>
      <c r="L217" s="278"/>
      <c r="M217" s="293"/>
    </row>
    <row r="218">
      <c r="A218" s="99"/>
      <c r="B218" s="99"/>
      <c r="C218" s="226"/>
      <c r="E218" s="227"/>
      <c r="F218" s="227"/>
      <c r="G218" s="227"/>
      <c r="H218" s="295"/>
      <c r="I218" s="278"/>
      <c r="J218" s="296"/>
      <c r="K218" s="232"/>
      <c r="L218" s="278"/>
      <c r="M218" s="293"/>
    </row>
    <row r="219">
      <c r="A219" s="99"/>
      <c r="B219" s="99"/>
      <c r="C219" s="226"/>
      <c r="E219" s="227"/>
      <c r="F219" s="227"/>
      <c r="G219" s="227"/>
      <c r="H219" s="295"/>
      <c r="I219" s="278"/>
      <c r="J219" s="296"/>
      <c r="K219" s="232"/>
      <c r="L219" s="278"/>
      <c r="M219" s="293"/>
    </row>
    <row r="220">
      <c r="A220" s="99"/>
      <c r="B220" s="99"/>
      <c r="C220" s="226"/>
      <c r="E220" s="227"/>
      <c r="F220" s="227"/>
      <c r="G220" s="227"/>
      <c r="H220" s="295"/>
      <c r="I220" s="278"/>
      <c r="J220" s="296"/>
      <c r="K220" s="232"/>
      <c r="L220" s="278"/>
      <c r="M220" s="293"/>
    </row>
    <row r="221">
      <c r="A221" s="99"/>
      <c r="B221" s="99"/>
      <c r="C221" s="226"/>
      <c r="E221" s="227"/>
      <c r="F221" s="227"/>
      <c r="G221" s="227"/>
      <c r="H221" s="295"/>
      <c r="I221" s="278"/>
      <c r="J221" s="296"/>
      <c r="K221" s="232"/>
      <c r="L221" s="278"/>
      <c r="M221" s="293"/>
    </row>
    <row r="222">
      <c r="A222" s="99"/>
      <c r="B222" s="99"/>
      <c r="C222" s="226"/>
      <c r="E222" s="227"/>
      <c r="F222" s="227"/>
      <c r="G222" s="227"/>
      <c r="H222" s="295"/>
      <c r="I222" s="278"/>
      <c r="J222" s="296"/>
      <c r="K222" s="232"/>
      <c r="L222" s="278"/>
      <c r="M222" s="293"/>
    </row>
    <row r="223">
      <c r="A223" s="99"/>
      <c r="B223" s="99"/>
      <c r="C223" s="226"/>
      <c r="E223" s="227"/>
      <c r="F223" s="227"/>
      <c r="G223" s="227"/>
      <c r="H223" s="295"/>
      <c r="I223" s="278"/>
      <c r="J223" s="296"/>
      <c r="K223" s="232"/>
      <c r="L223" s="278"/>
      <c r="M223" s="293"/>
    </row>
    <row r="224">
      <c r="A224" s="99"/>
      <c r="B224" s="99"/>
      <c r="C224" s="226"/>
      <c r="E224" s="227"/>
      <c r="F224" s="227"/>
      <c r="G224" s="227"/>
      <c r="H224" s="295"/>
      <c r="I224" s="278"/>
      <c r="J224" s="296"/>
      <c r="K224" s="232"/>
      <c r="L224" s="278"/>
      <c r="M224" s="293"/>
    </row>
    <row r="225">
      <c r="A225" s="99"/>
      <c r="B225" s="99"/>
      <c r="C225" s="226"/>
      <c r="E225" s="227"/>
      <c r="F225" s="227"/>
      <c r="G225" s="227"/>
      <c r="H225" s="295"/>
      <c r="I225" s="278"/>
      <c r="J225" s="296"/>
      <c r="K225" s="232"/>
      <c r="L225" s="278"/>
      <c r="M225" s="293"/>
    </row>
    <row r="226">
      <c r="A226" s="99"/>
      <c r="B226" s="99"/>
      <c r="C226" s="226"/>
      <c r="E226" s="227"/>
      <c r="F226" s="227"/>
      <c r="G226" s="227"/>
      <c r="H226" s="295"/>
      <c r="I226" s="278"/>
      <c r="J226" s="296"/>
      <c r="K226" s="232"/>
      <c r="L226" s="278"/>
      <c r="M226" s="293"/>
    </row>
    <row r="227">
      <c r="A227" s="99"/>
      <c r="B227" s="99"/>
      <c r="C227" s="226"/>
      <c r="E227" s="227"/>
      <c r="F227" s="227"/>
      <c r="G227" s="227"/>
      <c r="H227" s="295"/>
      <c r="I227" s="278"/>
      <c r="J227" s="296"/>
      <c r="K227" s="232"/>
      <c r="L227" s="278"/>
      <c r="M227" s="293"/>
    </row>
    <row r="228">
      <c r="A228" s="99"/>
      <c r="B228" s="99"/>
      <c r="C228" s="226"/>
      <c r="E228" s="227"/>
      <c r="F228" s="227"/>
      <c r="G228" s="227"/>
      <c r="H228" s="295"/>
      <c r="I228" s="278"/>
      <c r="J228" s="296"/>
      <c r="K228" s="232"/>
      <c r="L228" s="278"/>
      <c r="M228" s="293"/>
    </row>
    <row r="229">
      <c r="A229" s="99"/>
      <c r="B229" s="99"/>
      <c r="C229" s="226"/>
      <c r="E229" s="227"/>
      <c r="F229" s="227"/>
      <c r="G229" s="227"/>
      <c r="H229" s="295"/>
      <c r="I229" s="278"/>
      <c r="J229" s="296"/>
      <c r="K229" s="232"/>
      <c r="L229" s="278"/>
      <c r="M229" s="293"/>
    </row>
    <row r="230">
      <c r="A230" s="99"/>
      <c r="B230" s="99"/>
      <c r="C230" s="226"/>
      <c r="E230" s="227"/>
      <c r="F230" s="227"/>
      <c r="G230" s="227"/>
      <c r="H230" s="295"/>
      <c r="I230" s="278"/>
      <c r="J230" s="296"/>
      <c r="K230" s="232"/>
      <c r="L230" s="278"/>
      <c r="M230" s="293"/>
    </row>
    <row r="231">
      <c r="A231" s="99"/>
      <c r="B231" s="99"/>
      <c r="C231" s="226"/>
      <c r="E231" s="227"/>
      <c r="F231" s="227"/>
      <c r="G231" s="227"/>
      <c r="H231" s="295"/>
      <c r="I231" s="278"/>
      <c r="J231" s="296"/>
      <c r="K231" s="232"/>
      <c r="L231" s="278"/>
      <c r="M231" s="293"/>
    </row>
    <row r="232">
      <c r="A232" s="99"/>
      <c r="B232" s="99"/>
      <c r="C232" s="226"/>
      <c r="E232" s="227"/>
      <c r="F232" s="227"/>
      <c r="G232" s="227"/>
      <c r="H232" s="295"/>
      <c r="I232" s="278"/>
      <c r="J232" s="296"/>
      <c r="K232" s="232"/>
      <c r="L232" s="278"/>
      <c r="M232" s="293"/>
    </row>
    <row r="233">
      <c r="A233" s="99"/>
      <c r="B233" s="99"/>
      <c r="C233" s="226"/>
      <c r="E233" s="227"/>
      <c r="F233" s="227"/>
      <c r="G233" s="227"/>
      <c r="H233" s="295"/>
      <c r="I233" s="278"/>
      <c r="J233" s="296"/>
      <c r="K233" s="232"/>
      <c r="L233" s="278"/>
      <c r="M233" s="293"/>
    </row>
    <row r="234">
      <c r="A234" s="99"/>
      <c r="B234" s="99"/>
      <c r="C234" s="226"/>
      <c r="E234" s="227"/>
      <c r="F234" s="227"/>
      <c r="G234" s="227"/>
      <c r="H234" s="295"/>
      <c r="I234" s="278"/>
      <c r="J234" s="296"/>
      <c r="K234" s="232"/>
      <c r="L234" s="278"/>
      <c r="M234" s="293"/>
    </row>
    <row r="235">
      <c r="A235" s="99"/>
      <c r="B235" s="99"/>
      <c r="C235" s="226"/>
      <c r="E235" s="227"/>
      <c r="F235" s="227"/>
      <c r="G235" s="227"/>
      <c r="H235" s="295"/>
      <c r="I235" s="278"/>
      <c r="J235" s="296"/>
      <c r="K235" s="232"/>
      <c r="L235" s="278"/>
      <c r="M235" s="293"/>
    </row>
    <row r="236">
      <c r="A236" s="99"/>
      <c r="B236" s="99"/>
      <c r="C236" s="226"/>
      <c r="E236" s="227"/>
      <c r="F236" s="227"/>
      <c r="G236" s="227"/>
      <c r="H236" s="295"/>
      <c r="I236" s="278"/>
      <c r="J236" s="296"/>
      <c r="K236" s="232"/>
      <c r="L236" s="278"/>
      <c r="M236" s="293"/>
    </row>
    <row r="237">
      <c r="A237" s="99"/>
      <c r="B237" s="99"/>
      <c r="C237" s="226"/>
      <c r="E237" s="227"/>
      <c r="F237" s="227"/>
      <c r="G237" s="227"/>
      <c r="H237" s="295"/>
      <c r="I237" s="278"/>
      <c r="J237" s="296"/>
      <c r="K237" s="232"/>
      <c r="L237" s="278"/>
      <c r="M237" s="293"/>
    </row>
    <row r="238">
      <c r="A238" s="99"/>
      <c r="B238" s="99"/>
      <c r="C238" s="226"/>
      <c r="E238" s="227"/>
      <c r="F238" s="227"/>
      <c r="G238" s="227"/>
      <c r="H238" s="295"/>
      <c r="I238" s="278"/>
      <c r="J238" s="296"/>
      <c r="K238" s="232"/>
      <c r="L238" s="278"/>
      <c r="M238" s="293"/>
    </row>
    <row r="239">
      <c r="A239" s="99"/>
      <c r="B239" s="99"/>
      <c r="C239" s="226"/>
      <c r="E239" s="227"/>
      <c r="F239" s="227"/>
      <c r="G239" s="227"/>
      <c r="H239" s="295"/>
      <c r="I239" s="278"/>
      <c r="J239" s="296"/>
      <c r="K239" s="232"/>
      <c r="L239" s="278"/>
      <c r="M239" s="293"/>
    </row>
    <row r="240">
      <c r="A240" s="99"/>
      <c r="B240" s="99"/>
      <c r="C240" s="226"/>
      <c r="E240" s="227"/>
      <c r="F240" s="227"/>
      <c r="G240" s="227"/>
      <c r="H240" s="295"/>
      <c r="I240" s="278"/>
      <c r="J240" s="296"/>
      <c r="K240" s="232"/>
      <c r="L240" s="278"/>
      <c r="M240" s="293"/>
    </row>
    <row r="241">
      <c r="A241" s="99"/>
      <c r="B241" s="99"/>
      <c r="C241" s="226"/>
      <c r="E241" s="227"/>
      <c r="F241" s="227"/>
      <c r="G241" s="227"/>
      <c r="H241" s="295"/>
      <c r="I241" s="278"/>
      <c r="J241" s="296"/>
      <c r="K241" s="232"/>
      <c r="L241" s="278"/>
      <c r="M241" s="293"/>
    </row>
    <row r="242">
      <c r="A242" s="99"/>
      <c r="B242" s="99"/>
      <c r="C242" s="226"/>
      <c r="E242" s="227"/>
      <c r="F242" s="227"/>
      <c r="G242" s="227"/>
      <c r="H242" s="295"/>
      <c r="I242" s="278"/>
      <c r="J242" s="296"/>
      <c r="K242" s="232"/>
      <c r="L242" s="278"/>
      <c r="M242" s="293"/>
    </row>
    <row r="243">
      <c r="A243" s="99"/>
      <c r="B243" s="99"/>
      <c r="C243" s="226"/>
      <c r="E243" s="227"/>
      <c r="F243" s="227"/>
      <c r="G243" s="227"/>
      <c r="H243" s="295"/>
      <c r="I243" s="278"/>
      <c r="J243" s="296"/>
      <c r="K243" s="232"/>
      <c r="L243" s="278"/>
      <c r="M243" s="293"/>
    </row>
    <row r="244">
      <c r="A244" s="99"/>
      <c r="B244" s="99"/>
      <c r="C244" s="226"/>
      <c r="E244" s="227"/>
      <c r="F244" s="227"/>
      <c r="G244" s="227"/>
      <c r="H244" s="295"/>
      <c r="I244" s="278"/>
      <c r="J244" s="296"/>
      <c r="K244" s="232"/>
      <c r="L244" s="278"/>
      <c r="M244" s="293"/>
    </row>
    <row r="245">
      <c r="A245" s="99"/>
      <c r="B245" s="99"/>
      <c r="C245" s="226"/>
      <c r="E245" s="227"/>
      <c r="F245" s="227"/>
      <c r="G245" s="227"/>
      <c r="H245" s="295"/>
      <c r="I245" s="278"/>
      <c r="J245" s="296"/>
      <c r="K245" s="232"/>
      <c r="L245" s="278"/>
      <c r="M245" s="293"/>
    </row>
    <row r="246">
      <c r="A246" s="99"/>
      <c r="B246" s="99"/>
      <c r="C246" s="226"/>
      <c r="E246" s="227"/>
      <c r="F246" s="227"/>
      <c r="G246" s="227"/>
      <c r="H246" s="295"/>
      <c r="I246" s="278"/>
      <c r="J246" s="296"/>
      <c r="K246" s="232"/>
      <c r="L246" s="278"/>
      <c r="M246" s="293"/>
    </row>
    <row r="247">
      <c r="A247" s="99"/>
      <c r="B247" s="99"/>
      <c r="C247" s="226"/>
      <c r="E247" s="227"/>
      <c r="F247" s="227"/>
      <c r="G247" s="227"/>
      <c r="H247" s="295"/>
      <c r="I247" s="278"/>
      <c r="J247" s="296"/>
      <c r="K247" s="232"/>
      <c r="L247" s="278"/>
      <c r="M247" s="293"/>
    </row>
    <row r="248">
      <c r="A248" s="99"/>
      <c r="B248" s="99"/>
      <c r="C248" s="226"/>
      <c r="E248" s="227"/>
      <c r="F248" s="227"/>
      <c r="G248" s="227"/>
      <c r="H248" s="295"/>
      <c r="I248" s="278"/>
      <c r="J248" s="296"/>
      <c r="K248" s="232"/>
      <c r="L248" s="278"/>
      <c r="M248" s="293"/>
    </row>
    <row r="249">
      <c r="A249" s="99"/>
      <c r="B249" s="99"/>
      <c r="C249" s="226"/>
      <c r="E249" s="227"/>
      <c r="F249" s="227"/>
      <c r="G249" s="227"/>
      <c r="H249" s="295"/>
      <c r="I249" s="278"/>
      <c r="J249" s="296"/>
      <c r="K249" s="232"/>
      <c r="L249" s="278"/>
      <c r="M249" s="293"/>
    </row>
    <row r="250">
      <c r="A250" s="99"/>
      <c r="B250" s="99"/>
      <c r="C250" s="226"/>
      <c r="E250" s="227"/>
      <c r="F250" s="227"/>
      <c r="G250" s="227"/>
      <c r="H250" s="295"/>
      <c r="I250" s="278"/>
      <c r="J250" s="296"/>
      <c r="K250" s="232"/>
      <c r="L250" s="278"/>
      <c r="M250" s="293"/>
    </row>
    <row r="251">
      <c r="A251" s="99"/>
      <c r="B251" s="99"/>
      <c r="C251" s="226"/>
      <c r="E251" s="227"/>
      <c r="F251" s="227"/>
      <c r="G251" s="227"/>
      <c r="H251" s="295"/>
      <c r="I251" s="278"/>
      <c r="J251" s="296"/>
      <c r="K251" s="232"/>
      <c r="L251" s="278"/>
      <c r="M251" s="293"/>
    </row>
    <row r="252">
      <c r="A252" s="99"/>
      <c r="B252" s="99"/>
      <c r="C252" s="226"/>
      <c r="E252" s="227"/>
      <c r="F252" s="227"/>
      <c r="G252" s="227"/>
      <c r="H252" s="295"/>
      <c r="I252" s="278"/>
      <c r="J252" s="296"/>
      <c r="K252" s="232"/>
      <c r="L252" s="278"/>
      <c r="M252" s="293"/>
    </row>
    <row r="253">
      <c r="A253" s="99"/>
      <c r="B253" s="99"/>
      <c r="C253" s="226"/>
      <c r="E253" s="227"/>
      <c r="F253" s="227"/>
      <c r="G253" s="227"/>
      <c r="H253" s="295"/>
      <c r="I253" s="278"/>
      <c r="J253" s="296"/>
      <c r="K253" s="232"/>
      <c r="L253" s="278"/>
      <c r="M253" s="293"/>
    </row>
    <row r="254">
      <c r="A254" s="99"/>
      <c r="B254" s="99"/>
      <c r="C254" s="226"/>
      <c r="E254" s="227"/>
      <c r="F254" s="227"/>
      <c r="G254" s="227"/>
      <c r="H254" s="295"/>
      <c r="I254" s="278"/>
      <c r="J254" s="296"/>
      <c r="K254" s="232"/>
      <c r="L254" s="278"/>
      <c r="M254" s="293"/>
    </row>
    <row r="255">
      <c r="A255" s="99"/>
      <c r="B255" s="99"/>
      <c r="C255" s="226"/>
      <c r="E255" s="227"/>
      <c r="F255" s="227"/>
      <c r="G255" s="227"/>
      <c r="H255" s="295"/>
      <c r="I255" s="278"/>
      <c r="J255" s="296"/>
      <c r="K255" s="232"/>
      <c r="L255" s="278"/>
      <c r="M255" s="293"/>
    </row>
    <row r="256">
      <c r="A256" s="99"/>
      <c r="B256" s="99"/>
      <c r="C256" s="226"/>
      <c r="E256" s="227"/>
      <c r="F256" s="227"/>
      <c r="G256" s="227"/>
      <c r="H256" s="295"/>
      <c r="I256" s="278"/>
      <c r="J256" s="296"/>
      <c r="K256" s="232"/>
      <c r="L256" s="278"/>
      <c r="M256" s="293"/>
    </row>
    <row r="257">
      <c r="A257" s="99"/>
      <c r="B257" s="99"/>
      <c r="C257" s="226"/>
      <c r="E257" s="227"/>
      <c r="F257" s="227"/>
      <c r="G257" s="227"/>
      <c r="H257" s="295"/>
      <c r="I257" s="278"/>
      <c r="J257" s="296"/>
      <c r="K257" s="232"/>
      <c r="L257" s="278"/>
      <c r="M257" s="293"/>
    </row>
    <row r="258">
      <c r="A258" s="99"/>
      <c r="B258" s="99"/>
      <c r="C258" s="226"/>
      <c r="E258" s="227"/>
      <c r="F258" s="227"/>
      <c r="G258" s="227"/>
      <c r="H258" s="295"/>
      <c r="I258" s="278"/>
      <c r="J258" s="296"/>
      <c r="K258" s="232"/>
      <c r="L258" s="278"/>
      <c r="M258" s="293"/>
    </row>
    <row r="259">
      <c r="A259" s="99"/>
      <c r="B259" s="99"/>
      <c r="C259" s="226"/>
      <c r="E259" s="227"/>
      <c r="F259" s="227"/>
      <c r="G259" s="227"/>
      <c r="H259" s="295"/>
      <c r="I259" s="278"/>
      <c r="J259" s="296"/>
      <c r="K259" s="232"/>
      <c r="L259" s="278"/>
      <c r="M259" s="293"/>
    </row>
    <row r="260">
      <c r="A260" s="99"/>
      <c r="B260" s="99"/>
      <c r="C260" s="226"/>
      <c r="E260" s="227"/>
      <c r="F260" s="227"/>
      <c r="G260" s="227"/>
      <c r="H260" s="295"/>
      <c r="I260" s="278"/>
      <c r="J260" s="296"/>
      <c r="K260" s="232"/>
      <c r="L260" s="278"/>
      <c r="M260" s="293"/>
    </row>
    <row r="261">
      <c r="A261" s="99"/>
      <c r="B261" s="99"/>
      <c r="C261" s="226"/>
      <c r="E261" s="227"/>
      <c r="F261" s="227"/>
      <c r="G261" s="227"/>
      <c r="H261" s="295"/>
      <c r="I261" s="278"/>
      <c r="J261" s="296"/>
      <c r="K261" s="232"/>
      <c r="L261" s="278"/>
      <c r="M261" s="293"/>
    </row>
    <row r="262">
      <c r="A262" s="99"/>
      <c r="B262" s="99"/>
      <c r="C262" s="226"/>
      <c r="E262" s="227"/>
      <c r="F262" s="227"/>
      <c r="G262" s="227"/>
      <c r="H262" s="295"/>
      <c r="I262" s="278"/>
      <c r="J262" s="296"/>
      <c r="K262" s="232"/>
      <c r="L262" s="278"/>
      <c r="M262" s="293"/>
    </row>
    <row r="263">
      <c r="A263" s="99"/>
      <c r="B263" s="99"/>
      <c r="C263" s="226"/>
      <c r="E263" s="227"/>
      <c r="F263" s="227"/>
      <c r="G263" s="227"/>
      <c r="H263" s="295"/>
      <c r="I263" s="278"/>
      <c r="J263" s="296"/>
      <c r="K263" s="232"/>
      <c r="L263" s="278"/>
      <c r="M263" s="293"/>
    </row>
    <row r="264">
      <c r="A264" s="99"/>
      <c r="B264" s="99"/>
      <c r="C264" s="226"/>
      <c r="E264" s="227"/>
      <c r="F264" s="227"/>
      <c r="G264" s="227"/>
      <c r="H264" s="295"/>
      <c r="I264" s="278"/>
      <c r="J264" s="296"/>
      <c r="K264" s="232"/>
      <c r="L264" s="278"/>
      <c r="M264" s="293"/>
    </row>
    <row r="265">
      <c r="A265" s="99"/>
      <c r="B265" s="99"/>
      <c r="C265" s="226"/>
      <c r="E265" s="227"/>
      <c r="F265" s="227"/>
      <c r="G265" s="227"/>
      <c r="H265" s="295"/>
      <c r="I265" s="278"/>
      <c r="J265" s="296"/>
      <c r="K265" s="232"/>
      <c r="L265" s="278"/>
      <c r="M265" s="293"/>
    </row>
    <row r="266">
      <c r="A266" s="99"/>
      <c r="B266" s="99"/>
      <c r="C266" s="226"/>
      <c r="E266" s="227"/>
      <c r="F266" s="227"/>
      <c r="G266" s="227"/>
      <c r="H266" s="295"/>
      <c r="I266" s="278"/>
      <c r="J266" s="296"/>
      <c r="K266" s="232"/>
      <c r="L266" s="278"/>
      <c r="M266" s="293"/>
    </row>
    <row r="267">
      <c r="A267" s="99"/>
      <c r="B267" s="99"/>
      <c r="C267" s="226"/>
      <c r="E267" s="227"/>
      <c r="F267" s="227"/>
      <c r="G267" s="227"/>
      <c r="H267" s="295"/>
      <c r="I267" s="278"/>
      <c r="J267" s="296"/>
      <c r="K267" s="232"/>
      <c r="L267" s="278"/>
      <c r="M267" s="293"/>
    </row>
    <row r="268">
      <c r="A268" s="99"/>
      <c r="B268" s="99"/>
      <c r="C268" s="226"/>
      <c r="E268" s="227"/>
      <c r="F268" s="227"/>
      <c r="G268" s="227"/>
      <c r="H268" s="295"/>
      <c r="I268" s="278"/>
      <c r="J268" s="296"/>
      <c r="K268" s="232"/>
      <c r="L268" s="278"/>
      <c r="M268" s="293"/>
    </row>
    <row r="269">
      <c r="A269" s="99"/>
      <c r="B269" s="99"/>
      <c r="C269" s="226"/>
      <c r="E269" s="227"/>
      <c r="F269" s="227"/>
      <c r="G269" s="227"/>
      <c r="H269" s="295"/>
      <c r="I269" s="278"/>
      <c r="J269" s="296"/>
      <c r="K269" s="232"/>
      <c r="L269" s="278"/>
      <c r="M269" s="293"/>
    </row>
    <row r="270">
      <c r="A270" s="99"/>
      <c r="B270" s="99"/>
      <c r="C270" s="226"/>
      <c r="E270" s="227"/>
      <c r="F270" s="227"/>
      <c r="G270" s="227"/>
      <c r="H270" s="295"/>
      <c r="I270" s="278"/>
      <c r="J270" s="296"/>
      <c r="K270" s="232"/>
      <c r="L270" s="278"/>
      <c r="M270" s="293"/>
    </row>
    <row r="271">
      <c r="A271" s="99"/>
      <c r="B271" s="99"/>
      <c r="C271" s="226"/>
      <c r="E271" s="227"/>
      <c r="F271" s="227"/>
      <c r="G271" s="227"/>
      <c r="H271" s="295"/>
      <c r="I271" s="278"/>
      <c r="J271" s="296"/>
      <c r="K271" s="232"/>
      <c r="L271" s="278"/>
      <c r="M271" s="293"/>
    </row>
    <row r="272">
      <c r="A272" s="99"/>
      <c r="B272" s="99"/>
      <c r="C272" s="226"/>
      <c r="E272" s="227"/>
      <c r="F272" s="227"/>
      <c r="G272" s="227"/>
      <c r="H272" s="295"/>
      <c r="I272" s="278"/>
      <c r="J272" s="296"/>
      <c r="K272" s="232"/>
      <c r="L272" s="278"/>
      <c r="M272" s="293"/>
    </row>
    <row r="273">
      <c r="A273" s="99"/>
      <c r="B273" s="99"/>
      <c r="C273" s="226"/>
      <c r="E273" s="227"/>
      <c r="F273" s="227"/>
      <c r="G273" s="227"/>
      <c r="H273" s="295"/>
      <c r="I273" s="278"/>
      <c r="J273" s="296"/>
      <c r="K273" s="232"/>
      <c r="L273" s="278"/>
      <c r="M273" s="293"/>
    </row>
    <row r="274">
      <c r="A274" s="99"/>
      <c r="B274" s="99"/>
      <c r="C274" s="226"/>
      <c r="E274" s="227"/>
      <c r="F274" s="227"/>
      <c r="G274" s="227"/>
      <c r="H274" s="295"/>
      <c r="I274" s="278"/>
      <c r="J274" s="296"/>
      <c r="K274" s="232"/>
      <c r="L274" s="278"/>
      <c r="M274" s="293"/>
    </row>
    <row r="275">
      <c r="A275" s="99"/>
      <c r="B275" s="99"/>
      <c r="C275" s="226"/>
      <c r="E275" s="227"/>
      <c r="F275" s="227"/>
      <c r="G275" s="227"/>
      <c r="H275" s="295"/>
      <c r="I275" s="278"/>
      <c r="J275" s="296"/>
      <c r="K275" s="232"/>
      <c r="L275" s="278"/>
      <c r="M275" s="293"/>
    </row>
    <row r="276">
      <c r="A276" s="99"/>
      <c r="B276" s="99"/>
      <c r="C276" s="226"/>
      <c r="E276" s="227"/>
      <c r="F276" s="227"/>
      <c r="G276" s="227"/>
      <c r="H276" s="295"/>
      <c r="I276" s="278"/>
      <c r="J276" s="296"/>
      <c r="K276" s="232"/>
      <c r="L276" s="278"/>
      <c r="M276" s="293"/>
    </row>
    <row r="277">
      <c r="A277" s="99"/>
      <c r="B277" s="99"/>
      <c r="C277" s="226"/>
      <c r="E277" s="227"/>
      <c r="F277" s="227"/>
      <c r="G277" s="227"/>
      <c r="H277" s="295"/>
      <c r="I277" s="278"/>
      <c r="J277" s="296"/>
      <c r="K277" s="232"/>
      <c r="L277" s="278"/>
      <c r="M277" s="293"/>
    </row>
    <row r="278">
      <c r="A278" s="99"/>
      <c r="B278" s="99"/>
      <c r="C278" s="226"/>
      <c r="E278" s="227"/>
      <c r="F278" s="227"/>
      <c r="G278" s="227"/>
      <c r="H278" s="295"/>
      <c r="I278" s="278"/>
      <c r="J278" s="296"/>
      <c r="K278" s="232"/>
      <c r="L278" s="278"/>
      <c r="M278" s="293"/>
    </row>
    <row r="279">
      <c r="A279" s="99"/>
      <c r="B279" s="99"/>
      <c r="C279" s="226"/>
      <c r="E279" s="227"/>
      <c r="F279" s="227"/>
      <c r="G279" s="227"/>
      <c r="H279" s="295"/>
      <c r="I279" s="278"/>
      <c r="J279" s="296"/>
      <c r="K279" s="232"/>
      <c r="L279" s="278"/>
      <c r="M279" s="293"/>
    </row>
    <row r="280">
      <c r="A280" s="99"/>
      <c r="B280" s="99"/>
      <c r="C280" s="226"/>
      <c r="E280" s="227"/>
      <c r="F280" s="227"/>
      <c r="G280" s="227"/>
      <c r="H280" s="295"/>
      <c r="I280" s="278"/>
      <c r="J280" s="296"/>
      <c r="K280" s="232"/>
      <c r="L280" s="278"/>
      <c r="M280" s="293"/>
    </row>
    <row r="281">
      <c r="A281" s="99"/>
      <c r="B281" s="99"/>
      <c r="C281" s="226"/>
      <c r="E281" s="227"/>
      <c r="F281" s="227"/>
      <c r="G281" s="227"/>
      <c r="H281" s="295"/>
      <c r="I281" s="278"/>
      <c r="J281" s="296"/>
      <c r="K281" s="232"/>
      <c r="L281" s="278"/>
      <c r="M281" s="293"/>
    </row>
    <row r="282">
      <c r="A282" s="99"/>
      <c r="B282" s="99"/>
      <c r="C282" s="226"/>
      <c r="E282" s="227"/>
      <c r="F282" s="227"/>
      <c r="G282" s="227"/>
      <c r="H282" s="295"/>
      <c r="I282" s="278"/>
      <c r="J282" s="296"/>
      <c r="K282" s="232"/>
      <c r="L282" s="278"/>
      <c r="M282" s="293"/>
    </row>
    <row r="283">
      <c r="A283" s="99"/>
      <c r="B283" s="99"/>
      <c r="C283" s="226"/>
      <c r="E283" s="227"/>
      <c r="F283" s="227"/>
      <c r="G283" s="227"/>
      <c r="H283" s="295"/>
      <c r="I283" s="278"/>
      <c r="J283" s="296"/>
      <c r="K283" s="232"/>
      <c r="L283" s="278"/>
      <c r="M283" s="293"/>
    </row>
    <row r="284">
      <c r="A284" s="99"/>
      <c r="B284" s="99"/>
      <c r="C284" s="226"/>
      <c r="E284" s="227"/>
      <c r="F284" s="227"/>
      <c r="G284" s="227"/>
      <c r="H284" s="295"/>
      <c r="I284" s="278"/>
      <c r="J284" s="296"/>
      <c r="K284" s="232"/>
      <c r="L284" s="278"/>
      <c r="M284" s="293"/>
    </row>
    <row r="285">
      <c r="A285" s="99"/>
      <c r="B285" s="99"/>
      <c r="C285" s="226"/>
      <c r="E285" s="227"/>
      <c r="F285" s="227"/>
      <c r="G285" s="227"/>
      <c r="H285" s="295"/>
      <c r="I285" s="278"/>
      <c r="J285" s="296"/>
      <c r="K285" s="232"/>
      <c r="L285" s="278"/>
      <c r="M285" s="293"/>
    </row>
    <row r="286">
      <c r="A286" s="99"/>
      <c r="B286" s="99"/>
      <c r="C286" s="226"/>
      <c r="E286" s="227"/>
      <c r="F286" s="227"/>
      <c r="G286" s="227"/>
      <c r="H286" s="295"/>
      <c r="I286" s="278"/>
      <c r="J286" s="296"/>
      <c r="K286" s="232"/>
      <c r="L286" s="278"/>
      <c r="M286" s="293"/>
    </row>
    <row r="287">
      <c r="A287" s="99"/>
      <c r="B287" s="99"/>
      <c r="C287" s="226"/>
      <c r="E287" s="227"/>
      <c r="F287" s="227"/>
      <c r="G287" s="227"/>
      <c r="H287" s="295"/>
      <c r="I287" s="278"/>
      <c r="J287" s="296"/>
      <c r="K287" s="232"/>
      <c r="L287" s="278"/>
      <c r="M287" s="293"/>
    </row>
    <row r="288">
      <c r="A288" s="99"/>
      <c r="B288" s="99"/>
      <c r="C288" s="226"/>
      <c r="E288" s="227"/>
      <c r="F288" s="227"/>
      <c r="G288" s="227"/>
      <c r="H288" s="295"/>
      <c r="I288" s="278"/>
      <c r="J288" s="296"/>
      <c r="K288" s="232"/>
      <c r="L288" s="278"/>
      <c r="M288" s="293"/>
    </row>
    <row r="289">
      <c r="A289" s="99"/>
      <c r="B289" s="99"/>
      <c r="C289" s="226"/>
      <c r="E289" s="227"/>
      <c r="F289" s="227"/>
      <c r="G289" s="227"/>
      <c r="H289" s="295"/>
      <c r="I289" s="278"/>
      <c r="J289" s="296"/>
      <c r="K289" s="232"/>
      <c r="L289" s="278"/>
      <c r="M289" s="293"/>
    </row>
    <row r="290">
      <c r="A290" s="99"/>
      <c r="B290" s="99"/>
      <c r="C290" s="226"/>
      <c r="E290" s="227"/>
      <c r="F290" s="227"/>
      <c r="G290" s="227"/>
      <c r="H290" s="295"/>
      <c r="I290" s="278"/>
      <c r="J290" s="296"/>
      <c r="K290" s="232"/>
      <c r="L290" s="278"/>
      <c r="M290" s="293"/>
    </row>
    <row r="291">
      <c r="A291" s="99"/>
      <c r="B291" s="99"/>
      <c r="C291" s="226"/>
      <c r="E291" s="227"/>
      <c r="F291" s="227"/>
      <c r="G291" s="227"/>
      <c r="H291" s="295"/>
      <c r="I291" s="278"/>
      <c r="J291" s="296"/>
      <c r="K291" s="232"/>
      <c r="L291" s="278"/>
      <c r="M291" s="293"/>
    </row>
    <row r="292">
      <c r="A292" s="99"/>
      <c r="B292" s="99"/>
      <c r="C292" s="226"/>
      <c r="E292" s="227"/>
      <c r="F292" s="227"/>
      <c r="G292" s="227"/>
      <c r="H292" s="295"/>
      <c r="I292" s="278"/>
      <c r="J292" s="296"/>
      <c r="K292" s="232"/>
      <c r="L292" s="278"/>
      <c r="M292" s="293"/>
    </row>
    <row r="293">
      <c r="A293" s="99"/>
      <c r="B293" s="99"/>
      <c r="C293" s="226"/>
      <c r="E293" s="227"/>
      <c r="F293" s="227"/>
      <c r="G293" s="227"/>
      <c r="H293" s="295"/>
      <c r="I293" s="278"/>
      <c r="J293" s="296"/>
      <c r="K293" s="232"/>
      <c r="L293" s="278"/>
      <c r="M293" s="293"/>
    </row>
    <row r="294">
      <c r="A294" s="99"/>
      <c r="B294" s="99"/>
      <c r="C294" s="226"/>
      <c r="E294" s="227"/>
      <c r="F294" s="227"/>
      <c r="G294" s="227"/>
      <c r="H294" s="295"/>
      <c r="I294" s="278"/>
      <c r="J294" s="296"/>
      <c r="K294" s="232"/>
      <c r="L294" s="278"/>
      <c r="M294" s="293"/>
    </row>
    <row r="295">
      <c r="A295" s="99"/>
      <c r="B295" s="99"/>
      <c r="C295" s="226"/>
      <c r="E295" s="227"/>
      <c r="F295" s="227"/>
      <c r="G295" s="227"/>
      <c r="H295" s="295"/>
      <c r="I295" s="278"/>
      <c r="J295" s="296"/>
      <c r="K295" s="232"/>
      <c r="L295" s="278"/>
      <c r="M295" s="293"/>
    </row>
    <row r="296">
      <c r="A296" s="99"/>
      <c r="B296" s="99"/>
      <c r="C296" s="226"/>
      <c r="E296" s="227"/>
      <c r="F296" s="227"/>
      <c r="G296" s="227"/>
      <c r="H296" s="295"/>
      <c r="I296" s="278"/>
      <c r="J296" s="296"/>
      <c r="K296" s="232"/>
      <c r="L296" s="278"/>
      <c r="M296" s="293"/>
    </row>
    <row r="297">
      <c r="A297" s="99"/>
      <c r="B297" s="99"/>
      <c r="C297" s="226"/>
      <c r="E297" s="227"/>
      <c r="F297" s="227"/>
      <c r="G297" s="227"/>
      <c r="H297" s="295"/>
      <c r="I297" s="278"/>
      <c r="J297" s="296"/>
      <c r="K297" s="232"/>
      <c r="L297" s="278"/>
      <c r="M297" s="293"/>
    </row>
    <row r="298">
      <c r="A298" s="99"/>
      <c r="B298" s="99"/>
      <c r="C298" s="226"/>
      <c r="E298" s="227"/>
      <c r="F298" s="227"/>
      <c r="G298" s="227"/>
      <c r="H298" s="295"/>
      <c r="I298" s="278"/>
      <c r="J298" s="296"/>
      <c r="K298" s="232"/>
      <c r="L298" s="278"/>
      <c r="M298" s="293"/>
    </row>
    <row r="299">
      <c r="A299" s="99"/>
      <c r="B299" s="99"/>
      <c r="C299" s="226"/>
      <c r="E299" s="227"/>
      <c r="F299" s="227"/>
      <c r="G299" s="227"/>
      <c r="H299" s="295"/>
      <c r="I299" s="278"/>
      <c r="J299" s="296"/>
      <c r="K299" s="232"/>
      <c r="L299" s="278"/>
      <c r="M299" s="293"/>
    </row>
    <row r="300">
      <c r="A300" s="99"/>
      <c r="B300" s="99"/>
      <c r="C300" s="226"/>
      <c r="E300" s="227"/>
      <c r="F300" s="227"/>
      <c r="G300" s="227"/>
      <c r="H300" s="295"/>
      <c r="I300" s="278"/>
      <c r="J300" s="296"/>
      <c r="K300" s="232"/>
      <c r="L300" s="278"/>
      <c r="M300" s="293"/>
    </row>
    <row r="301">
      <c r="A301" s="99"/>
      <c r="B301" s="99"/>
      <c r="C301" s="226"/>
      <c r="E301" s="227"/>
      <c r="F301" s="227"/>
      <c r="G301" s="227"/>
      <c r="H301" s="295"/>
      <c r="I301" s="278"/>
      <c r="J301" s="296"/>
      <c r="K301" s="232"/>
      <c r="L301" s="278"/>
      <c r="M301" s="293"/>
    </row>
    <row r="302">
      <c r="A302" s="99"/>
      <c r="B302" s="99"/>
      <c r="C302" s="226"/>
      <c r="E302" s="227"/>
      <c r="F302" s="227"/>
      <c r="G302" s="227"/>
      <c r="H302" s="295"/>
      <c r="I302" s="278"/>
      <c r="J302" s="296"/>
      <c r="K302" s="232"/>
      <c r="L302" s="278"/>
      <c r="M302" s="293"/>
    </row>
    <row r="303">
      <c r="A303" s="99"/>
      <c r="B303" s="99"/>
      <c r="C303" s="226"/>
      <c r="E303" s="227"/>
      <c r="F303" s="227"/>
      <c r="G303" s="227"/>
      <c r="H303" s="295"/>
      <c r="I303" s="278"/>
      <c r="J303" s="296"/>
      <c r="K303" s="232"/>
      <c r="L303" s="278"/>
      <c r="M303" s="293"/>
    </row>
    <row r="304">
      <c r="A304" s="99"/>
      <c r="B304" s="99"/>
      <c r="C304" s="226"/>
      <c r="E304" s="227"/>
      <c r="F304" s="227"/>
      <c r="G304" s="227"/>
      <c r="H304" s="295"/>
      <c r="I304" s="278"/>
      <c r="J304" s="296"/>
      <c r="K304" s="232"/>
      <c r="L304" s="278"/>
      <c r="M304" s="293"/>
    </row>
    <row r="305">
      <c r="A305" s="99"/>
      <c r="B305" s="99"/>
      <c r="C305" s="226"/>
      <c r="E305" s="227"/>
      <c r="F305" s="227"/>
      <c r="G305" s="227"/>
      <c r="H305" s="295"/>
      <c r="I305" s="278"/>
      <c r="J305" s="296"/>
      <c r="K305" s="232"/>
      <c r="L305" s="278"/>
      <c r="M305" s="293"/>
    </row>
    <row r="306">
      <c r="A306" s="99"/>
      <c r="B306" s="99"/>
      <c r="C306" s="226"/>
      <c r="E306" s="227"/>
      <c r="F306" s="227"/>
      <c r="G306" s="227"/>
      <c r="H306" s="295"/>
      <c r="I306" s="278"/>
      <c r="J306" s="296"/>
      <c r="K306" s="232"/>
      <c r="L306" s="278"/>
      <c r="M306" s="293"/>
    </row>
    <row r="307">
      <c r="A307" s="99"/>
      <c r="B307" s="99"/>
      <c r="C307" s="226"/>
      <c r="E307" s="227"/>
      <c r="F307" s="227"/>
      <c r="G307" s="227"/>
      <c r="H307" s="295"/>
      <c r="I307" s="278"/>
      <c r="J307" s="296"/>
      <c r="K307" s="232"/>
      <c r="L307" s="278"/>
      <c r="M307" s="293"/>
    </row>
    <row r="308">
      <c r="A308" s="99"/>
      <c r="B308" s="99"/>
      <c r="C308" s="226"/>
      <c r="E308" s="227"/>
      <c r="F308" s="227"/>
      <c r="G308" s="227"/>
      <c r="H308" s="295"/>
      <c r="I308" s="278"/>
      <c r="J308" s="296"/>
      <c r="K308" s="232"/>
      <c r="L308" s="278"/>
      <c r="M308" s="293"/>
    </row>
    <row r="309">
      <c r="A309" s="99"/>
      <c r="B309" s="99"/>
      <c r="C309" s="226"/>
      <c r="E309" s="227"/>
      <c r="F309" s="227"/>
      <c r="G309" s="227"/>
      <c r="H309" s="295"/>
      <c r="I309" s="278"/>
      <c r="J309" s="296"/>
      <c r="K309" s="232"/>
      <c r="L309" s="278"/>
      <c r="M309" s="293"/>
    </row>
    <row r="310">
      <c r="A310" s="99"/>
      <c r="B310" s="99"/>
      <c r="C310" s="226"/>
      <c r="E310" s="227"/>
      <c r="F310" s="227"/>
      <c r="G310" s="227"/>
      <c r="H310" s="295"/>
      <c r="I310" s="278"/>
      <c r="J310" s="296"/>
      <c r="K310" s="232"/>
      <c r="L310" s="278"/>
      <c r="M310" s="293"/>
    </row>
    <row r="311">
      <c r="A311" s="99"/>
      <c r="B311" s="99"/>
      <c r="C311" s="226"/>
      <c r="E311" s="227"/>
      <c r="F311" s="227"/>
      <c r="G311" s="227"/>
      <c r="H311" s="295"/>
      <c r="I311" s="278"/>
      <c r="J311" s="296"/>
      <c r="K311" s="232"/>
      <c r="L311" s="278"/>
      <c r="M311" s="293"/>
    </row>
    <row r="312">
      <c r="A312" s="99"/>
      <c r="B312" s="99"/>
      <c r="C312" s="226"/>
      <c r="E312" s="227"/>
      <c r="F312" s="227"/>
      <c r="G312" s="227"/>
      <c r="H312" s="295"/>
      <c r="I312" s="278"/>
      <c r="J312" s="296"/>
      <c r="K312" s="232"/>
      <c r="L312" s="278"/>
      <c r="M312" s="293"/>
    </row>
    <row r="313">
      <c r="A313" s="99"/>
      <c r="B313" s="99"/>
      <c r="C313" s="226"/>
      <c r="E313" s="227"/>
      <c r="F313" s="227"/>
      <c r="G313" s="227"/>
      <c r="H313" s="295"/>
      <c r="I313" s="278"/>
      <c r="J313" s="296"/>
      <c r="K313" s="232"/>
      <c r="L313" s="278"/>
      <c r="M313" s="293"/>
    </row>
    <row r="314">
      <c r="A314" s="99"/>
      <c r="B314" s="99"/>
      <c r="C314" s="226"/>
      <c r="E314" s="227"/>
      <c r="F314" s="227"/>
      <c r="G314" s="227"/>
      <c r="H314" s="295"/>
      <c r="I314" s="278"/>
      <c r="J314" s="296"/>
      <c r="K314" s="232"/>
      <c r="L314" s="278"/>
      <c r="M314" s="293"/>
    </row>
    <row r="315">
      <c r="A315" s="99"/>
      <c r="B315" s="99"/>
      <c r="C315" s="226"/>
      <c r="E315" s="227"/>
      <c r="F315" s="227"/>
      <c r="G315" s="227"/>
      <c r="H315" s="295"/>
      <c r="I315" s="278"/>
      <c r="J315" s="296"/>
      <c r="K315" s="232"/>
      <c r="L315" s="278"/>
      <c r="M315" s="293"/>
    </row>
    <row r="316">
      <c r="A316" s="99"/>
      <c r="B316" s="99"/>
      <c r="C316" s="226"/>
      <c r="E316" s="227"/>
      <c r="F316" s="227"/>
      <c r="G316" s="227"/>
      <c r="H316" s="295"/>
      <c r="I316" s="278"/>
      <c r="J316" s="296"/>
      <c r="K316" s="232"/>
      <c r="L316" s="278"/>
      <c r="M316" s="293"/>
    </row>
    <row r="317">
      <c r="A317" s="99"/>
      <c r="B317" s="99"/>
      <c r="C317" s="226"/>
      <c r="E317" s="227"/>
      <c r="F317" s="227"/>
      <c r="G317" s="227"/>
      <c r="H317" s="295"/>
      <c r="I317" s="278"/>
      <c r="J317" s="296"/>
      <c r="K317" s="232"/>
      <c r="L317" s="278"/>
      <c r="M317" s="293"/>
    </row>
    <row r="318">
      <c r="A318" s="99"/>
      <c r="B318" s="99"/>
      <c r="C318" s="226"/>
      <c r="E318" s="227"/>
      <c r="F318" s="227"/>
      <c r="G318" s="227"/>
      <c r="H318" s="295"/>
      <c r="I318" s="278"/>
      <c r="J318" s="296"/>
      <c r="K318" s="232"/>
      <c r="L318" s="278"/>
      <c r="M318" s="293"/>
    </row>
    <row r="319">
      <c r="A319" s="99"/>
      <c r="B319" s="99"/>
      <c r="C319" s="226"/>
      <c r="E319" s="227"/>
      <c r="F319" s="227"/>
      <c r="G319" s="227"/>
      <c r="H319" s="295"/>
      <c r="I319" s="278"/>
      <c r="J319" s="296"/>
      <c r="K319" s="232"/>
      <c r="L319" s="278"/>
      <c r="M319" s="293"/>
    </row>
    <row r="320">
      <c r="A320" s="99"/>
      <c r="B320" s="99"/>
      <c r="C320" s="226"/>
      <c r="E320" s="227"/>
      <c r="F320" s="227"/>
      <c r="G320" s="227"/>
      <c r="H320" s="295"/>
      <c r="I320" s="278"/>
      <c r="J320" s="296"/>
      <c r="K320" s="232"/>
      <c r="L320" s="278"/>
      <c r="M320" s="293"/>
    </row>
    <row r="321">
      <c r="A321" s="99"/>
      <c r="B321" s="99"/>
      <c r="C321" s="226"/>
      <c r="E321" s="227"/>
      <c r="F321" s="227"/>
      <c r="G321" s="227"/>
      <c r="H321" s="295"/>
      <c r="I321" s="278"/>
      <c r="J321" s="296"/>
      <c r="K321" s="232"/>
      <c r="L321" s="278"/>
      <c r="M321" s="293"/>
    </row>
    <row r="322">
      <c r="A322" s="99"/>
      <c r="B322" s="99"/>
      <c r="C322" s="226"/>
      <c r="E322" s="227"/>
      <c r="F322" s="227"/>
      <c r="G322" s="227"/>
      <c r="H322" s="295"/>
      <c r="I322" s="278"/>
      <c r="J322" s="296"/>
      <c r="K322" s="232"/>
      <c r="L322" s="278"/>
      <c r="M322" s="293"/>
    </row>
    <row r="323">
      <c r="A323" s="99"/>
      <c r="B323" s="99"/>
      <c r="C323" s="226"/>
      <c r="E323" s="227"/>
      <c r="F323" s="227"/>
      <c r="G323" s="227"/>
      <c r="H323" s="295"/>
      <c r="I323" s="278"/>
      <c r="J323" s="296"/>
      <c r="K323" s="232"/>
      <c r="L323" s="278"/>
      <c r="M323" s="293"/>
    </row>
    <row r="324">
      <c r="A324" s="99"/>
      <c r="B324" s="99"/>
      <c r="C324" s="226"/>
      <c r="E324" s="227"/>
      <c r="F324" s="227"/>
      <c r="G324" s="227"/>
      <c r="H324" s="295"/>
      <c r="I324" s="278"/>
      <c r="J324" s="296"/>
      <c r="K324" s="232"/>
      <c r="L324" s="278"/>
      <c r="M324" s="293"/>
    </row>
    <row r="325">
      <c r="A325" s="99"/>
      <c r="B325" s="99"/>
      <c r="C325" s="226"/>
      <c r="E325" s="227"/>
      <c r="F325" s="227"/>
      <c r="G325" s="227"/>
      <c r="H325" s="295"/>
      <c r="I325" s="278"/>
      <c r="J325" s="296"/>
      <c r="K325" s="232"/>
      <c r="L325" s="278"/>
      <c r="M325" s="293"/>
    </row>
    <row r="326">
      <c r="A326" s="99"/>
      <c r="B326" s="99"/>
      <c r="C326" s="226"/>
      <c r="E326" s="227"/>
      <c r="F326" s="227"/>
      <c r="G326" s="227"/>
      <c r="H326" s="295"/>
      <c r="I326" s="278"/>
      <c r="J326" s="296"/>
      <c r="K326" s="232"/>
      <c r="L326" s="278"/>
      <c r="M326" s="293"/>
    </row>
    <row r="327">
      <c r="A327" s="99"/>
      <c r="B327" s="99"/>
      <c r="C327" s="226"/>
      <c r="E327" s="227"/>
      <c r="F327" s="227"/>
      <c r="G327" s="227"/>
      <c r="H327" s="295"/>
      <c r="I327" s="278"/>
      <c r="J327" s="296"/>
      <c r="K327" s="232"/>
      <c r="L327" s="278"/>
      <c r="M327" s="293"/>
    </row>
    <row r="328">
      <c r="A328" s="99"/>
      <c r="B328" s="99"/>
      <c r="C328" s="226"/>
      <c r="E328" s="227"/>
      <c r="F328" s="227"/>
      <c r="G328" s="227"/>
      <c r="H328" s="295"/>
      <c r="I328" s="278"/>
      <c r="J328" s="296"/>
      <c r="K328" s="232"/>
      <c r="L328" s="278"/>
      <c r="M328" s="293"/>
    </row>
    <row r="329">
      <c r="A329" s="99"/>
      <c r="B329" s="99"/>
      <c r="C329" s="226"/>
      <c r="E329" s="227"/>
      <c r="F329" s="227"/>
      <c r="G329" s="227"/>
      <c r="H329" s="295"/>
      <c r="I329" s="278"/>
      <c r="J329" s="296"/>
      <c r="K329" s="232"/>
      <c r="L329" s="278"/>
      <c r="M329" s="293"/>
    </row>
    <row r="330">
      <c r="A330" s="99"/>
      <c r="B330" s="99"/>
      <c r="C330" s="226"/>
      <c r="E330" s="227"/>
      <c r="F330" s="227"/>
      <c r="G330" s="227"/>
      <c r="H330" s="295"/>
      <c r="I330" s="278"/>
      <c r="J330" s="296"/>
      <c r="K330" s="232"/>
      <c r="L330" s="278"/>
      <c r="M330" s="293"/>
    </row>
    <row r="331">
      <c r="A331" s="99"/>
      <c r="B331" s="99"/>
      <c r="C331" s="226"/>
      <c r="E331" s="227"/>
      <c r="F331" s="227"/>
      <c r="G331" s="227"/>
      <c r="H331" s="295"/>
      <c r="I331" s="278"/>
      <c r="J331" s="296"/>
      <c r="K331" s="232"/>
      <c r="L331" s="278"/>
      <c r="M331" s="293"/>
    </row>
    <row r="332">
      <c r="A332" s="99"/>
      <c r="B332" s="99"/>
      <c r="C332" s="226"/>
      <c r="E332" s="227"/>
      <c r="F332" s="227"/>
      <c r="G332" s="227"/>
      <c r="H332" s="295"/>
      <c r="I332" s="278"/>
      <c r="J332" s="296"/>
      <c r="K332" s="232"/>
      <c r="L332" s="278"/>
      <c r="M332" s="293"/>
    </row>
    <row r="333">
      <c r="A333" s="99"/>
      <c r="B333" s="99"/>
      <c r="C333" s="226"/>
      <c r="E333" s="227"/>
      <c r="F333" s="227"/>
      <c r="G333" s="227"/>
      <c r="H333" s="295"/>
      <c r="I333" s="278"/>
      <c r="J333" s="296"/>
      <c r="K333" s="232"/>
      <c r="L333" s="278"/>
      <c r="M333" s="293"/>
    </row>
    <row r="334">
      <c r="A334" s="99"/>
      <c r="B334" s="99"/>
      <c r="C334" s="226"/>
      <c r="E334" s="227"/>
      <c r="F334" s="227"/>
      <c r="G334" s="227"/>
      <c r="H334" s="295"/>
      <c r="I334" s="278"/>
      <c r="J334" s="296"/>
      <c r="K334" s="232"/>
      <c r="L334" s="278"/>
      <c r="M334" s="293"/>
    </row>
    <row r="335">
      <c r="A335" s="99"/>
      <c r="B335" s="99"/>
      <c r="C335" s="226"/>
      <c r="E335" s="227"/>
      <c r="F335" s="227"/>
      <c r="G335" s="227"/>
      <c r="H335" s="295"/>
      <c r="I335" s="278"/>
      <c r="J335" s="296"/>
      <c r="K335" s="232"/>
      <c r="L335" s="278"/>
      <c r="M335" s="293"/>
    </row>
    <row r="336">
      <c r="A336" s="99"/>
      <c r="B336" s="99"/>
      <c r="C336" s="226"/>
      <c r="E336" s="227"/>
      <c r="F336" s="227"/>
      <c r="G336" s="227"/>
      <c r="H336" s="295"/>
      <c r="I336" s="278"/>
      <c r="J336" s="296"/>
      <c r="K336" s="232"/>
      <c r="L336" s="278"/>
      <c r="M336" s="293"/>
    </row>
    <row r="337">
      <c r="A337" s="99"/>
      <c r="B337" s="99"/>
      <c r="C337" s="226"/>
      <c r="E337" s="227"/>
      <c r="F337" s="227"/>
      <c r="G337" s="227"/>
      <c r="H337" s="295"/>
      <c r="I337" s="278"/>
      <c r="J337" s="296"/>
      <c r="K337" s="232"/>
      <c r="L337" s="278"/>
      <c r="M337" s="293"/>
    </row>
    <row r="338">
      <c r="A338" s="99"/>
      <c r="B338" s="99"/>
      <c r="C338" s="226"/>
      <c r="E338" s="227"/>
      <c r="F338" s="227"/>
      <c r="G338" s="227"/>
      <c r="H338" s="295"/>
      <c r="I338" s="278"/>
      <c r="J338" s="296"/>
      <c r="K338" s="232"/>
      <c r="L338" s="278"/>
      <c r="M338" s="293"/>
    </row>
    <row r="339">
      <c r="A339" s="99"/>
      <c r="B339" s="99"/>
      <c r="C339" s="226"/>
      <c r="E339" s="227"/>
      <c r="F339" s="227"/>
      <c r="G339" s="227"/>
      <c r="H339" s="295"/>
      <c r="I339" s="278"/>
      <c r="J339" s="296"/>
      <c r="K339" s="232"/>
      <c r="L339" s="278"/>
      <c r="M339" s="293"/>
    </row>
    <row r="340">
      <c r="A340" s="99"/>
      <c r="B340" s="99"/>
      <c r="C340" s="226"/>
      <c r="E340" s="227"/>
      <c r="F340" s="227"/>
      <c r="G340" s="227"/>
      <c r="H340" s="295"/>
      <c r="I340" s="278"/>
      <c r="J340" s="296"/>
      <c r="K340" s="232"/>
      <c r="L340" s="278"/>
      <c r="M340" s="293"/>
    </row>
    <row r="341">
      <c r="A341" s="99"/>
      <c r="B341" s="99"/>
      <c r="C341" s="226"/>
      <c r="E341" s="227"/>
      <c r="F341" s="227"/>
      <c r="G341" s="227"/>
      <c r="H341" s="295"/>
      <c r="I341" s="278"/>
      <c r="J341" s="296"/>
      <c r="K341" s="232"/>
      <c r="L341" s="278"/>
      <c r="M341" s="293"/>
    </row>
    <row r="342">
      <c r="A342" s="99"/>
      <c r="B342" s="99"/>
      <c r="C342" s="226"/>
      <c r="E342" s="227"/>
      <c r="F342" s="227"/>
      <c r="G342" s="227"/>
      <c r="H342" s="295"/>
      <c r="I342" s="278"/>
      <c r="J342" s="296"/>
      <c r="K342" s="232"/>
      <c r="L342" s="278"/>
      <c r="M342" s="293"/>
    </row>
    <row r="343">
      <c r="A343" s="99"/>
      <c r="B343" s="99"/>
      <c r="C343" s="226"/>
      <c r="E343" s="227"/>
      <c r="F343" s="227"/>
      <c r="G343" s="227"/>
      <c r="H343" s="295"/>
      <c r="I343" s="278"/>
      <c r="J343" s="296"/>
      <c r="K343" s="232"/>
      <c r="L343" s="278"/>
      <c r="M343" s="293"/>
    </row>
    <row r="344">
      <c r="A344" s="99"/>
      <c r="B344" s="99"/>
      <c r="C344" s="226"/>
      <c r="E344" s="227"/>
      <c r="F344" s="227"/>
      <c r="G344" s="227"/>
      <c r="H344" s="295"/>
      <c r="I344" s="278"/>
      <c r="J344" s="296"/>
      <c r="K344" s="232"/>
      <c r="L344" s="278"/>
      <c r="M344" s="293"/>
    </row>
    <row r="345">
      <c r="A345" s="99"/>
      <c r="B345" s="99"/>
      <c r="C345" s="226"/>
      <c r="E345" s="227"/>
      <c r="F345" s="227"/>
      <c r="G345" s="227"/>
      <c r="H345" s="295"/>
      <c r="I345" s="278"/>
      <c r="J345" s="296"/>
      <c r="K345" s="232"/>
      <c r="L345" s="278"/>
      <c r="M345" s="293"/>
    </row>
    <row r="346">
      <c r="A346" s="99"/>
      <c r="B346" s="99"/>
      <c r="C346" s="226"/>
      <c r="E346" s="227"/>
      <c r="F346" s="227"/>
      <c r="G346" s="227"/>
      <c r="H346" s="295"/>
      <c r="I346" s="278"/>
      <c r="J346" s="296"/>
      <c r="K346" s="232"/>
      <c r="L346" s="278"/>
      <c r="M346" s="293"/>
    </row>
    <row r="347">
      <c r="A347" s="99"/>
      <c r="B347" s="99"/>
      <c r="C347" s="226"/>
      <c r="E347" s="227"/>
      <c r="F347" s="227"/>
      <c r="G347" s="227"/>
      <c r="H347" s="295"/>
      <c r="I347" s="278"/>
      <c r="J347" s="296"/>
      <c r="K347" s="232"/>
      <c r="L347" s="278"/>
      <c r="M347" s="293"/>
    </row>
    <row r="348">
      <c r="A348" s="99"/>
      <c r="B348" s="99"/>
      <c r="C348" s="226"/>
      <c r="E348" s="227"/>
      <c r="F348" s="227"/>
      <c r="G348" s="227"/>
      <c r="H348" s="295"/>
      <c r="I348" s="278"/>
      <c r="J348" s="296"/>
      <c r="K348" s="232"/>
      <c r="L348" s="278"/>
      <c r="M348" s="293"/>
    </row>
    <row r="349">
      <c r="A349" s="99"/>
      <c r="B349" s="99"/>
      <c r="C349" s="226"/>
      <c r="E349" s="227"/>
      <c r="F349" s="227"/>
      <c r="G349" s="227"/>
      <c r="H349" s="295"/>
      <c r="I349" s="278"/>
      <c r="J349" s="296"/>
      <c r="K349" s="232"/>
      <c r="L349" s="278"/>
      <c r="M349" s="293"/>
    </row>
    <row r="350">
      <c r="A350" s="99"/>
      <c r="B350" s="99"/>
      <c r="C350" s="226"/>
      <c r="E350" s="227"/>
      <c r="F350" s="227"/>
      <c r="G350" s="227"/>
      <c r="H350" s="295"/>
      <c r="I350" s="278"/>
      <c r="J350" s="296"/>
      <c r="K350" s="232"/>
      <c r="L350" s="278"/>
      <c r="M350" s="293"/>
    </row>
    <row r="351">
      <c r="A351" s="99"/>
      <c r="B351" s="99"/>
      <c r="C351" s="226"/>
      <c r="E351" s="227"/>
      <c r="F351" s="227"/>
      <c r="G351" s="227"/>
      <c r="H351" s="295"/>
      <c r="I351" s="278"/>
      <c r="J351" s="296"/>
      <c r="K351" s="232"/>
      <c r="L351" s="278"/>
      <c r="M351" s="293"/>
    </row>
    <row r="352">
      <c r="A352" s="99"/>
      <c r="B352" s="99"/>
      <c r="C352" s="226"/>
      <c r="E352" s="227"/>
      <c r="F352" s="227"/>
      <c r="G352" s="227"/>
      <c r="H352" s="295"/>
      <c r="I352" s="278"/>
      <c r="J352" s="296"/>
      <c r="K352" s="232"/>
      <c r="L352" s="278"/>
      <c r="M352" s="293"/>
    </row>
    <row r="353">
      <c r="A353" s="99"/>
      <c r="B353" s="99"/>
      <c r="C353" s="226"/>
      <c r="E353" s="227"/>
      <c r="F353" s="227"/>
      <c r="G353" s="227"/>
      <c r="H353" s="295"/>
      <c r="I353" s="278"/>
      <c r="J353" s="296"/>
      <c r="K353" s="232"/>
      <c r="L353" s="278"/>
      <c r="M353" s="293"/>
    </row>
    <row r="354">
      <c r="A354" s="99"/>
      <c r="B354" s="99"/>
      <c r="C354" s="226"/>
      <c r="E354" s="227"/>
      <c r="F354" s="227"/>
      <c r="G354" s="227"/>
      <c r="H354" s="295"/>
      <c r="I354" s="278"/>
      <c r="J354" s="296"/>
      <c r="K354" s="232"/>
      <c r="L354" s="278"/>
      <c r="M354" s="293"/>
    </row>
    <row r="355">
      <c r="A355" s="99"/>
      <c r="B355" s="99"/>
      <c r="C355" s="226"/>
      <c r="E355" s="227"/>
      <c r="F355" s="227"/>
      <c r="G355" s="227"/>
      <c r="H355" s="295"/>
      <c r="I355" s="278"/>
      <c r="J355" s="296"/>
      <c r="K355" s="232"/>
      <c r="L355" s="278"/>
      <c r="M355" s="293"/>
    </row>
    <row r="356">
      <c r="A356" s="99"/>
      <c r="B356" s="99"/>
      <c r="C356" s="226"/>
      <c r="E356" s="227"/>
      <c r="F356" s="227"/>
      <c r="G356" s="227"/>
      <c r="H356" s="295"/>
      <c r="I356" s="278"/>
      <c r="J356" s="296"/>
      <c r="K356" s="232"/>
      <c r="L356" s="278"/>
      <c r="M356" s="293"/>
    </row>
    <row r="357">
      <c r="A357" s="99"/>
      <c r="B357" s="99"/>
      <c r="C357" s="226"/>
      <c r="E357" s="227"/>
      <c r="F357" s="227"/>
      <c r="G357" s="227"/>
      <c r="H357" s="295"/>
      <c r="I357" s="278"/>
      <c r="J357" s="296"/>
      <c r="K357" s="232"/>
      <c r="L357" s="278"/>
      <c r="M357" s="293"/>
    </row>
    <row r="358">
      <c r="A358" s="99"/>
      <c r="B358" s="99"/>
      <c r="C358" s="226"/>
      <c r="E358" s="227"/>
      <c r="F358" s="227"/>
      <c r="G358" s="227"/>
      <c r="H358" s="295"/>
      <c r="I358" s="278"/>
      <c r="J358" s="296"/>
      <c r="K358" s="232"/>
      <c r="L358" s="278"/>
      <c r="M358" s="293"/>
    </row>
    <row r="359">
      <c r="A359" s="99"/>
      <c r="B359" s="99"/>
      <c r="C359" s="226"/>
      <c r="E359" s="227"/>
      <c r="F359" s="227"/>
      <c r="G359" s="227"/>
      <c r="H359" s="295"/>
      <c r="I359" s="278"/>
      <c r="J359" s="296"/>
      <c r="K359" s="232"/>
      <c r="L359" s="278"/>
      <c r="M359" s="293"/>
    </row>
    <row r="360">
      <c r="A360" s="99"/>
      <c r="B360" s="99"/>
      <c r="C360" s="226"/>
      <c r="E360" s="227"/>
      <c r="F360" s="227"/>
      <c r="G360" s="227"/>
      <c r="H360" s="295"/>
      <c r="I360" s="278"/>
      <c r="J360" s="296"/>
      <c r="K360" s="232"/>
      <c r="L360" s="278"/>
      <c r="M360" s="293"/>
    </row>
    <row r="361">
      <c r="A361" s="99"/>
      <c r="B361" s="99"/>
      <c r="C361" s="226"/>
      <c r="E361" s="227"/>
      <c r="F361" s="227"/>
      <c r="G361" s="227"/>
      <c r="H361" s="295"/>
      <c r="I361" s="278"/>
      <c r="J361" s="296"/>
      <c r="K361" s="232"/>
      <c r="L361" s="278"/>
      <c r="M361" s="293"/>
    </row>
    <row r="362">
      <c r="A362" s="99"/>
      <c r="B362" s="99"/>
      <c r="C362" s="226"/>
      <c r="E362" s="227"/>
      <c r="F362" s="227"/>
      <c r="G362" s="227"/>
      <c r="H362" s="295"/>
      <c r="I362" s="278"/>
      <c r="J362" s="296"/>
      <c r="K362" s="232"/>
      <c r="L362" s="278"/>
      <c r="M362" s="293"/>
    </row>
    <row r="363">
      <c r="A363" s="99"/>
      <c r="B363" s="99"/>
      <c r="C363" s="226"/>
      <c r="E363" s="227"/>
      <c r="F363" s="227"/>
      <c r="G363" s="227"/>
      <c r="H363" s="295"/>
      <c r="I363" s="278"/>
      <c r="J363" s="296"/>
      <c r="K363" s="232"/>
      <c r="L363" s="278"/>
      <c r="M363" s="293"/>
    </row>
    <row r="364">
      <c r="A364" s="99"/>
      <c r="B364" s="99"/>
      <c r="C364" s="226"/>
      <c r="E364" s="227"/>
      <c r="F364" s="227"/>
      <c r="G364" s="227"/>
      <c r="H364" s="295"/>
      <c r="I364" s="278"/>
      <c r="J364" s="296"/>
      <c r="K364" s="232"/>
      <c r="L364" s="278"/>
      <c r="M364" s="293"/>
    </row>
    <row r="365">
      <c r="A365" s="99"/>
      <c r="B365" s="99"/>
      <c r="C365" s="226"/>
      <c r="E365" s="227"/>
      <c r="F365" s="227"/>
      <c r="G365" s="227"/>
      <c r="H365" s="295"/>
      <c r="I365" s="278"/>
      <c r="J365" s="296"/>
      <c r="K365" s="232"/>
      <c r="L365" s="278"/>
      <c r="M365" s="293"/>
    </row>
    <row r="366">
      <c r="A366" s="99"/>
      <c r="B366" s="99"/>
      <c r="C366" s="226"/>
      <c r="E366" s="227"/>
      <c r="F366" s="227"/>
      <c r="G366" s="227"/>
      <c r="H366" s="295"/>
      <c r="I366" s="278"/>
      <c r="J366" s="296"/>
      <c r="K366" s="232"/>
      <c r="L366" s="278"/>
      <c r="M366" s="293"/>
    </row>
    <row r="367">
      <c r="A367" s="99"/>
      <c r="B367" s="99"/>
      <c r="C367" s="226"/>
      <c r="E367" s="227"/>
      <c r="F367" s="227"/>
      <c r="G367" s="227"/>
      <c r="H367" s="295"/>
      <c r="I367" s="278"/>
      <c r="J367" s="296"/>
      <c r="K367" s="232"/>
      <c r="L367" s="278"/>
      <c r="M367" s="293"/>
    </row>
    <row r="368">
      <c r="A368" s="99"/>
      <c r="B368" s="99"/>
      <c r="C368" s="226"/>
      <c r="E368" s="227"/>
      <c r="F368" s="227"/>
      <c r="G368" s="227"/>
      <c r="H368" s="295"/>
      <c r="I368" s="278"/>
      <c r="J368" s="296"/>
      <c r="K368" s="232"/>
      <c r="L368" s="278"/>
      <c r="M368" s="293"/>
    </row>
    <row r="369">
      <c r="A369" s="99"/>
      <c r="B369" s="99"/>
      <c r="C369" s="226"/>
      <c r="E369" s="227"/>
      <c r="F369" s="227"/>
      <c r="G369" s="227"/>
      <c r="H369" s="295"/>
      <c r="I369" s="278"/>
      <c r="J369" s="296"/>
      <c r="K369" s="232"/>
      <c r="L369" s="278"/>
      <c r="M369" s="293"/>
    </row>
    <row r="370">
      <c r="A370" s="99"/>
      <c r="B370" s="99"/>
      <c r="C370" s="226"/>
      <c r="E370" s="227"/>
      <c r="F370" s="227"/>
      <c r="G370" s="227"/>
      <c r="H370" s="295"/>
      <c r="I370" s="278"/>
      <c r="J370" s="296"/>
      <c r="K370" s="232"/>
      <c r="L370" s="278"/>
      <c r="M370" s="293"/>
    </row>
    <row r="371">
      <c r="A371" s="99"/>
      <c r="B371" s="99"/>
      <c r="C371" s="226"/>
      <c r="E371" s="227"/>
      <c r="F371" s="227"/>
      <c r="G371" s="227"/>
      <c r="H371" s="295"/>
      <c r="I371" s="278"/>
      <c r="J371" s="296"/>
      <c r="K371" s="232"/>
      <c r="L371" s="278"/>
      <c r="M371" s="293"/>
    </row>
    <row r="372">
      <c r="A372" s="99"/>
      <c r="B372" s="99"/>
      <c r="C372" s="226"/>
      <c r="E372" s="227"/>
      <c r="F372" s="227"/>
      <c r="G372" s="227"/>
      <c r="H372" s="295"/>
      <c r="I372" s="278"/>
      <c r="J372" s="296"/>
      <c r="K372" s="232"/>
      <c r="L372" s="278"/>
      <c r="M372" s="293"/>
    </row>
    <row r="373">
      <c r="A373" s="99"/>
      <c r="B373" s="99"/>
      <c r="C373" s="226"/>
      <c r="E373" s="227"/>
      <c r="F373" s="227"/>
      <c r="G373" s="227"/>
      <c r="H373" s="295"/>
      <c r="I373" s="278"/>
      <c r="J373" s="296"/>
      <c r="K373" s="232"/>
      <c r="L373" s="278"/>
      <c r="M373" s="293"/>
    </row>
    <row r="374">
      <c r="A374" s="99"/>
      <c r="B374" s="99"/>
      <c r="C374" s="226"/>
      <c r="E374" s="227"/>
      <c r="F374" s="227"/>
      <c r="G374" s="227"/>
      <c r="H374" s="295"/>
      <c r="I374" s="278"/>
      <c r="J374" s="296"/>
      <c r="K374" s="232"/>
      <c r="L374" s="278"/>
      <c r="M374" s="293"/>
    </row>
    <row r="375">
      <c r="A375" s="99"/>
      <c r="B375" s="99"/>
      <c r="C375" s="226"/>
      <c r="E375" s="227"/>
      <c r="F375" s="227"/>
      <c r="G375" s="227"/>
      <c r="H375" s="295"/>
      <c r="I375" s="278"/>
      <c r="J375" s="296"/>
      <c r="K375" s="232"/>
      <c r="L375" s="278"/>
      <c r="M375" s="293"/>
    </row>
    <row r="376">
      <c r="A376" s="99"/>
      <c r="B376" s="99"/>
      <c r="C376" s="226"/>
      <c r="E376" s="227"/>
      <c r="F376" s="227"/>
      <c r="G376" s="227"/>
      <c r="H376" s="295"/>
      <c r="I376" s="278"/>
      <c r="J376" s="296"/>
      <c r="K376" s="232"/>
      <c r="L376" s="278"/>
      <c r="M376" s="293"/>
    </row>
    <row r="377">
      <c r="A377" s="99"/>
      <c r="B377" s="99"/>
      <c r="C377" s="226"/>
      <c r="E377" s="227"/>
      <c r="F377" s="227"/>
      <c r="G377" s="227"/>
      <c r="H377" s="295"/>
      <c r="I377" s="278"/>
      <c r="J377" s="296"/>
      <c r="K377" s="232"/>
      <c r="L377" s="278"/>
      <c r="M377" s="293"/>
    </row>
    <row r="378">
      <c r="A378" s="99"/>
      <c r="B378" s="99"/>
      <c r="C378" s="226"/>
      <c r="E378" s="227"/>
      <c r="F378" s="227"/>
      <c r="G378" s="227"/>
      <c r="H378" s="295"/>
      <c r="I378" s="278"/>
      <c r="J378" s="296"/>
      <c r="K378" s="232"/>
      <c r="L378" s="278"/>
      <c r="M378" s="293"/>
    </row>
    <row r="379">
      <c r="A379" s="99"/>
      <c r="B379" s="99"/>
      <c r="C379" s="226"/>
      <c r="E379" s="227"/>
      <c r="F379" s="227"/>
      <c r="G379" s="227"/>
      <c r="H379" s="295"/>
      <c r="I379" s="278"/>
      <c r="J379" s="296"/>
      <c r="K379" s="232"/>
      <c r="L379" s="278"/>
      <c r="M379" s="293"/>
    </row>
    <row r="380">
      <c r="A380" s="99"/>
      <c r="B380" s="99"/>
      <c r="C380" s="226"/>
      <c r="E380" s="227"/>
      <c r="F380" s="227"/>
      <c r="G380" s="227"/>
      <c r="H380" s="295"/>
      <c r="I380" s="278"/>
      <c r="J380" s="296"/>
      <c r="K380" s="232"/>
      <c r="L380" s="278"/>
      <c r="M380" s="293"/>
    </row>
    <row r="381">
      <c r="A381" s="99"/>
      <c r="B381" s="99"/>
      <c r="C381" s="226"/>
      <c r="E381" s="227"/>
      <c r="F381" s="227"/>
      <c r="G381" s="227"/>
      <c r="H381" s="295"/>
      <c r="I381" s="278"/>
      <c r="J381" s="296"/>
      <c r="K381" s="232"/>
      <c r="L381" s="278"/>
      <c r="M381" s="293"/>
    </row>
    <row r="382">
      <c r="A382" s="99"/>
      <c r="B382" s="99"/>
      <c r="C382" s="226"/>
      <c r="E382" s="227"/>
      <c r="F382" s="227"/>
      <c r="G382" s="227"/>
      <c r="H382" s="295"/>
      <c r="I382" s="278"/>
      <c r="J382" s="296"/>
      <c r="K382" s="232"/>
      <c r="L382" s="278"/>
      <c r="M382" s="293"/>
    </row>
    <row r="383">
      <c r="A383" s="99"/>
      <c r="B383" s="99"/>
      <c r="C383" s="226"/>
      <c r="E383" s="227"/>
      <c r="F383" s="227"/>
      <c r="G383" s="227"/>
      <c r="H383" s="295"/>
      <c r="I383" s="278"/>
      <c r="J383" s="296"/>
      <c r="K383" s="232"/>
      <c r="L383" s="278"/>
      <c r="M383" s="293"/>
    </row>
    <row r="384">
      <c r="A384" s="99"/>
      <c r="B384" s="99"/>
      <c r="C384" s="226"/>
      <c r="E384" s="227"/>
      <c r="F384" s="227"/>
      <c r="G384" s="227"/>
      <c r="H384" s="295"/>
      <c r="I384" s="278"/>
      <c r="J384" s="296"/>
      <c r="K384" s="232"/>
      <c r="L384" s="278"/>
      <c r="M384" s="293"/>
    </row>
    <row r="385">
      <c r="A385" s="99"/>
      <c r="B385" s="99"/>
      <c r="C385" s="226"/>
      <c r="E385" s="227"/>
      <c r="F385" s="227"/>
      <c r="G385" s="227"/>
      <c r="H385" s="295"/>
      <c r="I385" s="278"/>
      <c r="J385" s="296"/>
      <c r="K385" s="232"/>
      <c r="L385" s="278"/>
      <c r="M385" s="293"/>
    </row>
    <row r="386">
      <c r="A386" s="99"/>
      <c r="B386" s="99"/>
      <c r="C386" s="226"/>
      <c r="E386" s="227"/>
      <c r="F386" s="227"/>
      <c r="G386" s="227"/>
      <c r="H386" s="295"/>
      <c r="I386" s="278"/>
      <c r="J386" s="296"/>
      <c r="K386" s="232"/>
      <c r="L386" s="278"/>
      <c r="M386" s="293"/>
    </row>
    <row r="387">
      <c r="A387" s="99"/>
      <c r="B387" s="99"/>
      <c r="C387" s="226"/>
      <c r="E387" s="227"/>
      <c r="F387" s="227"/>
      <c r="G387" s="227"/>
      <c r="H387" s="295"/>
      <c r="I387" s="278"/>
      <c r="J387" s="296"/>
      <c r="K387" s="232"/>
      <c r="L387" s="278"/>
      <c r="M387" s="293"/>
    </row>
    <row r="388">
      <c r="A388" s="99"/>
      <c r="B388" s="99"/>
      <c r="C388" s="226"/>
      <c r="E388" s="227"/>
      <c r="F388" s="227"/>
      <c r="G388" s="227"/>
      <c r="H388" s="295"/>
      <c r="I388" s="278"/>
      <c r="J388" s="296"/>
      <c r="K388" s="232"/>
      <c r="L388" s="278"/>
      <c r="M388" s="293"/>
    </row>
    <row r="389">
      <c r="A389" s="99"/>
      <c r="B389" s="99"/>
      <c r="C389" s="226"/>
      <c r="E389" s="227"/>
      <c r="F389" s="227"/>
      <c r="G389" s="227"/>
      <c r="H389" s="295"/>
      <c r="I389" s="278"/>
      <c r="J389" s="296"/>
      <c r="K389" s="232"/>
      <c r="L389" s="278"/>
      <c r="M389" s="293"/>
    </row>
    <row r="390">
      <c r="A390" s="99"/>
      <c r="B390" s="99"/>
      <c r="C390" s="226"/>
      <c r="E390" s="227"/>
      <c r="F390" s="227"/>
      <c r="G390" s="227"/>
      <c r="H390" s="295"/>
      <c r="I390" s="278"/>
      <c r="J390" s="296"/>
      <c r="K390" s="232"/>
      <c r="L390" s="278"/>
      <c r="M390" s="293"/>
    </row>
    <row r="391">
      <c r="A391" s="99"/>
      <c r="B391" s="99"/>
      <c r="C391" s="226"/>
      <c r="E391" s="227"/>
      <c r="F391" s="227"/>
      <c r="G391" s="227"/>
      <c r="H391" s="295"/>
      <c r="I391" s="278"/>
      <c r="J391" s="296"/>
      <c r="K391" s="232"/>
      <c r="L391" s="278"/>
      <c r="M391" s="293"/>
    </row>
    <row r="392">
      <c r="A392" s="99"/>
      <c r="B392" s="99"/>
      <c r="C392" s="226"/>
      <c r="E392" s="227"/>
      <c r="F392" s="227"/>
      <c r="G392" s="227"/>
      <c r="H392" s="295"/>
      <c r="I392" s="278"/>
      <c r="J392" s="296"/>
      <c r="K392" s="232"/>
      <c r="L392" s="278"/>
      <c r="M392" s="293"/>
    </row>
    <row r="393">
      <c r="A393" s="99"/>
      <c r="B393" s="99"/>
      <c r="C393" s="226"/>
      <c r="E393" s="227"/>
      <c r="F393" s="227"/>
      <c r="G393" s="227"/>
      <c r="H393" s="295"/>
      <c r="I393" s="278"/>
      <c r="J393" s="296"/>
      <c r="K393" s="232"/>
      <c r="L393" s="278"/>
      <c r="M393" s="293"/>
    </row>
    <row r="394">
      <c r="A394" s="99"/>
      <c r="B394" s="99"/>
      <c r="C394" s="226"/>
      <c r="E394" s="227"/>
      <c r="F394" s="227"/>
      <c r="G394" s="227"/>
      <c r="H394" s="295"/>
      <c r="I394" s="278"/>
      <c r="J394" s="296"/>
      <c r="K394" s="232"/>
      <c r="L394" s="278"/>
      <c r="M394" s="293"/>
    </row>
    <row r="395">
      <c r="A395" s="99"/>
      <c r="B395" s="99"/>
      <c r="C395" s="226"/>
      <c r="E395" s="227"/>
      <c r="F395" s="227"/>
      <c r="G395" s="227"/>
      <c r="H395" s="295"/>
      <c r="I395" s="278"/>
      <c r="J395" s="296"/>
      <c r="K395" s="232"/>
      <c r="L395" s="278"/>
      <c r="M395" s="293"/>
    </row>
    <row r="396">
      <c r="A396" s="99"/>
      <c r="B396" s="99"/>
      <c r="C396" s="226"/>
      <c r="E396" s="227"/>
      <c r="F396" s="227"/>
      <c r="G396" s="227"/>
      <c r="H396" s="295"/>
      <c r="I396" s="278"/>
      <c r="J396" s="296"/>
      <c r="K396" s="232"/>
      <c r="L396" s="278"/>
      <c r="M396" s="293"/>
    </row>
    <row r="397">
      <c r="A397" s="99"/>
      <c r="B397" s="99"/>
      <c r="C397" s="226"/>
      <c r="E397" s="227"/>
      <c r="F397" s="227"/>
      <c r="G397" s="227"/>
      <c r="H397" s="295"/>
      <c r="I397" s="278"/>
      <c r="J397" s="296"/>
      <c r="K397" s="232"/>
      <c r="L397" s="278"/>
      <c r="M397" s="293"/>
    </row>
    <row r="398">
      <c r="A398" s="99"/>
      <c r="B398" s="99"/>
      <c r="C398" s="226"/>
      <c r="E398" s="227"/>
      <c r="F398" s="227"/>
      <c r="G398" s="227"/>
      <c r="H398" s="295"/>
      <c r="I398" s="278"/>
      <c r="J398" s="296"/>
      <c r="K398" s="232"/>
      <c r="L398" s="278"/>
      <c r="M398" s="293"/>
    </row>
    <row r="399">
      <c r="A399" s="99"/>
      <c r="B399" s="99"/>
      <c r="C399" s="226"/>
      <c r="E399" s="227"/>
      <c r="F399" s="227"/>
      <c r="G399" s="227"/>
      <c r="H399" s="295"/>
      <c r="I399" s="278"/>
      <c r="J399" s="296"/>
      <c r="K399" s="232"/>
      <c r="L399" s="278"/>
      <c r="M399" s="293"/>
    </row>
    <row r="400">
      <c r="A400" s="99"/>
      <c r="B400" s="99"/>
      <c r="C400" s="226"/>
      <c r="E400" s="227"/>
      <c r="F400" s="227"/>
      <c r="G400" s="227"/>
      <c r="H400" s="295"/>
      <c r="I400" s="278"/>
      <c r="J400" s="296"/>
      <c r="K400" s="232"/>
      <c r="L400" s="278"/>
      <c r="M400" s="293"/>
    </row>
    <row r="401">
      <c r="A401" s="99"/>
      <c r="B401" s="99"/>
      <c r="C401" s="226"/>
      <c r="E401" s="227"/>
      <c r="F401" s="227"/>
      <c r="G401" s="227"/>
      <c r="H401" s="295"/>
      <c r="I401" s="278"/>
      <c r="J401" s="296"/>
      <c r="K401" s="232"/>
      <c r="L401" s="278"/>
      <c r="M401" s="293"/>
    </row>
    <row r="402">
      <c r="A402" s="99"/>
      <c r="B402" s="99"/>
      <c r="C402" s="226"/>
      <c r="E402" s="227"/>
      <c r="F402" s="227"/>
      <c r="G402" s="227"/>
      <c r="H402" s="295"/>
      <c r="I402" s="278"/>
      <c r="J402" s="296"/>
      <c r="K402" s="232"/>
      <c r="L402" s="278"/>
      <c r="M402" s="293"/>
    </row>
    <row r="403">
      <c r="A403" s="99"/>
      <c r="B403" s="99"/>
      <c r="C403" s="226"/>
      <c r="E403" s="227"/>
      <c r="F403" s="227"/>
      <c r="G403" s="227"/>
      <c r="H403" s="295"/>
      <c r="I403" s="278"/>
      <c r="J403" s="296"/>
      <c r="K403" s="232"/>
      <c r="L403" s="278"/>
      <c r="M403" s="293"/>
    </row>
    <row r="404">
      <c r="A404" s="99"/>
      <c r="B404" s="99"/>
      <c r="C404" s="226"/>
      <c r="E404" s="227"/>
      <c r="F404" s="227"/>
      <c r="G404" s="227"/>
      <c r="H404" s="295"/>
      <c r="I404" s="278"/>
      <c r="J404" s="296"/>
      <c r="K404" s="232"/>
      <c r="L404" s="278"/>
      <c r="M404" s="293"/>
    </row>
    <row r="405">
      <c r="A405" s="99"/>
      <c r="B405" s="99"/>
      <c r="C405" s="226"/>
      <c r="E405" s="227"/>
      <c r="F405" s="227"/>
      <c r="G405" s="227"/>
      <c r="H405" s="295"/>
      <c r="I405" s="278"/>
      <c r="J405" s="296"/>
      <c r="K405" s="232"/>
      <c r="L405" s="278"/>
      <c r="M405" s="293"/>
    </row>
    <row r="406">
      <c r="A406" s="99"/>
      <c r="B406" s="99"/>
      <c r="C406" s="226"/>
      <c r="E406" s="227"/>
      <c r="F406" s="227"/>
      <c r="G406" s="227"/>
      <c r="H406" s="295"/>
      <c r="I406" s="278"/>
      <c r="J406" s="296"/>
      <c r="K406" s="232"/>
      <c r="L406" s="278"/>
      <c r="M406" s="293"/>
    </row>
    <row r="407">
      <c r="A407" s="99"/>
      <c r="B407" s="99"/>
      <c r="C407" s="226"/>
      <c r="E407" s="227"/>
      <c r="F407" s="227"/>
      <c r="G407" s="227"/>
      <c r="H407" s="295"/>
      <c r="I407" s="278"/>
      <c r="J407" s="296"/>
      <c r="K407" s="232"/>
      <c r="L407" s="278"/>
      <c r="M407" s="293"/>
    </row>
    <row r="408">
      <c r="A408" s="99"/>
      <c r="B408" s="99"/>
      <c r="C408" s="226"/>
      <c r="E408" s="227"/>
      <c r="F408" s="227"/>
      <c r="G408" s="227"/>
      <c r="H408" s="295"/>
      <c r="I408" s="278"/>
      <c r="J408" s="296"/>
      <c r="K408" s="232"/>
      <c r="L408" s="278"/>
      <c r="M408" s="293"/>
    </row>
    <row r="409">
      <c r="A409" s="99"/>
      <c r="B409" s="99"/>
      <c r="C409" s="226"/>
      <c r="E409" s="227"/>
      <c r="F409" s="227"/>
      <c r="G409" s="227"/>
      <c r="H409" s="295"/>
      <c r="I409" s="278"/>
      <c r="J409" s="296"/>
      <c r="K409" s="232"/>
      <c r="L409" s="278"/>
      <c r="M409" s="293"/>
    </row>
    <row r="410">
      <c r="A410" s="99"/>
      <c r="B410" s="99"/>
      <c r="C410" s="226"/>
      <c r="E410" s="227"/>
      <c r="F410" s="227"/>
      <c r="G410" s="227"/>
      <c r="H410" s="295"/>
      <c r="I410" s="278"/>
      <c r="J410" s="296"/>
      <c r="K410" s="232"/>
      <c r="L410" s="278"/>
      <c r="M410" s="293"/>
    </row>
    <row r="411">
      <c r="A411" s="99"/>
      <c r="B411" s="99"/>
      <c r="C411" s="226"/>
      <c r="E411" s="227"/>
      <c r="F411" s="227"/>
      <c r="G411" s="227"/>
      <c r="H411" s="295"/>
      <c r="I411" s="278"/>
      <c r="J411" s="296"/>
      <c r="K411" s="232"/>
      <c r="L411" s="278"/>
      <c r="M411" s="293"/>
    </row>
    <row r="412">
      <c r="A412" s="99"/>
      <c r="B412" s="99"/>
      <c r="C412" s="226"/>
      <c r="E412" s="227"/>
      <c r="F412" s="227"/>
      <c r="G412" s="227"/>
      <c r="H412" s="295"/>
      <c r="I412" s="278"/>
      <c r="J412" s="296"/>
      <c r="K412" s="232"/>
      <c r="L412" s="278"/>
      <c r="M412" s="293"/>
    </row>
    <row r="413">
      <c r="A413" s="99"/>
      <c r="B413" s="99"/>
      <c r="C413" s="226"/>
      <c r="E413" s="227"/>
      <c r="F413" s="227"/>
      <c r="G413" s="227"/>
      <c r="H413" s="295"/>
      <c r="I413" s="278"/>
      <c r="J413" s="296"/>
      <c r="K413" s="232"/>
      <c r="L413" s="278"/>
      <c r="M413" s="293"/>
    </row>
    <row r="414">
      <c r="A414" s="99"/>
      <c r="B414" s="99"/>
      <c r="C414" s="226"/>
      <c r="E414" s="227"/>
      <c r="F414" s="227"/>
      <c r="G414" s="227"/>
      <c r="H414" s="295"/>
      <c r="I414" s="278"/>
      <c r="J414" s="296"/>
      <c r="K414" s="232"/>
      <c r="L414" s="278"/>
      <c r="M414" s="293"/>
    </row>
    <row r="415">
      <c r="A415" s="99"/>
      <c r="B415" s="99"/>
      <c r="C415" s="226"/>
      <c r="E415" s="227"/>
      <c r="F415" s="227"/>
      <c r="G415" s="227"/>
      <c r="H415" s="295"/>
      <c r="I415" s="278"/>
      <c r="J415" s="296"/>
      <c r="K415" s="232"/>
      <c r="L415" s="278"/>
      <c r="M415" s="293"/>
    </row>
    <row r="416">
      <c r="A416" s="99"/>
      <c r="B416" s="99"/>
      <c r="C416" s="226"/>
      <c r="E416" s="227"/>
      <c r="F416" s="227"/>
      <c r="G416" s="227"/>
      <c r="H416" s="295"/>
      <c r="I416" s="278"/>
      <c r="J416" s="296"/>
      <c r="K416" s="232"/>
      <c r="L416" s="278"/>
      <c r="M416" s="293"/>
    </row>
    <row r="417">
      <c r="A417" s="99"/>
      <c r="B417" s="99"/>
      <c r="C417" s="226"/>
      <c r="E417" s="227"/>
      <c r="F417" s="227"/>
      <c r="G417" s="227"/>
      <c r="H417" s="295"/>
      <c r="I417" s="278"/>
      <c r="J417" s="296"/>
      <c r="K417" s="232"/>
      <c r="L417" s="278"/>
      <c r="M417" s="293"/>
    </row>
    <row r="418">
      <c r="A418" s="99"/>
      <c r="B418" s="99"/>
      <c r="C418" s="226"/>
      <c r="E418" s="227"/>
      <c r="F418" s="227"/>
      <c r="G418" s="227"/>
      <c r="H418" s="295"/>
      <c r="I418" s="278"/>
      <c r="J418" s="296"/>
      <c r="K418" s="232"/>
      <c r="L418" s="278"/>
      <c r="M418" s="293"/>
    </row>
    <row r="419">
      <c r="A419" s="99"/>
      <c r="B419" s="99"/>
      <c r="C419" s="226"/>
      <c r="E419" s="227"/>
      <c r="F419" s="227"/>
      <c r="G419" s="227"/>
      <c r="H419" s="295"/>
      <c r="I419" s="278"/>
      <c r="J419" s="296"/>
      <c r="K419" s="232"/>
      <c r="L419" s="278"/>
      <c r="M419" s="293"/>
    </row>
    <row r="420">
      <c r="A420" s="99"/>
      <c r="B420" s="99"/>
      <c r="C420" s="226"/>
      <c r="E420" s="227"/>
      <c r="F420" s="227"/>
      <c r="G420" s="227"/>
      <c r="H420" s="295"/>
      <c r="I420" s="278"/>
      <c r="J420" s="296"/>
      <c r="K420" s="232"/>
      <c r="L420" s="278"/>
      <c r="M420" s="293"/>
    </row>
    <row r="421">
      <c r="A421" s="99"/>
      <c r="B421" s="99"/>
      <c r="C421" s="226"/>
      <c r="E421" s="227"/>
      <c r="F421" s="227"/>
      <c r="G421" s="227"/>
      <c r="H421" s="295"/>
      <c r="I421" s="278"/>
      <c r="J421" s="296"/>
      <c r="K421" s="232"/>
      <c r="L421" s="278"/>
      <c r="M421" s="293"/>
    </row>
    <row r="422">
      <c r="A422" s="99"/>
      <c r="B422" s="99"/>
      <c r="C422" s="226"/>
      <c r="E422" s="227"/>
      <c r="F422" s="227"/>
      <c r="G422" s="227"/>
      <c r="H422" s="295"/>
      <c r="I422" s="278"/>
      <c r="J422" s="296"/>
      <c r="K422" s="232"/>
      <c r="L422" s="278"/>
      <c r="M422" s="293"/>
    </row>
    <row r="423">
      <c r="A423" s="99"/>
      <c r="B423" s="99"/>
      <c r="C423" s="226"/>
      <c r="E423" s="227"/>
      <c r="F423" s="227"/>
      <c r="G423" s="227"/>
      <c r="H423" s="295"/>
      <c r="I423" s="278"/>
      <c r="J423" s="296"/>
      <c r="K423" s="232"/>
      <c r="L423" s="278"/>
      <c r="M423" s="293"/>
    </row>
    <row r="424">
      <c r="A424" s="99"/>
      <c r="B424" s="99"/>
      <c r="C424" s="226"/>
      <c r="E424" s="227"/>
      <c r="F424" s="227"/>
      <c r="G424" s="227"/>
      <c r="H424" s="295"/>
      <c r="I424" s="278"/>
      <c r="J424" s="296"/>
      <c r="K424" s="232"/>
      <c r="L424" s="278"/>
      <c r="M424" s="293"/>
    </row>
    <row r="425">
      <c r="A425" s="99"/>
      <c r="B425" s="99"/>
      <c r="C425" s="226"/>
      <c r="E425" s="227"/>
      <c r="F425" s="227"/>
      <c r="G425" s="227"/>
      <c r="H425" s="295"/>
      <c r="I425" s="278"/>
      <c r="J425" s="296"/>
      <c r="K425" s="232"/>
      <c r="L425" s="278"/>
      <c r="M425" s="293"/>
    </row>
    <row r="426">
      <c r="A426" s="99"/>
      <c r="B426" s="99"/>
      <c r="C426" s="226"/>
      <c r="E426" s="227"/>
      <c r="F426" s="227"/>
      <c r="G426" s="227"/>
      <c r="H426" s="295"/>
      <c r="I426" s="278"/>
      <c r="J426" s="296"/>
      <c r="K426" s="232"/>
      <c r="L426" s="278"/>
      <c r="M426" s="293"/>
    </row>
    <row r="427">
      <c r="A427" s="99"/>
      <c r="B427" s="99"/>
      <c r="C427" s="226"/>
      <c r="E427" s="227"/>
      <c r="F427" s="227"/>
      <c r="G427" s="227"/>
      <c r="H427" s="295"/>
      <c r="I427" s="278"/>
      <c r="J427" s="296"/>
      <c r="K427" s="232"/>
      <c r="L427" s="278"/>
      <c r="M427" s="293"/>
    </row>
    <row r="428">
      <c r="A428" s="99"/>
      <c r="B428" s="99"/>
      <c r="C428" s="226"/>
      <c r="E428" s="227"/>
      <c r="F428" s="227"/>
      <c r="G428" s="227"/>
      <c r="H428" s="295"/>
      <c r="I428" s="278"/>
      <c r="J428" s="296"/>
      <c r="K428" s="232"/>
      <c r="L428" s="278"/>
      <c r="M428" s="293"/>
    </row>
    <row r="429">
      <c r="A429" s="99"/>
      <c r="B429" s="99"/>
      <c r="C429" s="226"/>
      <c r="E429" s="227"/>
      <c r="F429" s="227"/>
      <c r="G429" s="227"/>
      <c r="H429" s="295"/>
      <c r="I429" s="278"/>
      <c r="J429" s="296"/>
      <c r="K429" s="232"/>
      <c r="L429" s="278"/>
      <c r="M429" s="293"/>
    </row>
    <row r="430">
      <c r="A430" s="99"/>
      <c r="B430" s="99"/>
      <c r="C430" s="226"/>
      <c r="E430" s="227"/>
      <c r="F430" s="227"/>
      <c r="G430" s="227"/>
      <c r="H430" s="295"/>
      <c r="I430" s="278"/>
      <c r="J430" s="296"/>
      <c r="K430" s="232"/>
      <c r="L430" s="278"/>
      <c r="M430" s="293"/>
    </row>
    <row r="431">
      <c r="A431" s="99"/>
      <c r="B431" s="99"/>
      <c r="C431" s="226"/>
      <c r="E431" s="227"/>
      <c r="F431" s="227"/>
      <c r="G431" s="227"/>
      <c r="H431" s="295"/>
      <c r="I431" s="278"/>
      <c r="J431" s="296"/>
      <c r="K431" s="232"/>
      <c r="L431" s="278"/>
      <c r="M431" s="293"/>
    </row>
    <row r="432">
      <c r="A432" s="99"/>
      <c r="B432" s="99"/>
      <c r="C432" s="226"/>
      <c r="E432" s="227"/>
      <c r="F432" s="227"/>
      <c r="G432" s="227"/>
      <c r="H432" s="295"/>
      <c r="I432" s="278"/>
      <c r="J432" s="296"/>
      <c r="K432" s="232"/>
      <c r="L432" s="278"/>
      <c r="M432" s="293"/>
    </row>
    <row r="433">
      <c r="A433" s="99"/>
      <c r="B433" s="99"/>
      <c r="C433" s="226"/>
      <c r="E433" s="227"/>
      <c r="F433" s="227"/>
      <c r="G433" s="227"/>
      <c r="H433" s="295"/>
      <c r="I433" s="278"/>
      <c r="J433" s="296"/>
      <c r="K433" s="232"/>
      <c r="L433" s="278"/>
      <c r="M433" s="293"/>
    </row>
    <row r="434">
      <c r="A434" s="99"/>
      <c r="B434" s="99"/>
      <c r="C434" s="226"/>
      <c r="E434" s="227"/>
      <c r="F434" s="227"/>
      <c r="G434" s="227"/>
      <c r="H434" s="295"/>
      <c r="I434" s="278"/>
      <c r="J434" s="296"/>
      <c r="K434" s="232"/>
      <c r="L434" s="278"/>
      <c r="M434" s="293"/>
    </row>
    <row r="435">
      <c r="A435" s="99"/>
      <c r="B435" s="99"/>
      <c r="C435" s="226"/>
      <c r="E435" s="227"/>
      <c r="F435" s="227"/>
      <c r="G435" s="227"/>
      <c r="H435" s="295"/>
      <c r="I435" s="278"/>
      <c r="J435" s="296"/>
      <c r="K435" s="232"/>
      <c r="L435" s="278"/>
      <c r="M435" s="293"/>
    </row>
    <row r="436">
      <c r="A436" s="99"/>
      <c r="B436" s="99"/>
      <c r="C436" s="226"/>
      <c r="E436" s="227"/>
      <c r="F436" s="227"/>
      <c r="G436" s="227"/>
      <c r="H436" s="295"/>
      <c r="I436" s="278"/>
      <c r="J436" s="296"/>
      <c r="K436" s="232"/>
      <c r="L436" s="278"/>
      <c r="M436" s="293"/>
    </row>
    <row r="437">
      <c r="A437" s="99"/>
      <c r="B437" s="99"/>
      <c r="C437" s="226"/>
      <c r="E437" s="227"/>
      <c r="F437" s="227"/>
      <c r="G437" s="227"/>
      <c r="H437" s="295"/>
      <c r="I437" s="278"/>
      <c r="J437" s="296"/>
      <c r="K437" s="232"/>
      <c r="L437" s="278"/>
      <c r="M437" s="293"/>
    </row>
    <row r="438">
      <c r="A438" s="99"/>
      <c r="B438" s="99"/>
      <c r="C438" s="226"/>
      <c r="E438" s="227"/>
      <c r="F438" s="227"/>
      <c r="G438" s="227"/>
      <c r="H438" s="295"/>
      <c r="I438" s="278"/>
      <c r="J438" s="296"/>
      <c r="K438" s="232"/>
      <c r="L438" s="278"/>
      <c r="M438" s="293"/>
    </row>
    <row r="439">
      <c r="A439" s="99"/>
      <c r="B439" s="99"/>
      <c r="C439" s="226"/>
      <c r="E439" s="227"/>
      <c r="F439" s="227"/>
      <c r="G439" s="227"/>
      <c r="H439" s="295"/>
      <c r="I439" s="278"/>
      <c r="J439" s="296"/>
      <c r="K439" s="232"/>
      <c r="L439" s="278"/>
      <c r="M439" s="293"/>
    </row>
    <row r="440">
      <c r="A440" s="99"/>
      <c r="B440" s="99"/>
      <c r="C440" s="226"/>
      <c r="E440" s="227"/>
      <c r="F440" s="227"/>
      <c r="G440" s="227"/>
      <c r="H440" s="295"/>
      <c r="I440" s="278"/>
      <c r="J440" s="296"/>
      <c r="K440" s="232"/>
      <c r="L440" s="278"/>
      <c r="M440" s="293"/>
    </row>
    <row r="441">
      <c r="A441" s="99"/>
      <c r="B441" s="99"/>
      <c r="C441" s="226"/>
      <c r="E441" s="227"/>
      <c r="F441" s="227"/>
      <c r="G441" s="227"/>
      <c r="H441" s="295"/>
      <c r="I441" s="278"/>
      <c r="J441" s="296"/>
      <c r="K441" s="232"/>
      <c r="L441" s="278"/>
      <c r="M441" s="293"/>
    </row>
    <row r="442">
      <c r="A442" s="99"/>
      <c r="B442" s="99"/>
      <c r="C442" s="226"/>
      <c r="E442" s="227"/>
      <c r="F442" s="227"/>
      <c r="G442" s="227"/>
      <c r="H442" s="295"/>
      <c r="I442" s="278"/>
      <c r="J442" s="296"/>
      <c r="K442" s="232"/>
      <c r="L442" s="278"/>
      <c r="M442" s="293"/>
    </row>
    <row r="443">
      <c r="A443" s="99"/>
      <c r="B443" s="99"/>
      <c r="C443" s="226"/>
      <c r="E443" s="227"/>
      <c r="F443" s="227"/>
      <c r="G443" s="227"/>
      <c r="H443" s="295"/>
      <c r="I443" s="278"/>
      <c r="J443" s="296"/>
      <c r="K443" s="232"/>
      <c r="L443" s="278"/>
      <c r="M443" s="293"/>
    </row>
    <row r="444">
      <c r="A444" s="99"/>
      <c r="B444" s="99"/>
      <c r="C444" s="226"/>
      <c r="E444" s="227"/>
      <c r="F444" s="227"/>
      <c r="G444" s="227"/>
      <c r="H444" s="295"/>
      <c r="I444" s="278"/>
      <c r="J444" s="296"/>
      <c r="K444" s="232"/>
      <c r="L444" s="278"/>
      <c r="M444" s="293"/>
    </row>
    <row r="445">
      <c r="A445" s="99"/>
      <c r="B445" s="99"/>
      <c r="C445" s="226"/>
      <c r="E445" s="227"/>
      <c r="F445" s="227"/>
      <c r="G445" s="227"/>
      <c r="H445" s="295"/>
      <c r="I445" s="278"/>
      <c r="J445" s="296"/>
      <c r="K445" s="232"/>
      <c r="L445" s="278"/>
      <c r="M445" s="293"/>
    </row>
    <row r="446">
      <c r="A446" s="99"/>
      <c r="B446" s="99"/>
      <c r="C446" s="226"/>
      <c r="E446" s="227"/>
      <c r="F446" s="227"/>
      <c r="G446" s="227"/>
      <c r="H446" s="295"/>
      <c r="I446" s="278"/>
      <c r="J446" s="296"/>
      <c r="K446" s="232"/>
      <c r="L446" s="278"/>
      <c r="M446" s="293"/>
    </row>
    <row r="447">
      <c r="A447" s="99"/>
      <c r="B447" s="99"/>
      <c r="C447" s="226"/>
      <c r="E447" s="227"/>
      <c r="F447" s="227"/>
      <c r="G447" s="227"/>
      <c r="H447" s="295"/>
      <c r="I447" s="278"/>
      <c r="J447" s="296"/>
      <c r="K447" s="232"/>
      <c r="L447" s="278"/>
      <c r="M447" s="293"/>
    </row>
    <row r="448">
      <c r="A448" s="99"/>
      <c r="B448" s="99"/>
      <c r="C448" s="226"/>
      <c r="E448" s="227"/>
      <c r="F448" s="227"/>
      <c r="G448" s="227"/>
      <c r="H448" s="295"/>
      <c r="I448" s="278"/>
      <c r="J448" s="296"/>
      <c r="K448" s="232"/>
      <c r="L448" s="278"/>
      <c r="M448" s="293"/>
    </row>
    <row r="449">
      <c r="A449" s="99"/>
      <c r="B449" s="99"/>
      <c r="C449" s="226"/>
      <c r="E449" s="227"/>
      <c r="F449" s="227"/>
      <c r="G449" s="227"/>
      <c r="H449" s="295"/>
      <c r="I449" s="278"/>
      <c r="J449" s="296"/>
      <c r="K449" s="232"/>
      <c r="L449" s="278"/>
      <c r="M449" s="293"/>
    </row>
    <row r="450">
      <c r="A450" s="99"/>
      <c r="B450" s="99"/>
      <c r="C450" s="226"/>
      <c r="E450" s="227"/>
      <c r="F450" s="227"/>
      <c r="G450" s="227"/>
      <c r="H450" s="295"/>
      <c r="I450" s="278"/>
      <c r="J450" s="296"/>
      <c r="K450" s="232"/>
      <c r="L450" s="278"/>
      <c r="M450" s="293"/>
    </row>
    <row r="451">
      <c r="A451" s="99"/>
      <c r="B451" s="99"/>
      <c r="C451" s="226"/>
      <c r="E451" s="227"/>
      <c r="F451" s="227"/>
      <c r="G451" s="227"/>
      <c r="H451" s="295"/>
      <c r="I451" s="278"/>
      <c r="J451" s="296"/>
      <c r="K451" s="232"/>
      <c r="L451" s="278"/>
      <c r="M451" s="293"/>
    </row>
    <row r="452">
      <c r="A452" s="99"/>
      <c r="B452" s="99"/>
      <c r="C452" s="226"/>
      <c r="E452" s="227"/>
      <c r="F452" s="227"/>
      <c r="G452" s="227"/>
      <c r="H452" s="295"/>
      <c r="I452" s="278"/>
      <c r="J452" s="296"/>
      <c r="K452" s="232"/>
      <c r="L452" s="278"/>
      <c r="M452" s="293"/>
    </row>
    <row r="453">
      <c r="A453" s="99"/>
      <c r="B453" s="99"/>
      <c r="C453" s="226"/>
      <c r="E453" s="227"/>
      <c r="F453" s="227"/>
      <c r="G453" s="227"/>
      <c r="H453" s="295"/>
      <c r="I453" s="278"/>
      <c r="J453" s="296"/>
      <c r="K453" s="232"/>
      <c r="L453" s="278"/>
      <c r="M453" s="293"/>
    </row>
    <row r="454">
      <c r="A454" s="99"/>
      <c r="B454" s="99"/>
      <c r="C454" s="226"/>
      <c r="E454" s="227"/>
      <c r="F454" s="227"/>
      <c r="G454" s="227"/>
      <c r="H454" s="295"/>
      <c r="I454" s="278"/>
      <c r="J454" s="296"/>
      <c r="K454" s="232"/>
      <c r="L454" s="278"/>
      <c r="M454" s="293"/>
    </row>
    <row r="455">
      <c r="A455" s="99"/>
      <c r="B455" s="99"/>
      <c r="C455" s="226"/>
      <c r="E455" s="227"/>
      <c r="F455" s="227"/>
      <c r="G455" s="227"/>
      <c r="H455" s="295"/>
      <c r="I455" s="278"/>
      <c r="J455" s="296"/>
      <c r="K455" s="232"/>
      <c r="L455" s="278"/>
      <c r="M455" s="293"/>
    </row>
    <row r="456">
      <c r="A456" s="99"/>
      <c r="B456" s="99"/>
      <c r="C456" s="226"/>
      <c r="E456" s="227"/>
      <c r="F456" s="227"/>
      <c r="G456" s="227"/>
      <c r="H456" s="295"/>
      <c r="I456" s="278"/>
      <c r="J456" s="296"/>
      <c r="K456" s="232"/>
      <c r="L456" s="278"/>
      <c r="M456" s="293"/>
    </row>
    <row r="457">
      <c r="A457" s="99"/>
      <c r="B457" s="99"/>
      <c r="C457" s="226"/>
      <c r="E457" s="227"/>
      <c r="F457" s="227"/>
      <c r="G457" s="227"/>
      <c r="H457" s="295"/>
      <c r="I457" s="278"/>
      <c r="J457" s="296"/>
      <c r="K457" s="232"/>
      <c r="L457" s="278"/>
      <c r="M457" s="293"/>
    </row>
    <row r="458">
      <c r="A458" s="99"/>
      <c r="B458" s="99"/>
      <c r="C458" s="226"/>
      <c r="E458" s="227"/>
      <c r="F458" s="227"/>
      <c r="G458" s="227"/>
      <c r="H458" s="295"/>
      <c r="I458" s="278"/>
      <c r="J458" s="296"/>
      <c r="K458" s="232"/>
      <c r="L458" s="278"/>
      <c r="M458" s="293"/>
    </row>
    <row r="459">
      <c r="A459" s="99"/>
      <c r="B459" s="99"/>
      <c r="C459" s="226"/>
      <c r="E459" s="227"/>
      <c r="F459" s="227"/>
      <c r="G459" s="227"/>
      <c r="H459" s="295"/>
      <c r="I459" s="278"/>
      <c r="J459" s="296"/>
      <c r="K459" s="232"/>
      <c r="L459" s="278"/>
      <c r="M459" s="293"/>
    </row>
    <row r="460">
      <c r="A460" s="99"/>
      <c r="B460" s="99"/>
      <c r="C460" s="226"/>
      <c r="E460" s="227"/>
      <c r="F460" s="227"/>
      <c r="G460" s="227"/>
      <c r="H460" s="295"/>
      <c r="I460" s="278"/>
      <c r="J460" s="296"/>
      <c r="K460" s="232"/>
      <c r="L460" s="278"/>
      <c r="M460" s="293"/>
    </row>
    <row r="461">
      <c r="A461" s="99"/>
      <c r="B461" s="99"/>
      <c r="C461" s="226"/>
      <c r="E461" s="227"/>
      <c r="F461" s="227"/>
      <c r="G461" s="227"/>
      <c r="H461" s="295"/>
      <c r="I461" s="278"/>
      <c r="J461" s="296"/>
      <c r="K461" s="232"/>
      <c r="L461" s="278"/>
      <c r="M461" s="293"/>
    </row>
    <row r="462">
      <c r="A462" s="99"/>
      <c r="B462" s="99"/>
      <c r="C462" s="226"/>
      <c r="E462" s="227"/>
      <c r="F462" s="227"/>
      <c r="G462" s="227"/>
      <c r="H462" s="295"/>
      <c r="I462" s="278"/>
      <c r="J462" s="296"/>
      <c r="K462" s="232"/>
      <c r="L462" s="278"/>
      <c r="M462" s="293"/>
    </row>
    <row r="463">
      <c r="A463" s="99"/>
      <c r="B463" s="99"/>
      <c r="C463" s="226"/>
      <c r="E463" s="227"/>
      <c r="F463" s="227"/>
      <c r="G463" s="227"/>
      <c r="H463" s="295"/>
      <c r="I463" s="278"/>
      <c r="J463" s="296"/>
      <c r="K463" s="232"/>
      <c r="L463" s="278"/>
      <c r="M463" s="293"/>
    </row>
    <row r="464">
      <c r="A464" s="99"/>
      <c r="B464" s="99"/>
      <c r="C464" s="226"/>
      <c r="E464" s="227"/>
      <c r="F464" s="227"/>
      <c r="G464" s="227"/>
      <c r="H464" s="295"/>
      <c r="I464" s="278"/>
      <c r="J464" s="296"/>
      <c r="K464" s="232"/>
      <c r="L464" s="278"/>
      <c r="M464" s="293"/>
    </row>
    <row r="465">
      <c r="A465" s="99"/>
      <c r="B465" s="99"/>
      <c r="C465" s="226"/>
      <c r="E465" s="227"/>
      <c r="F465" s="227"/>
      <c r="G465" s="227"/>
      <c r="H465" s="295"/>
      <c r="I465" s="278"/>
      <c r="J465" s="296"/>
      <c r="K465" s="232"/>
      <c r="L465" s="278"/>
      <c r="M465" s="293"/>
    </row>
    <row r="466">
      <c r="A466" s="99"/>
      <c r="B466" s="99"/>
      <c r="C466" s="226"/>
      <c r="E466" s="227"/>
      <c r="F466" s="227"/>
      <c r="G466" s="227"/>
      <c r="H466" s="295"/>
      <c r="I466" s="278"/>
      <c r="J466" s="296"/>
      <c r="K466" s="232"/>
      <c r="L466" s="278"/>
      <c r="M466" s="293"/>
    </row>
    <row r="467">
      <c r="A467" s="99"/>
      <c r="B467" s="99"/>
      <c r="C467" s="226"/>
      <c r="E467" s="227"/>
      <c r="F467" s="227"/>
      <c r="G467" s="227"/>
      <c r="H467" s="295"/>
      <c r="I467" s="278"/>
      <c r="J467" s="296"/>
      <c r="K467" s="232"/>
      <c r="L467" s="278"/>
      <c r="M467" s="293"/>
    </row>
    <row r="468">
      <c r="A468" s="99"/>
      <c r="B468" s="99"/>
      <c r="C468" s="226"/>
      <c r="E468" s="227"/>
      <c r="F468" s="227"/>
      <c r="G468" s="227"/>
      <c r="H468" s="295"/>
      <c r="I468" s="278"/>
      <c r="J468" s="296"/>
      <c r="K468" s="232"/>
      <c r="L468" s="278"/>
      <c r="M468" s="293"/>
    </row>
    <row r="469">
      <c r="A469" s="99"/>
      <c r="B469" s="99"/>
      <c r="C469" s="226"/>
      <c r="E469" s="227"/>
      <c r="F469" s="227"/>
      <c r="G469" s="227"/>
      <c r="H469" s="295"/>
      <c r="I469" s="278"/>
      <c r="J469" s="296"/>
      <c r="K469" s="232"/>
      <c r="L469" s="278"/>
      <c r="M469" s="293"/>
    </row>
    <row r="470">
      <c r="A470" s="99"/>
      <c r="B470" s="99"/>
      <c r="C470" s="226"/>
      <c r="E470" s="227"/>
      <c r="F470" s="227"/>
      <c r="G470" s="227"/>
      <c r="H470" s="295"/>
      <c r="I470" s="278"/>
      <c r="J470" s="296"/>
      <c r="K470" s="232"/>
      <c r="L470" s="278"/>
      <c r="M470" s="293"/>
    </row>
    <row r="471">
      <c r="A471" s="99"/>
      <c r="B471" s="99"/>
      <c r="C471" s="226"/>
      <c r="E471" s="227"/>
      <c r="F471" s="227"/>
      <c r="G471" s="227"/>
      <c r="H471" s="295"/>
      <c r="I471" s="278"/>
      <c r="J471" s="296"/>
      <c r="K471" s="232"/>
      <c r="L471" s="278"/>
      <c r="M471" s="293"/>
    </row>
    <row r="472">
      <c r="A472" s="99"/>
      <c r="B472" s="99"/>
      <c r="C472" s="226"/>
      <c r="E472" s="227"/>
      <c r="F472" s="227"/>
      <c r="G472" s="227"/>
      <c r="H472" s="295"/>
      <c r="I472" s="278"/>
      <c r="J472" s="296"/>
      <c r="K472" s="232"/>
      <c r="L472" s="278"/>
      <c r="M472" s="293"/>
    </row>
    <row r="473">
      <c r="A473" s="99"/>
      <c r="B473" s="99"/>
      <c r="C473" s="226"/>
      <c r="E473" s="227"/>
      <c r="F473" s="227"/>
      <c r="G473" s="227"/>
      <c r="H473" s="295"/>
      <c r="I473" s="278"/>
      <c r="J473" s="296"/>
      <c r="K473" s="232"/>
      <c r="L473" s="278"/>
      <c r="M473" s="293"/>
    </row>
    <row r="474">
      <c r="A474" s="99"/>
      <c r="B474" s="99"/>
      <c r="C474" s="226"/>
      <c r="E474" s="227"/>
      <c r="F474" s="227"/>
      <c r="G474" s="227"/>
      <c r="H474" s="295"/>
      <c r="I474" s="278"/>
      <c r="J474" s="296"/>
      <c r="K474" s="232"/>
      <c r="L474" s="278"/>
      <c r="M474" s="293"/>
    </row>
    <row r="475">
      <c r="A475" s="99"/>
      <c r="B475" s="99"/>
      <c r="C475" s="226"/>
      <c r="E475" s="227"/>
      <c r="F475" s="227"/>
      <c r="G475" s="227"/>
      <c r="H475" s="295"/>
      <c r="I475" s="278"/>
      <c r="J475" s="296"/>
      <c r="K475" s="232"/>
      <c r="L475" s="278"/>
      <c r="M475" s="293"/>
    </row>
    <row r="476">
      <c r="A476" s="99"/>
      <c r="B476" s="99"/>
      <c r="C476" s="226"/>
      <c r="E476" s="227"/>
      <c r="F476" s="227"/>
      <c r="G476" s="227"/>
      <c r="H476" s="295"/>
      <c r="I476" s="278"/>
      <c r="J476" s="296"/>
      <c r="K476" s="232"/>
      <c r="L476" s="278"/>
      <c r="M476" s="293"/>
    </row>
    <row r="477">
      <c r="A477" s="99"/>
      <c r="B477" s="99"/>
      <c r="C477" s="226"/>
      <c r="E477" s="227"/>
      <c r="F477" s="227"/>
      <c r="G477" s="227"/>
      <c r="H477" s="295"/>
      <c r="I477" s="278"/>
      <c r="J477" s="296"/>
      <c r="K477" s="232"/>
      <c r="L477" s="278"/>
      <c r="M477" s="293"/>
    </row>
    <row r="478">
      <c r="A478" s="99"/>
      <c r="B478" s="99"/>
      <c r="C478" s="226"/>
      <c r="E478" s="227"/>
      <c r="F478" s="227"/>
      <c r="G478" s="227"/>
      <c r="H478" s="295"/>
      <c r="I478" s="278"/>
      <c r="J478" s="296"/>
      <c r="K478" s="232"/>
      <c r="L478" s="278"/>
      <c r="M478" s="293"/>
    </row>
    <row r="479">
      <c r="A479" s="99"/>
      <c r="B479" s="99"/>
      <c r="C479" s="226"/>
      <c r="E479" s="227"/>
      <c r="F479" s="227"/>
      <c r="G479" s="227"/>
      <c r="H479" s="295"/>
      <c r="I479" s="278"/>
      <c r="J479" s="296"/>
      <c r="K479" s="232"/>
      <c r="L479" s="278"/>
      <c r="M479" s="293"/>
    </row>
    <row r="480">
      <c r="A480" s="99"/>
      <c r="B480" s="99"/>
      <c r="C480" s="226"/>
      <c r="E480" s="227"/>
      <c r="F480" s="227"/>
      <c r="G480" s="227"/>
      <c r="H480" s="295"/>
      <c r="I480" s="278"/>
      <c r="J480" s="296"/>
      <c r="K480" s="232"/>
      <c r="L480" s="278"/>
      <c r="M480" s="293"/>
    </row>
    <row r="481">
      <c r="A481" s="99"/>
      <c r="B481" s="99"/>
      <c r="C481" s="226"/>
      <c r="E481" s="227"/>
      <c r="F481" s="227"/>
      <c r="G481" s="227"/>
      <c r="H481" s="295"/>
      <c r="I481" s="278"/>
      <c r="J481" s="296"/>
      <c r="K481" s="232"/>
      <c r="L481" s="278"/>
      <c r="M481" s="293"/>
    </row>
    <row r="482">
      <c r="A482" s="99"/>
      <c r="B482" s="99"/>
      <c r="C482" s="226"/>
      <c r="E482" s="227"/>
      <c r="F482" s="227"/>
      <c r="G482" s="227"/>
      <c r="H482" s="295"/>
      <c r="I482" s="278"/>
      <c r="J482" s="296"/>
      <c r="K482" s="232"/>
      <c r="L482" s="278"/>
      <c r="M482" s="293"/>
    </row>
    <row r="483">
      <c r="A483" s="99"/>
      <c r="B483" s="99"/>
      <c r="C483" s="226"/>
      <c r="E483" s="227"/>
      <c r="F483" s="227"/>
      <c r="G483" s="227"/>
      <c r="H483" s="295"/>
      <c r="I483" s="278"/>
      <c r="J483" s="296"/>
      <c r="K483" s="232"/>
      <c r="L483" s="278"/>
      <c r="M483" s="293"/>
    </row>
    <row r="484">
      <c r="A484" s="99"/>
      <c r="B484" s="99"/>
      <c r="C484" s="226"/>
      <c r="E484" s="227"/>
      <c r="F484" s="227"/>
      <c r="G484" s="227"/>
      <c r="H484" s="295"/>
      <c r="I484" s="278"/>
      <c r="J484" s="296"/>
      <c r="K484" s="232"/>
      <c r="L484" s="278"/>
      <c r="M484" s="293"/>
    </row>
    <row r="485">
      <c r="A485" s="99"/>
      <c r="B485" s="99"/>
      <c r="C485" s="226"/>
      <c r="E485" s="227"/>
      <c r="F485" s="227"/>
      <c r="G485" s="227"/>
      <c r="H485" s="295"/>
      <c r="I485" s="278"/>
      <c r="J485" s="296"/>
      <c r="K485" s="232"/>
      <c r="L485" s="278"/>
      <c r="M485" s="293"/>
    </row>
    <row r="486">
      <c r="A486" s="99"/>
      <c r="B486" s="99"/>
      <c r="C486" s="226"/>
      <c r="E486" s="227"/>
      <c r="F486" s="227"/>
      <c r="G486" s="227"/>
      <c r="H486" s="295"/>
      <c r="I486" s="278"/>
      <c r="J486" s="296"/>
      <c r="K486" s="232"/>
      <c r="L486" s="278"/>
      <c r="M486" s="293"/>
    </row>
    <row r="487">
      <c r="A487" s="99"/>
      <c r="B487" s="99"/>
      <c r="C487" s="226"/>
      <c r="E487" s="227"/>
      <c r="F487" s="227"/>
      <c r="G487" s="227"/>
      <c r="H487" s="295"/>
      <c r="I487" s="278"/>
      <c r="J487" s="296"/>
      <c r="K487" s="232"/>
      <c r="L487" s="278"/>
      <c r="M487" s="293"/>
    </row>
    <row r="488">
      <c r="A488" s="99"/>
      <c r="B488" s="99"/>
      <c r="C488" s="226"/>
      <c r="E488" s="227"/>
      <c r="F488" s="227"/>
      <c r="G488" s="227"/>
      <c r="H488" s="295"/>
      <c r="I488" s="278"/>
      <c r="J488" s="296"/>
      <c r="K488" s="232"/>
      <c r="L488" s="278"/>
      <c r="M488" s="293"/>
    </row>
    <row r="489">
      <c r="A489" s="99"/>
      <c r="B489" s="99"/>
      <c r="C489" s="226"/>
      <c r="E489" s="227"/>
      <c r="F489" s="227"/>
      <c r="G489" s="227"/>
      <c r="H489" s="295"/>
      <c r="I489" s="278"/>
      <c r="J489" s="296"/>
      <c r="K489" s="232"/>
      <c r="L489" s="278"/>
      <c r="M489" s="293"/>
    </row>
    <row r="490">
      <c r="A490" s="99"/>
      <c r="B490" s="99"/>
      <c r="C490" s="226"/>
      <c r="E490" s="227"/>
      <c r="F490" s="227"/>
      <c r="G490" s="227"/>
      <c r="H490" s="295"/>
      <c r="I490" s="278"/>
      <c r="J490" s="296"/>
      <c r="K490" s="232"/>
      <c r="L490" s="278"/>
      <c r="M490" s="293"/>
    </row>
    <row r="491">
      <c r="A491" s="99"/>
      <c r="B491" s="99"/>
      <c r="C491" s="226"/>
      <c r="E491" s="227"/>
      <c r="F491" s="227"/>
      <c r="G491" s="227"/>
      <c r="H491" s="295"/>
      <c r="I491" s="278"/>
      <c r="J491" s="296"/>
      <c r="K491" s="232"/>
      <c r="L491" s="278"/>
      <c r="M491" s="293"/>
    </row>
    <row r="492">
      <c r="A492" s="99"/>
      <c r="B492" s="99"/>
      <c r="C492" s="226"/>
      <c r="E492" s="227"/>
      <c r="F492" s="227"/>
      <c r="G492" s="227"/>
      <c r="H492" s="295"/>
      <c r="I492" s="278"/>
      <c r="J492" s="296"/>
      <c r="K492" s="232"/>
      <c r="L492" s="278"/>
      <c r="M492" s="293"/>
    </row>
    <row r="493">
      <c r="A493" s="99"/>
      <c r="B493" s="99"/>
      <c r="C493" s="226"/>
      <c r="E493" s="227"/>
      <c r="F493" s="227"/>
      <c r="G493" s="227"/>
      <c r="H493" s="295"/>
      <c r="I493" s="278"/>
      <c r="J493" s="296"/>
      <c r="K493" s="232"/>
      <c r="L493" s="278"/>
      <c r="M493" s="293"/>
    </row>
    <row r="494">
      <c r="A494" s="99"/>
      <c r="B494" s="99"/>
      <c r="C494" s="226"/>
      <c r="E494" s="227"/>
      <c r="F494" s="227"/>
      <c r="G494" s="227"/>
      <c r="H494" s="295"/>
      <c r="I494" s="278"/>
      <c r="J494" s="296"/>
      <c r="K494" s="232"/>
      <c r="L494" s="278"/>
      <c r="M494" s="293"/>
    </row>
    <row r="495">
      <c r="A495" s="99"/>
      <c r="B495" s="99"/>
      <c r="C495" s="226"/>
      <c r="E495" s="227"/>
      <c r="F495" s="227"/>
      <c r="G495" s="227"/>
      <c r="H495" s="295"/>
      <c r="I495" s="278"/>
      <c r="J495" s="296"/>
      <c r="K495" s="232"/>
      <c r="L495" s="278"/>
      <c r="M495" s="293"/>
    </row>
    <row r="496">
      <c r="A496" s="99"/>
      <c r="B496" s="99"/>
      <c r="C496" s="226"/>
      <c r="E496" s="227"/>
      <c r="F496" s="227"/>
      <c r="G496" s="227"/>
      <c r="H496" s="295"/>
      <c r="I496" s="278"/>
      <c r="J496" s="296"/>
      <c r="K496" s="232"/>
      <c r="L496" s="278"/>
      <c r="M496" s="293"/>
    </row>
    <row r="497">
      <c r="A497" s="99"/>
      <c r="B497" s="99"/>
      <c r="C497" s="226"/>
      <c r="E497" s="227"/>
      <c r="F497" s="227"/>
      <c r="G497" s="227"/>
      <c r="H497" s="295"/>
      <c r="I497" s="278"/>
      <c r="J497" s="296"/>
      <c r="K497" s="232"/>
      <c r="L497" s="278"/>
      <c r="M497" s="293"/>
    </row>
    <row r="498">
      <c r="A498" s="99"/>
      <c r="B498" s="99"/>
      <c r="C498" s="226"/>
      <c r="E498" s="227"/>
      <c r="F498" s="227"/>
      <c r="G498" s="227"/>
      <c r="H498" s="295"/>
      <c r="I498" s="278"/>
      <c r="J498" s="296"/>
      <c r="K498" s="232"/>
      <c r="L498" s="278"/>
      <c r="M498" s="293"/>
    </row>
    <row r="499">
      <c r="A499" s="99"/>
      <c r="B499" s="99"/>
      <c r="C499" s="226"/>
      <c r="E499" s="227"/>
      <c r="F499" s="227"/>
      <c r="G499" s="227"/>
      <c r="H499" s="295"/>
      <c r="I499" s="278"/>
      <c r="J499" s="296"/>
      <c r="K499" s="232"/>
      <c r="L499" s="278"/>
      <c r="M499" s="293"/>
    </row>
    <row r="500">
      <c r="A500" s="99"/>
      <c r="B500" s="99"/>
      <c r="C500" s="226"/>
      <c r="E500" s="227"/>
      <c r="F500" s="227"/>
      <c r="G500" s="227"/>
      <c r="H500" s="295"/>
      <c r="I500" s="278"/>
      <c r="J500" s="296"/>
      <c r="K500" s="232"/>
      <c r="L500" s="278"/>
      <c r="M500" s="293"/>
    </row>
    <row r="501">
      <c r="A501" s="99"/>
      <c r="B501" s="99"/>
      <c r="C501" s="226"/>
      <c r="E501" s="227"/>
      <c r="F501" s="227"/>
      <c r="G501" s="227"/>
      <c r="H501" s="295"/>
      <c r="I501" s="278"/>
      <c r="J501" s="296"/>
      <c r="K501" s="232"/>
      <c r="L501" s="278"/>
      <c r="M501" s="293"/>
    </row>
    <row r="502">
      <c r="A502" s="99"/>
      <c r="B502" s="99"/>
      <c r="C502" s="226"/>
      <c r="E502" s="227"/>
      <c r="F502" s="227"/>
      <c r="G502" s="227"/>
      <c r="H502" s="295"/>
      <c r="I502" s="278"/>
      <c r="J502" s="296"/>
      <c r="K502" s="232"/>
      <c r="L502" s="278"/>
      <c r="M502" s="293"/>
    </row>
    <row r="503">
      <c r="A503" s="99"/>
      <c r="B503" s="99"/>
      <c r="C503" s="226"/>
      <c r="E503" s="227"/>
      <c r="F503" s="227"/>
      <c r="G503" s="227"/>
      <c r="H503" s="295"/>
      <c r="I503" s="278"/>
      <c r="J503" s="296"/>
      <c r="K503" s="232"/>
      <c r="L503" s="278"/>
      <c r="M503" s="293"/>
    </row>
    <row r="504">
      <c r="A504" s="99"/>
      <c r="B504" s="99"/>
      <c r="C504" s="226"/>
      <c r="E504" s="227"/>
      <c r="F504" s="227"/>
      <c r="G504" s="227"/>
      <c r="H504" s="295"/>
      <c r="I504" s="278"/>
      <c r="J504" s="296"/>
      <c r="K504" s="232"/>
      <c r="L504" s="278"/>
      <c r="M504" s="293"/>
    </row>
    <row r="505">
      <c r="A505" s="99"/>
      <c r="B505" s="99"/>
      <c r="C505" s="226"/>
      <c r="E505" s="227"/>
      <c r="F505" s="227"/>
      <c r="G505" s="227"/>
      <c r="H505" s="295"/>
      <c r="I505" s="278"/>
      <c r="J505" s="296"/>
      <c r="K505" s="232"/>
      <c r="L505" s="278"/>
      <c r="M505" s="293"/>
    </row>
    <row r="506">
      <c r="A506" s="99"/>
      <c r="B506" s="99"/>
      <c r="C506" s="226"/>
      <c r="E506" s="227"/>
      <c r="F506" s="227"/>
      <c r="G506" s="227"/>
      <c r="H506" s="295"/>
      <c r="I506" s="278"/>
      <c r="J506" s="296"/>
      <c r="K506" s="232"/>
      <c r="L506" s="278"/>
      <c r="M506" s="293"/>
    </row>
    <row r="507">
      <c r="A507" s="99"/>
      <c r="B507" s="99"/>
      <c r="C507" s="226"/>
      <c r="E507" s="227"/>
      <c r="F507" s="227"/>
      <c r="G507" s="227"/>
      <c r="H507" s="295"/>
      <c r="I507" s="278"/>
      <c r="J507" s="296"/>
      <c r="K507" s="232"/>
      <c r="L507" s="278"/>
      <c r="M507" s="293"/>
    </row>
    <row r="508">
      <c r="A508" s="99"/>
      <c r="B508" s="99"/>
      <c r="C508" s="226"/>
      <c r="E508" s="227"/>
      <c r="F508" s="227"/>
      <c r="G508" s="227"/>
      <c r="H508" s="295"/>
      <c r="I508" s="278"/>
      <c r="J508" s="296"/>
      <c r="K508" s="232"/>
      <c r="L508" s="278"/>
      <c r="M508" s="293"/>
    </row>
    <row r="509">
      <c r="A509" s="99"/>
      <c r="B509" s="99"/>
      <c r="C509" s="226"/>
      <c r="E509" s="227"/>
      <c r="F509" s="227"/>
      <c r="G509" s="227"/>
      <c r="H509" s="295"/>
      <c r="I509" s="278"/>
      <c r="J509" s="296"/>
      <c r="K509" s="232"/>
      <c r="L509" s="278"/>
      <c r="M509" s="293"/>
    </row>
    <row r="510">
      <c r="A510" s="99"/>
      <c r="B510" s="99"/>
      <c r="C510" s="226"/>
      <c r="E510" s="227"/>
      <c r="F510" s="227"/>
      <c r="G510" s="227"/>
      <c r="H510" s="295"/>
      <c r="I510" s="278"/>
      <c r="J510" s="296"/>
      <c r="K510" s="232"/>
      <c r="L510" s="278"/>
      <c r="M510" s="293"/>
    </row>
    <row r="511">
      <c r="A511" s="99"/>
      <c r="B511" s="99"/>
      <c r="C511" s="226"/>
      <c r="E511" s="227"/>
      <c r="F511" s="227"/>
      <c r="G511" s="227"/>
      <c r="H511" s="295"/>
      <c r="I511" s="278"/>
      <c r="J511" s="296"/>
      <c r="K511" s="232"/>
      <c r="L511" s="278"/>
      <c r="M511" s="293"/>
    </row>
    <row r="512">
      <c r="A512" s="99"/>
      <c r="B512" s="99"/>
      <c r="C512" s="226"/>
      <c r="E512" s="227"/>
      <c r="F512" s="227"/>
      <c r="G512" s="227"/>
      <c r="H512" s="295"/>
      <c r="I512" s="278"/>
      <c r="J512" s="296"/>
      <c r="K512" s="232"/>
      <c r="L512" s="278"/>
      <c r="M512" s="293"/>
    </row>
    <row r="513">
      <c r="A513" s="99"/>
      <c r="B513" s="99"/>
      <c r="C513" s="226"/>
      <c r="E513" s="227"/>
      <c r="F513" s="227"/>
      <c r="G513" s="227"/>
      <c r="H513" s="295"/>
      <c r="I513" s="278"/>
      <c r="J513" s="296"/>
      <c r="K513" s="232"/>
      <c r="L513" s="278"/>
      <c r="M513" s="293"/>
    </row>
    <row r="514">
      <c r="A514" s="99"/>
      <c r="B514" s="99"/>
      <c r="C514" s="226"/>
      <c r="E514" s="227"/>
      <c r="F514" s="227"/>
      <c r="G514" s="227"/>
      <c r="H514" s="295"/>
      <c r="I514" s="278"/>
      <c r="J514" s="296"/>
      <c r="K514" s="232"/>
      <c r="L514" s="278"/>
      <c r="M514" s="293"/>
    </row>
    <row r="515">
      <c r="A515" s="99"/>
      <c r="B515" s="99"/>
      <c r="C515" s="226"/>
      <c r="E515" s="227"/>
      <c r="F515" s="227"/>
      <c r="G515" s="227"/>
      <c r="H515" s="295"/>
      <c r="I515" s="278"/>
      <c r="J515" s="296"/>
      <c r="K515" s="232"/>
      <c r="L515" s="278"/>
      <c r="M515" s="293"/>
    </row>
    <row r="516">
      <c r="A516" s="99"/>
      <c r="B516" s="99"/>
      <c r="C516" s="226"/>
      <c r="E516" s="227"/>
      <c r="F516" s="227"/>
      <c r="G516" s="227"/>
      <c r="H516" s="295"/>
      <c r="I516" s="278"/>
      <c r="J516" s="296"/>
      <c r="K516" s="232"/>
      <c r="L516" s="278"/>
      <c r="M516" s="293"/>
    </row>
    <row r="517">
      <c r="A517" s="99"/>
      <c r="B517" s="99"/>
      <c r="C517" s="226"/>
      <c r="E517" s="227"/>
      <c r="F517" s="227"/>
      <c r="G517" s="227"/>
      <c r="H517" s="295"/>
      <c r="I517" s="278"/>
      <c r="J517" s="296"/>
      <c r="K517" s="232"/>
      <c r="L517" s="278"/>
      <c r="M517" s="293"/>
    </row>
    <row r="518">
      <c r="A518" s="99"/>
      <c r="B518" s="99"/>
      <c r="C518" s="226"/>
      <c r="E518" s="227"/>
      <c r="F518" s="227"/>
      <c r="G518" s="227"/>
      <c r="H518" s="295"/>
      <c r="I518" s="278"/>
      <c r="J518" s="296"/>
      <c r="K518" s="232"/>
      <c r="L518" s="278"/>
      <c r="M518" s="293"/>
    </row>
  </sheetData>
  <mergeCells count="34">
    <mergeCell ref="L6:M6"/>
    <mergeCell ref="L7:M7"/>
    <mergeCell ref="L9:M9"/>
    <mergeCell ref="L10:M10"/>
    <mergeCell ref="E8:F8"/>
    <mergeCell ref="E9:F9"/>
    <mergeCell ref="E11:F11"/>
    <mergeCell ref="E12:F12"/>
    <mergeCell ref="D14:E14"/>
    <mergeCell ref="D16:E16"/>
    <mergeCell ref="F16:G16"/>
    <mergeCell ref="D18:H18"/>
    <mergeCell ref="A1:N2"/>
    <mergeCell ref="F3:G3"/>
    <mergeCell ref="L3:M3"/>
    <mergeCell ref="L4:M4"/>
    <mergeCell ref="F6:G6"/>
    <mergeCell ref="I6:J6"/>
    <mergeCell ref="L8:M8"/>
    <mergeCell ref="I13:J13"/>
    <mergeCell ref="I14:J14"/>
    <mergeCell ref="L14:M14"/>
    <mergeCell ref="I15:J15"/>
    <mergeCell ref="L15:M15"/>
    <mergeCell ref="I16:J16"/>
    <mergeCell ref="L16:M16"/>
    <mergeCell ref="I18:K18"/>
    <mergeCell ref="I7:J7"/>
    <mergeCell ref="I8:J8"/>
    <mergeCell ref="I9:J9"/>
    <mergeCell ref="I10:J10"/>
    <mergeCell ref="I11:M11"/>
    <mergeCell ref="I12:J12"/>
    <mergeCell ref="L12:M12"/>
  </mergeCells>
  <dataValidations>
    <dataValidation type="custom" allowBlank="1" showDropDown="1" showErrorMessage="1" sqref="B3 D3">
      <formula1>OR(NOT(ISERROR(DATEVALUE(B3))), AND(ISNUMBER(B3), LEFT(CELL("format", B3))="D"))</formula1>
    </dataValidation>
  </dataValidation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13"/>
    <col customWidth="1" min="2" max="2" width="22.63"/>
    <col customWidth="1" min="5" max="5" width="11.38"/>
    <col customWidth="1" min="6" max="6" width="11.5"/>
    <col customWidth="1" min="7" max="7" width="9.0"/>
    <col customWidth="1" min="8" max="8" width="4.5"/>
    <col customWidth="1" min="9" max="11" width="11.25"/>
  </cols>
  <sheetData>
    <row r="1" ht="25.5" customHeight="1">
      <c r="A1" s="27"/>
      <c r="D1" s="28"/>
      <c r="E1" s="28"/>
      <c r="F1" s="29">
        <f>TODAY()</f>
        <v>44907</v>
      </c>
      <c r="J1" s="29"/>
      <c r="K1" s="29"/>
    </row>
    <row r="2" ht="3.0" customHeight="1">
      <c r="A2" s="28"/>
      <c r="B2" s="28"/>
      <c r="C2" s="28"/>
      <c r="D2" s="28"/>
      <c r="E2" s="28"/>
      <c r="F2" s="28"/>
      <c r="G2" s="28"/>
      <c r="H2" s="28"/>
      <c r="I2" s="30"/>
      <c r="J2" s="30"/>
      <c r="K2" s="30"/>
    </row>
    <row r="3">
      <c r="A3" s="28"/>
      <c r="B3" s="28"/>
      <c r="C3" s="28"/>
      <c r="D3" s="28"/>
      <c r="E3" s="28"/>
      <c r="F3" s="31" t="s">
        <v>78</v>
      </c>
      <c r="G3" s="32">
        <f>SmallScale!D3</f>
        <v>44114</v>
      </c>
      <c r="H3" s="28"/>
      <c r="I3" s="30"/>
      <c r="J3" s="30"/>
      <c r="K3" s="30"/>
    </row>
    <row r="4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7</v>
      </c>
      <c r="G4" s="15" t="s">
        <v>8</v>
      </c>
      <c r="H4" s="13" t="s">
        <v>9</v>
      </c>
      <c r="I4" s="16" t="s">
        <v>10</v>
      </c>
      <c r="J4" s="16" t="s">
        <v>11</v>
      </c>
      <c r="K4" s="17" t="s">
        <v>12</v>
      </c>
    </row>
    <row r="5">
      <c r="A5" s="33">
        <v>44301.0</v>
      </c>
      <c r="B5" s="34" t="s">
        <v>79</v>
      </c>
      <c r="C5" s="34">
        <v>67.8</v>
      </c>
      <c r="D5" s="34">
        <v>1.0</v>
      </c>
      <c r="E5" s="34"/>
      <c r="F5" s="35">
        <f>iferror(round(I5 / ((G5*64)+H5),2),"")</f>
        <v>0</v>
      </c>
      <c r="G5" s="36">
        <f>IF(C5&gt;0,INT(K5/63),"")</f>
        <v>1</v>
      </c>
      <c r="H5" s="36">
        <f>IF(C5="","",(INT(((K5/63)-INT(K5/63))*63)))</f>
        <v>3</v>
      </c>
      <c r="I5" s="37"/>
      <c r="J5" s="38">
        <f>IF(C5&gt;0,C5-D5,"")</f>
        <v>66.8</v>
      </c>
      <c r="K5" s="39">
        <f>IF(C5&gt;0,J5-E5,"")</f>
        <v>66.8</v>
      </c>
    </row>
    <row r="6">
      <c r="A6" s="33"/>
      <c r="B6" s="34"/>
      <c r="C6" s="34"/>
      <c r="D6" s="34"/>
      <c r="E6" s="34"/>
      <c r="F6" s="40"/>
      <c r="G6" s="36"/>
      <c r="H6" s="41"/>
      <c r="I6" s="37"/>
      <c r="J6" s="38"/>
      <c r="K6" s="39"/>
    </row>
    <row r="7">
      <c r="A7" s="42"/>
      <c r="B7" s="34"/>
      <c r="C7" s="34"/>
      <c r="D7" s="34"/>
      <c r="E7" s="34"/>
      <c r="F7" s="40"/>
      <c r="G7" s="36"/>
      <c r="H7" s="36"/>
      <c r="I7" s="37"/>
      <c r="J7" s="38"/>
      <c r="K7" s="39"/>
    </row>
    <row r="8">
      <c r="A8" s="42"/>
      <c r="B8" s="34"/>
      <c r="C8" s="34"/>
      <c r="D8" s="34"/>
      <c r="E8" s="34"/>
      <c r="F8" s="40"/>
      <c r="G8" s="36"/>
      <c r="H8" s="36"/>
      <c r="I8" s="37"/>
      <c r="J8" s="38"/>
      <c r="K8" s="39"/>
    </row>
    <row r="9">
      <c r="A9" s="42"/>
      <c r="B9" s="34"/>
      <c r="C9" s="34"/>
      <c r="D9" s="34"/>
      <c r="E9" s="43"/>
      <c r="F9" s="40"/>
      <c r="G9" s="36"/>
      <c r="H9" s="36"/>
      <c r="I9" s="37"/>
      <c r="J9" s="38"/>
      <c r="K9" s="39"/>
    </row>
    <row r="10">
      <c r="A10" s="42"/>
      <c r="B10" s="34"/>
      <c r="C10" s="34"/>
      <c r="D10" s="34"/>
      <c r="E10" s="43"/>
      <c r="F10" s="40"/>
      <c r="G10" s="36"/>
      <c r="H10" s="36"/>
      <c r="I10" s="37"/>
      <c r="J10" s="38"/>
      <c r="K10" s="39"/>
    </row>
    <row r="11">
      <c r="A11" s="42"/>
      <c r="B11" s="34"/>
      <c r="C11" s="34"/>
      <c r="D11" s="43"/>
      <c r="E11" s="34"/>
      <c r="F11" s="40"/>
      <c r="G11" s="36"/>
      <c r="H11" s="36"/>
      <c r="I11" s="37"/>
      <c r="J11" s="38"/>
      <c r="K11" s="39"/>
    </row>
    <row r="12">
      <c r="A12" s="44"/>
      <c r="B12" s="43"/>
      <c r="C12" s="43"/>
      <c r="D12" s="43"/>
      <c r="E12" s="43"/>
      <c r="F12" s="40"/>
      <c r="G12" s="36"/>
      <c r="H12" s="36"/>
      <c r="I12" s="45"/>
      <c r="J12" s="38"/>
      <c r="K12" s="39"/>
    </row>
    <row r="13">
      <c r="A13" s="42"/>
      <c r="B13" s="34"/>
      <c r="C13" s="46"/>
      <c r="D13" s="46"/>
      <c r="E13" s="34"/>
      <c r="F13" s="40"/>
      <c r="G13" s="36"/>
      <c r="H13" s="36"/>
      <c r="I13" s="37"/>
      <c r="J13" s="38"/>
      <c r="K13" s="39"/>
    </row>
    <row r="14">
      <c r="A14" s="42"/>
      <c r="B14" s="34"/>
      <c r="C14" s="34"/>
      <c r="D14" s="34"/>
      <c r="E14" s="43"/>
      <c r="F14" s="40"/>
      <c r="G14" s="36"/>
      <c r="H14" s="36"/>
      <c r="I14" s="37"/>
      <c r="J14" s="38"/>
      <c r="K14" s="39"/>
    </row>
    <row r="15">
      <c r="A15" s="42"/>
      <c r="B15" s="34"/>
      <c r="C15" s="34"/>
      <c r="D15" s="34"/>
      <c r="E15" s="34"/>
      <c r="F15" s="40"/>
      <c r="G15" s="36"/>
      <c r="H15" s="36"/>
      <c r="I15" s="37"/>
      <c r="J15" s="38"/>
      <c r="K15" s="39"/>
    </row>
    <row r="16">
      <c r="A16" s="42"/>
      <c r="B16" s="34"/>
      <c r="C16" s="34"/>
      <c r="D16" s="34"/>
      <c r="E16" s="34"/>
      <c r="F16" s="40"/>
      <c r="G16" s="36"/>
      <c r="H16" s="36"/>
      <c r="I16" s="37"/>
      <c r="J16" s="38"/>
      <c r="K16" s="39"/>
    </row>
    <row r="17">
      <c r="A17" s="42"/>
      <c r="B17" s="34"/>
      <c r="C17" s="34"/>
      <c r="D17" s="43"/>
      <c r="E17" s="34"/>
      <c r="F17" s="40"/>
      <c r="G17" s="36"/>
      <c r="H17" s="36"/>
      <c r="I17" s="37"/>
      <c r="J17" s="38"/>
      <c r="K17" s="39"/>
    </row>
    <row r="18">
      <c r="A18" s="44"/>
      <c r="B18" s="43"/>
      <c r="C18" s="43"/>
      <c r="D18" s="43"/>
      <c r="E18" s="43"/>
      <c r="F18" s="40"/>
      <c r="G18" s="36"/>
      <c r="H18" s="36"/>
      <c r="I18" s="45"/>
      <c r="J18" s="38"/>
      <c r="K18" s="39"/>
    </row>
    <row r="19">
      <c r="A19" s="44"/>
      <c r="B19" s="43"/>
      <c r="C19" s="43"/>
      <c r="D19" s="43"/>
      <c r="E19" s="43"/>
      <c r="F19" s="40"/>
      <c r="G19" s="36"/>
      <c r="H19" s="36"/>
      <c r="I19" s="45"/>
      <c r="J19" s="38"/>
      <c r="K19" s="39"/>
    </row>
    <row r="20">
      <c r="A20" s="44"/>
      <c r="B20" s="43"/>
      <c r="C20" s="43"/>
      <c r="D20" s="43"/>
      <c r="E20" s="43"/>
      <c r="F20" s="40"/>
      <c r="G20" s="36"/>
      <c r="H20" s="36"/>
      <c r="I20" s="45"/>
      <c r="J20" s="38"/>
      <c r="K20" s="39"/>
    </row>
    <row r="21">
      <c r="A21" s="44"/>
      <c r="B21" s="43"/>
      <c r="C21" s="43"/>
      <c r="D21" s="43"/>
      <c r="E21" s="43"/>
      <c r="F21" s="40"/>
      <c r="G21" s="36"/>
      <c r="H21" s="36"/>
      <c r="I21" s="45"/>
      <c r="J21" s="38"/>
      <c r="K21" s="39"/>
    </row>
    <row r="22">
      <c r="A22" s="44"/>
      <c r="B22" s="43"/>
      <c r="C22" s="43"/>
      <c r="D22" s="43"/>
      <c r="E22" s="43"/>
      <c r="F22" s="40"/>
      <c r="G22" s="36"/>
      <c r="H22" s="36"/>
      <c r="I22" s="45"/>
      <c r="J22" s="38"/>
      <c r="K22" s="39"/>
    </row>
    <row r="23">
      <c r="A23" s="44"/>
      <c r="B23" s="43"/>
      <c r="C23" s="43"/>
      <c r="D23" s="43"/>
      <c r="E23" s="43"/>
      <c r="F23" s="40"/>
      <c r="G23" s="36"/>
      <c r="H23" s="36"/>
      <c r="I23" s="45"/>
      <c r="J23" s="38"/>
      <c r="K23" s="39"/>
    </row>
    <row r="24">
      <c r="A24" s="44"/>
      <c r="B24" s="43"/>
      <c r="C24" s="43"/>
      <c r="D24" s="43"/>
      <c r="E24" s="43"/>
      <c r="F24" s="40"/>
      <c r="G24" s="36"/>
      <c r="H24" s="36"/>
      <c r="I24" s="45"/>
      <c r="J24" s="38"/>
      <c r="K24" s="39"/>
    </row>
    <row r="25">
      <c r="A25" s="44"/>
      <c r="B25" s="43"/>
      <c r="C25" s="43"/>
      <c r="D25" s="43"/>
      <c r="E25" s="43"/>
      <c r="F25" s="40"/>
      <c r="G25" s="36"/>
      <c r="H25" s="36"/>
      <c r="I25" s="45"/>
      <c r="J25" s="38"/>
      <c r="K25" s="39"/>
    </row>
    <row r="26">
      <c r="A26" s="44"/>
      <c r="B26" s="43"/>
      <c r="C26" s="43"/>
      <c r="D26" s="43"/>
      <c r="E26" s="43"/>
      <c r="F26" s="40"/>
      <c r="G26" s="36"/>
      <c r="H26" s="36"/>
      <c r="I26" s="45"/>
      <c r="J26" s="38"/>
      <c r="K26" s="39"/>
    </row>
    <row r="27">
      <c r="A27" s="44"/>
      <c r="B27" s="43"/>
      <c r="C27" s="43"/>
      <c r="D27" s="43"/>
      <c r="E27" s="43"/>
      <c r="F27" s="40"/>
      <c r="G27" s="36"/>
      <c r="H27" s="36"/>
      <c r="I27" s="45"/>
      <c r="J27" s="38"/>
      <c r="K27" s="39"/>
    </row>
    <row r="28">
      <c r="A28" s="44"/>
      <c r="B28" s="43"/>
      <c r="C28" s="43"/>
      <c r="D28" s="43"/>
      <c r="E28" s="43"/>
      <c r="F28" s="40"/>
      <c r="G28" s="36"/>
      <c r="H28" s="36"/>
      <c r="I28" s="45"/>
      <c r="J28" s="38"/>
      <c r="K28" s="39"/>
    </row>
    <row r="29">
      <c r="A29" s="44"/>
      <c r="B29" s="43"/>
      <c r="C29" s="43"/>
      <c r="D29" s="43"/>
      <c r="E29" s="43"/>
      <c r="F29" s="40"/>
      <c r="G29" s="36"/>
      <c r="H29" s="36"/>
      <c r="I29" s="45"/>
      <c r="J29" s="38"/>
      <c r="K29" s="39"/>
    </row>
    <row r="30">
      <c r="A30" s="44"/>
      <c r="B30" s="43"/>
      <c r="C30" s="43"/>
      <c r="D30" s="43"/>
      <c r="E30" s="43"/>
      <c r="F30" s="40"/>
      <c r="G30" s="36"/>
      <c r="H30" s="36"/>
      <c r="I30" s="45"/>
      <c r="J30" s="38"/>
      <c r="K30" s="39"/>
    </row>
    <row r="31">
      <c r="A31" s="44"/>
      <c r="B31" s="43"/>
      <c r="C31" s="43"/>
      <c r="D31" s="43"/>
      <c r="E31" s="43"/>
      <c r="F31" s="40"/>
      <c r="G31" s="36"/>
      <c r="H31" s="36"/>
      <c r="I31" s="45"/>
      <c r="J31" s="38"/>
      <c r="K31" s="39"/>
    </row>
    <row r="32">
      <c r="A32" s="44"/>
      <c r="B32" s="43"/>
      <c r="C32" s="43"/>
      <c r="D32" s="43"/>
      <c r="E32" s="43"/>
      <c r="F32" s="40"/>
      <c r="G32" s="36"/>
      <c r="H32" s="36"/>
      <c r="I32" s="45"/>
      <c r="J32" s="38"/>
      <c r="K32" s="39"/>
    </row>
    <row r="33">
      <c r="A33" s="44"/>
      <c r="B33" s="43"/>
      <c r="C33" s="43"/>
      <c r="D33" s="43"/>
      <c r="E33" s="43"/>
      <c r="F33" s="40"/>
      <c r="G33" s="36"/>
      <c r="H33" s="36"/>
      <c r="I33" s="45"/>
      <c r="J33" s="38"/>
      <c r="K33" s="39"/>
    </row>
    <row r="34">
      <c r="A34" s="44"/>
      <c r="B34" s="43"/>
      <c r="C34" s="43"/>
      <c r="D34" s="43"/>
      <c r="E34" s="43"/>
      <c r="F34" s="40"/>
      <c r="G34" s="36"/>
      <c r="H34" s="36"/>
      <c r="I34" s="45"/>
      <c r="J34" s="38"/>
      <c r="K34" s="39"/>
    </row>
    <row r="35">
      <c r="A35" s="44"/>
      <c r="B35" s="43"/>
      <c r="C35" s="43"/>
      <c r="D35" s="43"/>
      <c r="E35" s="43"/>
      <c r="F35" s="40"/>
      <c r="G35" s="36"/>
      <c r="H35" s="36"/>
      <c r="I35" s="45"/>
      <c r="J35" s="38"/>
      <c r="K35" s="39"/>
    </row>
    <row r="36">
      <c r="A36" s="44"/>
      <c r="B36" s="43"/>
      <c r="C36" s="43"/>
      <c r="D36" s="43"/>
      <c r="E36" s="43"/>
      <c r="F36" s="40"/>
      <c r="G36" s="36"/>
      <c r="H36" s="36"/>
      <c r="I36" s="45"/>
      <c r="J36" s="38"/>
      <c r="K36" s="39"/>
    </row>
    <row r="37">
      <c r="A37" s="44"/>
      <c r="B37" s="43"/>
      <c r="C37" s="43"/>
      <c r="D37" s="43"/>
      <c r="E37" s="43"/>
      <c r="F37" s="40"/>
      <c r="G37" s="36"/>
      <c r="H37" s="36"/>
      <c r="I37" s="45"/>
      <c r="J37" s="38"/>
      <c r="K37" s="39"/>
    </row>
    <row r="38">
      <c r="A38" s="44"/>
      <c r="B38" s="43"/>
      <c r="C38" s="43"/>
      <c r="D38" s="43"/>
      <c r="E38" s="43"/>
      <c r="F38" s="40"/>
      <c r="G38" s="36"/>
      <c r="H38" s="36"/>
      <c r="I38" s="45"/>
      <c r="J38" s="38"/>
      <c r="K38" s="39"/>
    </row>
    <row r="39">
      <c r="A39" s="44"/>
      <c r="B39" s="43"/>
      <c r="C39" s="43"/>
      <c r="D39" s="43"/>
      <c r="E39" s="43"/>
      <c r="F39" s="40"/>
      <c r="G39" s="36"/>
      <c r="H39" s="36"/>
      <c r="I39" s="45"/>
      <c r="J39" s="38"/>
      <c r="K39" s="39"/>
    </row>
    <row r="40">
      <c r="A40" s="44"/>
      <c r="B40" s="43"/>
      <c r="C40" s="43"/>
      <c r="D40" s="43"/>
      <c r="E40" s="43"/>
      <c r="F40" s="40"/>
      <c r="G40" s="36"/>
      <c r="H40" s="36"/>
      <c r="I40" s="45"/>
      <c r="J40" s="38"/>
      <c r="K40" s="39"/>
    </row>
    <row r="41">
      <c r="A41" s="44"/>
      <c r="B41" s="43"/>
      <c r="C41" s="43"/>
      <c r="D41" s="43"/>
      <c r="E41" s="43"/>
      <c r="F41" s="40"/>
      <c r="G41" s="36"/>
      <c r="H41" s="36"/>
      <c r="I41" s="45"/>
      <c r="J41" s="38"/>
      <c r="K41" s="39"/>
    </row>
    <row r="42">
      <c r="A42" s="44"/>
      <c r="B42" s="43"/>
      <c r="C42" s="43"/>
      <c r="D42" s="43"/>
      <c r="E42" s="43"/>
      <c r="F42" s="40"/>
      <c r="G42" s="36"/>
      <c r="H42" s="36"/>
      <c r="I42" s="45"/>
      <c r="J42" s="38"/>
      <c r="K42" s="39"/>
    </row>
    <row r="43">
      <c r="A43" s="44"/>
      <c r="B43" s="43"/>
      <c r="C43" s="43"/>
      <c r="D43" s="43"/>
      <c r="E43" s="43"/>
      <c r="F43" s="40"/>
      <c r="G43" s="36"/>
      <c r="H43" s="36"/>
      <c r="I43" s="45"/>
      <c r="J43" s="38"/>
      <c r="K43" s="39"/>
    </row>
    <row r="44">
      <c r="A44" s="44"/>
      <c r="B44" s="43"/>
      <c r="C44" s="43"/>
      <c r="D44" s="43"/>
      <c r="E44" s="43"/>
      <c r="F44" s="40"/>
      <c r="G44" s="36"/>
      <c r="H44" s="36"/>
      <c r="I44" s="45"/>
      <c r="J44" s="38"/>
      <c r="K44" s="39"/>
    </row>
    <row r="45">
      <c r="A45" s="44"/>
      <c r="B45" s="43"/>
      <c r="C45" s="43"/>
      <c r="D45" s="43"/>
      <c r="E45" s="43"/>
      <c r="F45" s="40"/>
      <c r="G45" s="36"/>
      <c r="H45" s="36"/>
      <c r="I45" s="45"/>
      <c r="J45" s="38"/>
      <c r="K45" s="39"/>
    </row>
    <row r="46">
      <c r="A46" s="44"/>
      <c r="B46" s="43"/>
      <c r="C46" s="43"/>
      <c r="D46" s="43"/>
      <c r="E46" s="43"/>
      <c r="F46" s="40"/>
      <c r="G46" s="36"/>
      <c r="H46" s="36"/>
      <c r="I46" s="45"/>
      <c r="J46" s="38"/>
      <c r="K46" s="39"/>
    </row>
    <row r="47">
      <c r="A47" s="44"/>
      <c r="B47" s="43"/>
      <c r="C47" s="43"/>
      <c r="D47" s="43"/>
      <c r="E47" s="43"/>
      <c r="F47" s="40"/>
      <c r="G47" s="36"/>
      <c r="H47" s="36"/>
      <c r="I47" s="45"/>
      <c r="J47" s="38"/>
      <c r="K47" s="39"/>
    </row>
    <row r="48">
      <c r="A48" s="44"/>
      <c r="B48" s="43"/>
      <c r="C48" s="43"/>
      <c r="D48" s="43"/>
      <c r="E48" s="43"/>
      <c r="F48" s="40"/>
      <c r="G48" s="36"/>
      <c r="H48" s="36"/>
      <c r="I48" s="45"/>
      <c r="J48" s="38"/>
      <c r="K48" s="39"/>
    </row>
    <row r="49">
      <c r="A49" s="44"/>
      <c r="B49" s="43"/>
      <c r="C49" s="43"/>
      <c r="D49" s="43"/>
      <c r="E49" s="43"/>
      <c r="F49" s="40"/>
      <c r="G49" s="36"/>
      <c r="H49" s="36"/>
      <c r="I49" s="45"/>
      <c r="J49" s="38"/>
      <c r="K49" s="39"/>
    </row>
    <row r="50">
      <c r="A50" s="44"/>
      <c r="B50" s="43"/>
      <c r="C50" s="43"/>
      <c r="D50" s="43"/>
      <c r="E50" s="43"/>
      <c r="F50" s="40"/>
      <c r="G50" s="36"/>
      <c r="H50" s="36"/>
      <c r="I50" s="45"/>
      <c r="J50" s="38"/>
      <c r="K50" s="39"/>
    </row>
    <row r="51">
      <c r="A51" s="47"/>
      <c r="B51" s="48"/>
      <c r="C51" s="48"/>
      <c r="D51" s="48"/>
      <c r="E51" s="43"/>
      <c r="F51" s="40"/>
      <c r="G51" s="36"/>
      <c r="H51" s="36"/>
      <c r="I51" s="45"/>
      <c r="J51" s="38"/>
      <c r="K51" s="39"/>
    </row>
    <row r="52">
      <c r="A52" s="47"/>
      <c r="B52" s="48"/>
      <c r="C52" s="48"/>
      <c r="D52" s="48"/>
      <c r="E52" s="43"/>
      <c r="F52" s="40"/>
      <c r="G52" s="36"/>
      <c r="H52" s="36"/>
      <c r="I52" s="45"/>
      <c r="J52" s="38"/>
      <c r="K52" s="39"/>
    </row>
    <row r="53">
      <c r="A53" s="47"/>
      <c r="B53" s="48"/>
      <c r="C53" s="48"/>
      <c r="D53" s="48"/>
      <c r="E53" s="43"/>
      <c r="F53" s="40"/>
      <c r="G53" s="36"/>
      <c r="H53" s="36"/>
      <c r="I53" s="45"/>
      <c r="J53" s="38"/>
      <c r="K53" s="39"/>
    </row>
    <row r="54">
      <c r="A54" s="47"/>
      <c r="B54" s="48"/>
      <c r="C54" s="48"/>
      <c r="D54" s="48"/>
      <c r="E54" s="43"/>
      <c r="F54" s="40"/>
      <c r="G54" s="36"/>
      <c r="H54" s="36"/>
      <c r="I54" s="45"/>
      <c r="J54" s="38"/>
      <c r="K54" s="39"/>
    </row>
    <row r="55">
      <c r="A55" s="47"/>
      <c r="B55" s="48"/>
      <c r="C55" s="48"/>
      <c r="D55" s="48"/>
      <c r="E55" s="43"/>
      <c r="F55" s="40"/>
      <c r="G55" s="36"/>
      <c r="H55" s="36"/>
      <c r="I55" s="45"/>
      <c r="J55" s="38"/>
      <c r="K55" s="39"/>
    </row>
    <row r="56">
      <c r="A56" s="47"/>
      <c r="B56" s="48"/>
      <c r="C56" s="48"/>
      <c r="D56" s="48"/>
      <c r="E56" s="43"/>
      <c r="F56" s="40"/>
      <c r="G56" s="36"/>
      <c r="H56" s="36"/>
      <c r="I56" s="45"/>
      <c r="J56" s="38"/>
      <c r="K56" s="39"/>
    </row>
    <row r="57">
      <c r="A57" s="47"/>
      <c r="B57" s="48"/>
      <c r="C57" s="48"/>
      <c r="D57" s="48"/>
      <c r="E57" s="43"/>
      <c r="F57" s="40"/>
      <c r="G57" s="36"/>
      <c r="H57" s="36"/>
      <c r="I57" s="45"/>
      <c r="J57" s="38"/>
      <c r="K57" s="39"/>
    </row>
    <row r="58">
      <c r="A58" s="47"/>
      <c r="B58" s="48"/>
      <c r="C58" s="48"/>
      <c r="D58" s="48"/>
      <c r="E58" s="43"/>
      <c r="F58" s="40"/>
      <c r="G58" s="36"/>
      <c r="H58" s="36"/>
      <c r="I58" s="45"/>
      <c r="J58" s="38"/>
      <c r="K58" s="39"/>
    </row>
    <row r="59">
      <c r="A59" s="47"/>
      <c r="B59" s="48"/>
      <c r="C59" s="48"/>
      <c r="D59" s="48"/>
      <c r="E59" s="43"/>
      <c r="F59" s="40"/>
      <c r="G59" s="36"/>
      <c r="H59" s="36"/>
      <c r="I59" s="45"/>
      <c r="J59" s="38"/>
      <c r="K59" s="39"/>
    </row>
    <row r="60">
      <c r="A60" s="47"/>
      <c r="B60" s="48"/>
      <c r="C60" s="48"/>
      <c r="D60" s="48"/>
      <c r="E60" s="43"/>
      <c r="F60" s="40"/>
      <c r="G60" s="36"/>
      <c r="H60" s="36"/>
      <c r="I60" s="45"/>
      <c r="J60" s="38"/>
      <c r="K60" s="39"/>
    </row>
    <row r="61">
      <c r="A61" s="47"/>
      <c r="B61" s="48"/>
      <c r="C61" s="48"/>
      <c r="D61" s="48"/>
      <c r="E61" s="43"/>
      <c r="F61" s="40"/>
      <c r="G61" s="36"/>
      <c r="H61" s="36"/>
      <c r="I61" s="45"/>
      <c r="J61" s="38"/>
      <c r="K61" s="39"/>
    </row>
    <row r="62">
      <c r="A62" s="47"/>
      <c r="B62" s="48"/>
      <c r="C62" s="48"/>
      <c r="D62" s="48"/>
      <c r="E62" s="43"/>
      <c r="F62" s="40"/>
      <c r="G62" s="36"/>
      <c r="H62" s="36"/>
      <c r="I62" s="45"/>
      <c r="J62" s="38"/>
      <c r="K62" s="39"/>
    </row>
    <row r="63">
      <c r="A63" s="47"/>
      <c r="B63" s="48"/>
      <c r="C63" s="48"/>
      <c r="D63" s="48"/>
      <c r="E63" s="43"/>
      <c r="F63" s="40"/>
      <c r="G63" s="36"/>
      <c r="H63" s="36"/>
      <c r="I63" s="45"/>
      <c r="J63" s="38"/>
      <c r="K63" s="39"/>
    </row>
    <row r="64">
      <c r="A64" s="47"/>
      <c r="B64" s="48"/>
      <c r="C64" s="48"/>
      <c r="D64" s="48"/>
      <c r="E64" s="43"/>
      <c r="F64" s="40"/>
      <c r="G64" s="36"/>
      <c r="H64" s="36"/>
      <c r="I64" s="45"/>
      <c r="J64" s="38"/>
      <c r="K64" s="39"/>
    </row>
    <row r="65">
      <c r="A65" s="47"/>
      <c r="B65" s="48"/>
      <c r="C65" s="48"/>
      <c r="D65" s="48"/>
      <c r="E65" s="43"/>
      <c r="F65" s="40"/>
      <c r="G65" s="36"/>
      <c r="H65" s="36"/>
      <c r="I65" s="45"/>
      <c r="J65" s="38"/>
      <c r="K65" s="39"/>
    </row>
    <row r="66">
      <c r="A66" s="47"/>
      <c r="B66" s="48"/>
      <c r="C66" s="48"/>
      <c r="D66" s="48"/>
      <c r="E66" s="43"/>
      <c r="F66" s="40"/>
      <c r="G66" s="36"/>
      <c r="H66" s="36"/>
      <c r="I66" s="45"/>
      <c r="J66" s="38"/>
      <c r="K66" s="39"/>
    </row>
    <row r="67">
      <c r="A67" s="47"/>
      <c r="B67" s="48"/>
      <c r="C67" s="48"/>
      <c r="D67" s="48"/>
      <c r="E67" s="43"/>
      <c r="F67" s="40"/>
      <c r="G67" s="36"/>
      <c r="H67" s="36"/>
      <c r="I67" s="45"/>
      <c r="J67" s="38"/>
      <c r="K67" s="39"/>
    </row>
    <row r="68">
      <c r="A68" s="47"/>
      <c r="B68" s="48"/>
      <c r="C68" s="48"/>
      <c r="D68" s="48"/>
      <c r="E68" s="43"/>
      <c r="F68" s="40"/>
      <c r="G68" s="36"/>
      <c r="H68" s="36"/>
      <c r="I68" s="45"/>
      <c r="J68" s="38"/>
      <c r="K68" s="39"/>
    </row>
    <row r="69">
      <c r="A69" s="47"/>
      <c r="B69" s="48"/>
      <c r="C69" s="48"/>
      <c r="D69" s="48"/>
      <c r="E69" s="43"/>
      <c r="F69" s="40"/>
      <c r="G69" s="36"/>
      <c r="H69" s="36"/>
      <c r="I69" s="45"/>
      <c r="J69" s="38"/>
      <c r="K69" s="39"/>
    </row>
    <row r="70">
      <c r="A70" s="47"/>
      <c r="B70" s="48"/>
      <c r="C70" s="48"/>
      <c r="D70" s="48"/>
      <c r="E70" s="43"/>
      <c r="F70" s="40"/>
      <c r="G70" s="36"/>
      <c r="H70" s="36"/>
      <c r="I70" s="45"/>
      <c r="J70" s="38"/>
      <c r="K70" s="39"/>
    </row>
    <row r="71">
      <c r="A71" s="47"/>
      <c r="B71" s="48"/>
      <c r="C71" s="48"/>
      <c r="D71" s="48"/>
      <c r="E71" s="43"/>
      <c r="F71" s="40"/>
      <c r="G71" s="36"/>
      <c r="H71" s="36"/>
      <c r="I71" s="45"/>
      <c r="J71" s="38"/>
      <c r="K71" s="39"/>
    </row>
    <row r="72">
      <c r="A72" s="47"/>
      <c r="B72" s="48"/>
      <c r="C72" s="48"/>
      <c r="D72" s="48"/>
      <c r="E72" s="43"/>
      <c r="F72" s="40"/>
      <c r="G72" s="36"/>
      <c r="H72" s="36"/>
      <c r="I72" s="45"/>
      <c r="J72" s="38"/>
      <c r="K72" s="39"/>
    </row>
    <row r="73">
      <c r="A73" s="47"/>
      <c r="B73" s="48"/>
      <c r="C73" s="48"/>
      <c r="D73" s="48"/>
      <c r="E73" s="43"/>
      <c r="F73" s="40"/>
      <c r="G73" s="36"/>
      <c r="H73" s="36"/>
      <c r="I73" s="45"/>
      <c r="J73" s="38"/>
      <c r="K73" s="39"/>
    </row>
    <row r="74">
      <c r="A74" s="47"/>
      <c r="B74" s="48"/>
      <c r="C74" s="48"/>
      <c r="D74" s="48"/>
      <c r="E74" s="43"/>
      <c r="F74" s="40"/>
      <c r="G74" s="36"/>
      <c r="H74" s="36"/>
      <c r="I74" s="45"/>
      <c r="J74" s="38"/>
      <c r="K74" s="39"/>
    </row>
    <row r="75">
      <c r="A75" s="47"/>
      <c r="B75" s="48"/>
      <c r="C75" s="48"/>
      <c r="D75" s="48"/>
      <c r="E75" s="43"/>
      <c r="F75" s="40"/>
      <c r="G75" s="36"/>
      <c r="H75" s="36"/>
      <c r="I75" s="45"/>
      <c r="J75" s="38"/>
      <c r="K75" s="39"/>
    </row>
    <row r="76">
      <c r="A76" s="47"/>
      <c r="B76" s="48"/>
      <c r="C76" s="48"/>
      <c r="D76" s="48"/>
      <c r="E76" s="43"/>
      <c r="F76" s="40"/>
      <c r="G76" s="36"/>
      <c r="H76" s="36"/>
      <c r="I76" s="45"/>
      <c r="J76" s="38"/>
      <c r="K76" s="39"/>
    </row>
    <row r="77">
      <c r="A77" s="47"/>
      <c r="B77" s="48"/>
      <c r="C77" s="48"/>
      <c r="D77" s="48"/>
      <c r="E77" s="43"/>
      <c r="F77" s="40"/>
      <c r="G77" s="36"/>
      <c r="H77" s="36"/>
      <c r="I77" s="45"/>
      <c r="J77" s="38"/>
      <c r="K77" s="39"/>
    </row>
    <row r="78">
      <c r="A78" s="47"/>
      <c r="B78" s="48"/>
      <c r="C78" s="48"/>
      <c r="D78" s="48"/>
      <c r="E78" s="43"/>
      <c r="F78" s="40"/>
      <c r="G78" s="36"/>
      <c r="H78" s="36"/>
      <c r="I78" s="45"/>
      <c r="J78" s="38"/>
      <c r="K78" s="39"/>
    </row>
    <row r="79">
      <c r="A79" s="47"/>
      <c r="B79" s="48"/>
      <c r="C79" s="48"/>
      <c r="D79" s="48"/>
      <c r="E79" s="43"/>
      <c r="F79" s="40"/>
      <c r="G79" s="36"/>
      <c r="H79" s="36"/>
      <c r="I79" s="45"/>
      <c r="J79" s="38"/>
      <c r="K79" s="39"/>
    </row>
    <row r="80">
      <c r="A80" s="47"/>
      <c r="B80" s="48"/>
      <c r="C80" s="48"/>
      <c r="D80" s="48"/>
      <c r="E80" s="43"/>
      <c r="F80" s="40"/>
      <c r="G80" s="36"/>
      <c r="H80" s="36"/>
      <c r="I80" s="45"/>
      <c r="J80" s="38"/>
      <c r="K80" s="39"/>
    </row>
    <row r="81">
      <c r="A81" s="47"/>
      <c r="B81" s="48"/>
      <c r="C81" s="48"/>
      <c r="D81" s="48"/>
      <c r="E81" s="43"/>
      <c r="F81" s="40"/>
      <c r="G81" s="36"/>
      <c r="H81" s="36"/>
      <c r="I81" s="45"/>
      <c r="J81" s="38"/>
      <c r="K81" s="39"/>
    </row>
    <row r="82">
      <c r="A82" s="47"/>
      <c r="B82" s="48"/>
      <c r="C82" s="48"/>
      <c r="D82" s="48"/>
      <c r="E82" s="43"/>
      <c r="F82" s="40"/>
      <c r="G82" s="36"/>
      <c r="H82" s="36"/>
      <c r="I82" s="45"/>
      <c r="J82" s="38"/>
      <c r="K82" s="39"/>
    </row>
    <row r="83">
      <c r="A83" s="47"/>
      <c r="B83" s="48"/>
      <c r="C83" s="48"/>
      <c r="D83" s="48"/>
      <c r="E83" s="43"/>
      <c r="F83" s="40"/>
      <c r="G83" s="36"/>
      <c r="H83" s="36"/>
      <c r="I83" s="45"/>
      <c r="J83" s="38"/>
      <c r="K83" s="39"/>
    </row>
    <row r="84">
      <c r="A84" s="47"/>
      <c r="B84" s="48"/>
      <c r="C84" s="48"/>
      <c r="D84" s="48"/>
      <c r="E84" s="43"/>
      <c r="F84" s="40"/>
      <c r="G84" s="36"/>
      <c r="H84" s="36"/>
      <c r="I84" s="45"/>
      <c r="J84" s="38"/>
      <c r="K84" s="39"/>
    </row>
    <row r="85">
      <c r="A85" s="47"/>
      <c r="B85" s="48"/>
      <c r="C85" s="48"/>
      <c r="D85" s="48"/>
      <c r="E85" s="43"/>
      <c r="F85" s="40"/>
      <c r="G85" s="36"/>
      <c r="H85" s="36"/>
      <c r="I85" s="45"/>
      <c r="J85" s="38"/>
      <c r="K85" s="39"/>
    </row>
    <row r="86">
      <c r="A86" s="47"/>
      <c r="B86" s="48"/>
      <c r="C86" s="48"/>
      <c r="D86" s="48"/>
      <c r="E86" s="43"/>
      <c r="F86" s="40"/>
      <c r="G86" s="36"/>
      <c r="H86" s="36"/>
      <c r="I86" s="45"/>
      <c r="J86" s="38"/>
      <c r="K86" s="39"/>
    </row>
    <row r="87">
      <c r="A87" s="47"/>
      <c r="B87" s="48"/>
      <c r="C87" s="48"/>
      <c r="D87" s="48"/>
      <c r="E87" s="43"/>
      <c r="F87" s="40"/>
      <c r="G87" s="36"/>
      <c r="H87" s="36"/>
      <c r="I87" s="45"/>
      <c r="J87" s="38"/>
      <c r="K87" s="39"/>
    </row>
    <row r="88">
      <c r="A88" s="47"/>
      <c r="B88" s="48"/>
      <c r="C88" s="48"/>
      <c r="D88" s="48"/>
      <c r="E88" s="43"/>
      <c r="F88" s="40"/>
      <c r="G88" s="36"/>
      <c r="H88" s="36"/>
      <c r="I88" s="45"/>
      <c r="J88" s="38"/>
      <c r="K88" s="39"/>
    </row>
    <row r="89">
      <c r="A89" s="47"/>
      <c r="B89" s="48"/>
      <c r="C89" s="48"/>
      <c r="D89" s="48"/>
      <c r="E89" s="43"/>
      <c r="F89" s="40"/>
      <c r="G89" s="36"/>
      <c r="H89" s="36"/>
      <c r="I89" s="45"/>
      <c r="J89" s="38"/>
      <c r="K89" s="39"/>
    </row>
    <row r="90">
      <c r="A90" s="47"/>
      <c r="B90" s="48"/>
      <c r="C90" s="48"/>
      <c r="D90" s="48"/>
      <c r="E90" s="43"/>
      <c r="F90" s="40"/>
      <c r="G90" s="36"/>
      <c r="H90" s="36"/>
      <c r="I90" s="45"/>
      <c r="J90" s="38"/>
      <c r="K90" s="39"/>
    </row>
    <row r="91">
      <c r="A91" s="47"/>
      <c r="B91" s="48"/>
      <c r="C91" s="48"/>
      <c r="D91" s="48"/>
      <c r="E91" s="43"/>
      <c r="F91" s="40"/>
      <c r="G91" s="36"/>
      <c r="H91" s="36"/>
      <c r="I91" s="45"/>
      <c r="J91" s="38"/>
      <c r="K91" s="39"/>
    </row>
    <row r="92">
      <c r="A92" s="47"/>
      <c r="B92" s="48"/>
      <c r="C92" s="48"/>
      <c r="D92" s="48"/>
      <c r="E92" s="43"/>
      <c r="F92" s="40"/>
      <c r="G92" s="36"/>
      <c r="H92" s="36"/>
      <c r="I92" s="45"/>
      <c r="J92" s="38"/>
      <c r="K92" s="39"/>
    </row>
    <row r="93">
      <c r="A93" s="47"/>
      <c r="B93" s="48"/>
      <c r="C93" s="48"/>
      <c r="D93" s="48"/>
      <c r="E93" s="43"/>
      <c r="F93" s="40"/>
      <c r="G93" s="36"/>
      <c r="H93" s="36"/>
      <c r="I93" s="45"/>
      <c r="J93" s="38"/>
      <c r="K93" s="39"/>
    </row>
    <row r="94">
      <c r="A94" s="47"/>
      <c r="B94" s="48"/>
      <c r="C94" s="48"/>
      <c r="D94" s="48"/>
      <c r="E94" s="43"/>
      <c r="F94" s="40"/>
      <c r="G94" s="36"/>
      <c r="H94" s="36"/>
      <c r="I94" s="45"/>
      <c r="J94" s="38"/>
      <c r="K94" s="39"/>
    </row>
    <row r="95">
      <c r="A95" s="47"/>
      <c r="B95" s="48"/>
      <c r="C95" s="48"/>
      <c r="D95" s="48"/>
      <c r="E95" s="43"/>
      <c r="F95" s="40"/>
      <c r="G95" s="36"/>
      <c r="H95" s="36"/>
      <c r="I95" s="45"/>
      <c r="J95" s="38"/>
      <c r="K95" s="39"/>
    </row>
    <row r="96">
      <c r="A96" s="47"/>
      <c r="B96" s="48"/>
      <c r="C96" s="48"/>
      <c r="D96" s="48"/>
      <c r="E96" s="43"/>
      <c r="F96" s="40"/>
      <c r="G96" s="36"/>
      <c r="H96" s="36"/>
      <c r="I96" s="45"/>
      <c r="J96" s="38"/>
      <c r="K96" s="39"/>
    </row>
    <row r="97">
      <c r="A97" s="47"/>
      <c r="B97" s="48"/>
      <c r="C97" s="48"/>
      <c r="D97" s="48"/>
      <c r="E97" s="43"/>
      <c r="F97" s="40"/>
      <c r="G97" s="36"/>
      <c r="H97" s="36"/>
      <c r="I97" s="45"/>
      <c r="J97" s="38"/>
      <c r="K97" s="39"/>
    </row>
    <row r="98">
      <c r="A98" s="47"/>
      <c r="B98" s="48"/>
      <c r="C98" s="48"/>
      <c r="D98" s="48"/>
      <c r="E98" s="43"/>
      <c r="F98" s="40"/>
      <c r="G98" s="36"/>
      <c r="H98" s="36"/>
      <c r="I98" s="45"/>
      <c r="J98" s="38"/>
      <c r="K98" s="39"/>
    </row>
    <row r="99">
      <c r="A99" s="47"/>
      <c r="B99" s="48"/>
      <c r="C99" s="48"/>
      <c r="D99" s="48"/>
      <c r="E99" s="43"/>
      <c r="F99" s="40"/>
      <c r="G99" s="36"/>
      <c r="H99" s="36"/>
      <c r="I99" s="45"/>
      <c r="J99" s="38"/>
      <c r="K99" s="39"/>
    </row>
    <row r="100">
      <c r="A100" s="47"/>
      <c r="B100" s="48"/>
      <c r="C100" s="48"/>
      <c r="D100" s="48"/>
      <c r="E100" s="43"/>
      <c r="F100" s="40"/>
      <c r="G100" s="36"/>
      <c r="H100" s="36"/>
      <c r="I100" s="45"/>
      <c r="J100" s="38"/>
      <c r="K100" s="39"/>
    </row>
    <row r="101">
      <c r="A101" s="47"/>
      <c r="B101" s="48"/>
      <c r="C101" s="48"/>
      <c r="D101" s="48"/>
      <c r="E101" s="43"/>
      <c r="F101" s="40"/>
      <c r="G101" s="36"/>
      <c r="H101" s="36"/>
      <c r="I101" s="45"/>
      <c r="J101" s="38"/>
      <c r="K101" s="39"/>
    </row>
    <row r="102">
      <c r="A102" s="47"/>
      <c r="B102" s="48"/>
      <c r="C102" s="48"/>
      <c r="D102" s="48"/>
      <c r="E102" s="43"/>
      <c r="F102" s="40"/>
      <c r="G102" s="36"/>
      <c r="H102" s="36"/>
      <c r="I102" s="45"/>
      <c r="J102" s="38"/>
      <c r="K102" s="39"/>
    </row>
    <row r="103">
      <c r="A103" s="47"/>
      <c r="B103" s="48"/>
      <c r="C103" s="48"/>
      <c r="D103" s="48"/>
      <c r="E103" s="43"/>
      <c r="F103" s="40"/>
      <c r="G103" s="36"/>
      <c r="H103" s="36"/>
      <c r="I103" s="45"/>
      <c r="J103" s="38"/>
      <c r="K103" s="39"/>
    </row>
    <row r="104">
      <c r="A104" s="47"/>
      <c r="B104" s="48"/>
      <c r="C104" s="48"/>
      <c r="D104" s="48"/>
      <c r="E104" s="43"/>
      <c r="F104" s="40"/>
      <c r="G104" s="36"/>
      <c r="H104" s="36"/>
      <c r="I104" s="45"/>
      <c r="J104" s="38"/>
      <c r="K104" s="39"/>
    </row>
    <row r="105">
      <c r="A105" s="47"/>
      <c r="B105" s="48"/>
      <c r="C105" s="48"/>
      <c r="D105" s="48"/>
      <c r="E105" s="43"/>
      <c r="F105" s="40"/>
      <c r="G105" s="36"/>
      <c r="H105" s="36"/>
      <c r="I105" s="45"/>
      <c r="J105" s="38"/>
      <c r="K105" s="39"/>
    </row>
    <row r="106">
      <c r="A106" s="47"/>
      <c r="B106" s="48"/>
      <c r="C106" s="48"/>
      <c r="D106" s="48"/>
      <c r="E106" s="43"/>
      <c r="F106" s="40"/>
      <c r="G106" s="36"/>
      <c r="H106" s="36"/>
      <c r="I106" s="45"/>
      <c r="J106" s="38"/>
      <c r="K106" s="39"/>
    </row>
    <row r="107">
      <c r="A107" s="47"/>
      <c r="B107" s="48"/>
      <c r="C107" s="48"/>
      <c r="D107" s="48"/>
      <c r="E107" s="43"/>
      <c r="F107" s="40"/>
      <c r="G107" s="36"/>
      <c r="H107" s="36"/>
      <c r="I107" s="45"/>
      <c r="J107" s="38"/>
      <c r="K107" s="39"/>
    </row>
    <row r="108">
      <c r="A108" s="47"/>
      <c r="B108" s="48"/>
      <c r="C108" s="48"/>
      <c r="D108" s="48"/>
      <c r="E108" s="43"/>
      <c r="F108" s="40"/>
      <c r="G108" s="36"/>
      <c r="H108" s="36"/>
      <c r="I108" s="45"/>
      <c r="J108" s="38"/>
      <c r="K108" s="39"/>
    </row>
    <row r="109">
      <c r="A109" s="47"/>
      <c r="B109" s="48"/>
      <c r="C109" s="48"/>
      <c r="D109" s="48"/>
      <c r="E109" s="43"/>
      <c r="F109" s="40"/>
      <c r="G109" s="36"/>
      <c r="H109" s="36"/>
      <c r="I109" s="45"/>
      <c r="J109" s="38"/>
      <c r="K109" s="39"/>
    </row>
    <row r="110">
      <c r="A110" s="47"/>
      <c r="B110" s="48"/>
      <c r="C110" s="48"/>
      <c r="D110" s="48"/>
      <c r="E110" s="43"/>
      <c r="F110" s="40"/>
      <c r="G110" s="36"/>
      <c r="H110" s="36"/>
      <c r="I110" s="45"/>
      <c r="J110" s="38"/>
      <c r="K110" s="39"/>
    </row>
    <row r="111">
      <c r="A111" s="47"/>
      <c r="B111" s="48"/>
      <c r="C111" s="48"/>
      <c r="D111" s="48"/>
      <c r="E111" s="43"/>
      <c r="F111" s="40"/>
      <c r="G111" s="36"/>
      <c r="H111" s="36"/>
      <c r="I111" s="45"/>
      <c r="J111" s="38"/>
      <c r="K111" s="39"/>
    </row>
    <row r="112">
      <c r="A112" s="47"/>
      <c r="B112" s="48"/>
      <c r="C112" s="48"/>
      <c r="D112" s="48"/>
      <c r="E112" s="43"/>
      <c r="F112" s="40"/>
      <c r="G112" s="36"/>
      <c r="H112" s="36"/>
      <c r="I112" s="45"/>
      <c r="J112" s="38"/>
      <c r="K112" s="39"/>
    </row>
    <row r="113">
      <c r="A113" s="47"/>
      <c r="B113" s="48"/>
      <c r="C113" s="48"/>
      <c r="D113" s="48"/>
      <c r="E113" s="43"/>
      <c r="F113" s="40"/>
      <c r="G113" s="36"/>
      <c r="H113" s="36"/>
      <c r="I113" s="45"/>
      <c r="J113" s="38"/>
      <c r="K113" s="39"/>
    </row>
    <row r="114">
      <c r="A114" s="47"/>
      <c r="B114" s="48"/>
      <c r="C114" s="48"/>
      <c r="D114" s="48"/>
      <c r="E114" s="43"/>
      <c r="F114" s="40"/>
      <c r="G114" s="36"/>
      <c r="H114" s="36"/>
      <c r="I114" s="45"/>
      <c r="J114" s="38"/>
      <c r="K114" s="39"/>
    </row>
    <row r="115">
      <c r="A115" s="47"/>
      <c r="B115" s="48"/>
      <c r="C115" s="48"/>
      <c r="D115" s="48"/>
      <c r="E115" s="43"/>
      <c r="F115" s="40"/>
      <c r="G115" s="36"/>
      <c r="H115" s="36"/>
      <c r="I115" s="45"/>
      <c r="J115" s="38"/>
      <c r="K115" s="39"/>
    </row>
    <row r="116">
      <c r="A116" s="47"/>
      <c r="B116" s="48"/>
      <c r="C116" s="48"/>
      <c r="D116" s="48"/>
      <c r="E116" s="43"/>
      <c r="F116" s="40"/>
      <c r="G116" s="36"/>
      <c r="H116" s="36"/>
      <c r="I116" s="45"/>
      <c r="J116" s="38"/>
      <c r="K116" s="39"/>
    </row>
    <row r="117">
      <c r="A117" s="47"/>
      <c r="B117" s="48"/>
      <c r="C117" s="48"/>
      <c r="D117" s="48"/>
      <c r="E117" s="43"/>
      <c r="F117" s="40"/>
      <c r="G117" s="36"/>
      <c r="H117" s="36"/>
      <c r="I117" s="45"/>
      <c r="J117" s="38"/>
      <c r="K117" s="39"/>
    </row>
    <row r="118">
      <c r="A118" s="47"/>
      <c r="B118" s="48"/>
      <c r="C118" s="48"/>
      <c r="D118" s="48"/>
      <c r="E118" s="43"/>
      <c r="F118" s="40"/>
      <c r="G118" s="36"/>
      <c r="H118" s="36"/>
      <c r="I118" s="45"/>
      <c r="J118" s="38"/>
      <c r="K118" s="39"/>
    </row>
    <row r="119">
      <c r="A119" s="47"/>
      <c r="B119" s="48"/>
      <c r="C119" s="48"/>
      <c r="D119" s="48"/>
      <c r="E119" s="43"/>
      <c r="F119" s="40"/>
      <c r="G119" s="36"/>
      <c r="H119" s="36"/>
      <c r="I119" s="45"/>
      <c r="J119" s="38"/>
      <c r="K119" s="39"/>
    </row>
    <row r="120">
      <c r="A120" s="47"/>
      <c r="B120" s="48"/>
      <c r="C120" s="48"/>
      <c r="D120" s="48"/>
      <c r="E120" s="43"/>
      <c r="F120" s="40"/>
      <c r="G120" s="36"/>
      <c r="H120" s="36"/>
      <c r="I120" s="45"/>
      <c r="J120" s="38"/>
      <c r="K120" s="39"/>
    </row>
    <row r="121">
      <c r="A121" s="47"/>
      <c r="B121" s="48"/>
      <c r="C121" s="48"/>
      <c r="D121" s="48"/>
      <c r="E121" s="43"/>
      <c r="F121" s="40"/>
      <c r="G121" s="36"/>
      <c r="H121" s="36"/>
      <c r="I121" s="45"/>
      <c r="J121" s="38"/>
      <c r="K121" s="39"/>
    </row>
    <row r="122">
      <c r="A122" s="47"/>
      <c r="B122" s="48"/>
      <c r="C122" s="48"/>
      <c r="D122" s="48"/>
      <c r="E122" s="43"/>
      <c r="F122" s="40"/>
      <c r="G122" s="36"/>
      <c r="H122" s="36"/>
      <c r="I122" s="45"/>
      <c r="J122" s="38"/>
      <c r="K122" s="39"/>
    </row>
    <row r="123">
      <c r="A123" s="47"/>
      <c r="B123" s="48"/>
      <c r="C123" s="48"/>
      <c r="D123" s="48"/>
      <c r="E123" s="43"/>
      <c r="F123" s="40"/>
      <c r="G123" s="36"/>
      <c r="H123" s="36"/>
      <c r="I123" s="45"/>
      <c r="J123" s="38"/>
      <c r="K123" s="39"/>
    </row>
    <row r="124">
      <c r="A124" s="47"/>
      <c r="B124" s="48"/>
      <c r="C124" s="48"/>
      <c r="D124" s="48"/>
      <c r="E124" s="43"/>
      <c r="F124" s="40"/>
      <c r="G124" s="36"/>
      <c r="H124" s="36"/>
      <c r="I124" s="45"/>
      <c r="J124" s="38"/>
      <c r="K124" s="39"/>
    </row>
    <row r="125">
      <c r="A125" s="47"/>
      <c r="B125" s="48"/>
      <c r="C125" s="48"/>
      <c r="D125" s="48"/>
      <c r="E125" s="43"/>
      <c r="F125" s="40"/>
      <c r="G125" s="36"/>
      <c r="H125" s="36"/>
      <c r="I125" s="45"/>
      <c r="J125" s="38"/>
      <c r="K125" s="39"/>
    </row>
    <row r="126">
      <c r="A126" s="47"/>
      <c r="B126" s="48"/>
      <c r="C126" s="48"/>
      <c r="D126" s="48"/>
      <c r="E126" s="43"/>
      <c r="F126" s="40"/>
      <c r="G126" s="36"/>
      <c r="H126" s="36"/>
      <c r="I126" s="45"/>
      <c r="J126" s="38"/>
      <c r="K126" s="39"/>
    </row>
    <row r="127">
      <c r="A127" s="47"/>
      <c r="B127" s="48"/>
      <c r="C127" s="48"/>
      <c r="D127" s="48"/>
      <c r="E127" s="43"/>
      <c r="F127" s="40"/>
      <c r="G127" s="36"/>
      <c r="H127" s="36"/>
      <c r="I127" s="45"/>
      <c r="J127" s="38"/>
      <c r="K127" s="39"/>
    </row>
    <row r="128">
      <c r="A128" s="47"/>
      <c r="B128" s="48"/>
      <c r="C128" s="48"/>
      <c r="D128" s="48"/>
      <c r="E128" s="43"/>
      <c r="F128" s="40"/>
      <c r="G128" s="36"/>
      <c r="H128" s="36"/>
      <c r="I128" s="45"/>
      <c r="J128" s="38"/>
      <c r="K128" s="39"/>
    </row>
    <row r="129">
      <c r="A129" s="47"/>
      <c r="B129" s="48"/>
      <c r="C129" s="48"/>
      <c r="D129" s="48"/>
      <c r="E129" s="43"/>
      <c r="F129" s="40"/>
      <c r="G129" s="36"/>
      <c r="H129" s="36"/>
      <c r="I129" s="45"/>
      <c r="J129" s="38"/>
      <c r="K129" s="39"/>
    </row>
    <row r="130">
      <c r="A130" s="47"/>
      <c r="B130" s="48"/>
      <c r="C130" s="48"/>
      <c r="D130" s="48"/>
      <c r="E130" s="43"/>
      <c r="F130" s="40"/>
      <c r="G130" s="36"/>
      <c r="H130" s="36"/>
      <c r="I130" s="45"/>
      <c r="J130" s="38"/>
      <c r="K130" s="39"/>
    </row>
    <row r="131">
      <c r="A131" s="47"/>
      <c r="B131" s="48"/>
      <c r="C131" s="48"/>
      <c r="D131" s="48"/>
      <c r="E131" s="43"/>
      <c r="F131" s="40"/>
      <c r="G131" s="36"/>
      <c r="H131" s="36"/>
      <c r="I131" s="45"/>
      <c r="J131" s="38"/>
      <c r="K131" s="39"/>
    </row>
    <row r="132">
      <c r="A132" s="47"/>
      <c r="B132" s="48"/>
      <c r="C132" s="48"/>
      <c r="D132" s="48"/>
      <c r="E132" s="43"/>
      <c r="F132" s="40"/>
      <c r="G132" s="36"/>
      <c r="H132" s="36"/>
      <c r="I132" s="45"/>
      <c r="J132" s="38"/>
      <c r="K132" s="39"/>
    </row>
    <row r="133">
      <c r="A133" s="47"/>
      <c r="B133" s="48"/>
      <c r="C133" s="48"/>
      <c r="D133" s="48"/>
      <c r="E133" s="43"/>
      <c r="F133" s="40"/>
      <c r="G133" s="36"/>
      <c r="H133" s="36"/>
      <c r="I133" s="45"/>
      <c r="J133" s="38"/>
      <c r="K133" s="39"/>
    </row>
    <row r="134">
      <c r="A134" s="47"/>
      <c r="B134" s="48"/>
      <c r="C134" s="48"/>
      <c r="D134" s="48"/>
      <c r="E134" s="43"/>
      <c r="F134" s="40"/>
      <c r="G134" s="36"/>
      <c r="H134" s="36"/>
      <c r="I134" s="45"/>
      <c r="J134" s="38"/>
      <c r="K134" s="39"/>
    </row>
    <row r="135">
      <c r="A135" s="47"/>
      <c r="B135" s="48"/>
      <c r="C135" s="48"/>
      <c r="D135" s="48"/>
      <c r="E135" s="43"/>
      <c r="F135" s="40"/>
      <c r="G135" s="36"/>
      <c r="H135" s="36"/>
      <c r="I135" s="45"/>
      <c r="J135" s="38"/>
      <c r="K135" s="39"/>
    </row>
    <row r="136">
      <c r="A136" s="47"/>
      <c r="B136" s="48"/>
      <c r="C136" s="48"/>
      <c r="D136" s="48"/>
      <c r="E136" s="43"/>
      <c r="F136" s="40"/>
      <c r="G136" s="36"/>
      <c r="H136" s="36"/>
      <c r="I136" s="45"/>
      <c r="J136" s="38"/>
      <c r="K136" s="39"/>
    </row>
    <row r="137">
      <c r="A137" s="47"/>
      <c r="B137" s="48"/>
      <c r="C137" s="48"/>
      <c r="D137" s="48"/>
      <c r="E137" s="43"/>
      <c r="F137" s="40"/>
      <c r="G137" s="36"/>
      <c r="H137" s="36"/>
      <c r="I137" s="45"/>
      <c r="J137" s="38"/>
      <c r="K137" s="39"/>
    </row>
    <row r="138">
      <c r="A138" s="47"/>
      <c r="B138" s="48"/>
      <c r="C138" s="48"/>
      <c r="D138" s="48"/>
      <c r="E138" s="43"/>
      <c r="F138" s="40"/>
      <c r="G138" s="36"/>
      <c r="H138" s="36"/>
      <c r="I138" s="45"/>
      <c r="J138" s="38"/>
      <c r="K138" s="39"/>
    </row>
    <row r="139">
      <c r="A139" s="47"/>
      <c r="B139" s="48"/>
      <c r="C139" s="48"/>
      <c r="D139" s="48"/>
      <c r="E139" s="43"/>
      <c r="F139" s="40"/>
      <c r="G139" s="36"/>
      <c r="H139" s="36"/>
      <c r="I139" s="45"/>
      <c r="J139" s="38"/>
      <c r="K139" s="39"/>
    </row>
    <row r="140">
      <c r="A140" s="47"/>
      <c r="B140" s="48"/>
      <c r="C140" s="48"/>
      <c r="D140" s="48"/>
      <c r="E140" s="43"/>
      <c r="F140" s="40"/>
      <c r="G140" s="36"/>
      <c r="H140" s="36"/>
      <c r="I140" s="45"/>
      <c r="J140" s="38"/>
      <c r="K140" s="39"/>
    </row>
    <row r="141">
      <c r="A141" s="47"/>
      <c r="B141" s="48"/>
      <c r="C141" s="48"/>
      <c r="D141" s="48"/>
      <c r="E141" s="43"/>
      <c r="F141" s="40"/>
      <c r="G141" s="36"/>
      <c r="H141" s="36"/>
      <c r="I141" s="45"/>
      <c r="J141" s="38"/>
      <c r="K141" s="39"/>
    </row>
    <row r="142">
      <c r="A142" s="47"/>
      <c r="B142" s="48"/>
      <c r="C142" s="48"/>
      <c r="D142" s="48"/>
      <c r="E142" s="43"/>
      <c r="F142" s="40"/>
      <c r="G142" s="36"/>
      <c r="H142" s="36"/>
      <c r="I142" s="45"/>
      <c r="J142" s="38"/>
      <c r="K142" s="39"/>
    </row>
    <row r="143">
      <c r="A143" s="47"/>
      <c r="B143" s="48"/>
      <c r="C143" s="48"/>
      <c r="D143" s="48"/>
      <c r="E143" s="43"/>
      <c r="F143" s="40"/>
      <c r="G143" s="36"/>
      <c r="H143" s="36"/>
      <c r="I143" s="45"/>
      <c r="J143" s="38"/>
      <c r="K143" s="39"/>
    </row>
    <row r="144">
      <c r="A144" s="47"/>
      <c r="B144" s="48"/>
      <c r="C144" s="48"/>
      <c r="D144" s="48"/>
      <c r="E144" s="43"/>
      <c r="F144" s="40"/>
      <c r="G144" s="36"/>
      <c r="H144" s="36"/>
      <c r="I144" s="45"/>
      <c r="J144" s="38"/>
      <c r="K144" s="39"/>
    </row>
    <row r="145">
      <c r="A145" s="47"/>
      <c r="B145" s="48"/>
      <c r="C145" s="48"/>
      <c r="D145" s="48"/>
      <c r="E145" s="43"/>
      <c r="F145" s="40"/>
      <c r="G145" s="36"/>
      <c r="H145" s="36"/>
      <c r="I145" s="45"/>
      <c r="J145" s="38"/>
      <c r="K145" s="39"/>
    </row>
    <row r="146">
      <c r="A146" s="47"/>
      <c r="B146" s="48"/>
      <c r="C146" s="48"/>
      <c r="D146" s="48"/>
      <c r="E146" s="43"/>
      <c r="F146" s="40"/>
      <c r="G146" s="36"/>
      <c r="H146" s="36"/>
      <c r="I146" s="45"/>
      <c r="J146" s="38"/>
      <c r="K146" s="39"/>
    </row>
    <row r="147">
      <c r="A147" s="47"/>
      <c r="B147" s="48"/>
      <c r="C147" s="48"/>
      <c r="D147" s="48"/>
      <c r="E147" s="43"/>
      <c r="F147" s="40"/>
      <c r="G147" s="36"/>
      <c r="H147" s="36"/>
      <c r="I147" s="45"/>
      <c r="J147" s="38"/>
      <c r="K147" s="39"/>
    </row>
    <row r="148">
      <c r="A148" s="47"/>
      <c r="B148" s="48"/>
      <c r="C148" s="48"/>
      <c r="D148" s="48"/>
      <c r="E148" s="43"/>
      <c r="F148" s="40"/>
      <c r="G148" s="36"/>
      <c r="H148" s="36"/>
      <c r="I148" s="45"/>
      <c r="J148" s="38"/>
      <c r="K148" s="39"/>
    </row>
    <row r="149">
      <c r="A149" s="47"/>
      <c r="B149" s="48"/>
      <c r="C149" s="48"/>
      <c r="D149" s="48"/>
      <c r="E149" s="43"/>
      <c r="F149" s="40"/>
      <c r="G149" s="36"/>
      <c r="H149" s="36"/>
      <c r="I149" s="45"/>
      <c r="J149" s="38"/>
      <c r="K149" s="39"/>
    </row>
    <row r="150">
      <c r="A150" s="47"/>
      <c r="B150" s="48"/>
      <c r="C150" s="48"/>
      <c r="D150" s="48"/>
      <c r="E150" s="43"/>
      <c r="F150" s="40"/>
      <c r="G150" s="36"/>
      <c r="H150" s="36"/>
      <c r="I150" s="45"/>
      <c r="J150" s="38"/>
      <c r="K150" s="39"/>
    </row>
    <row r="151">
      <c r="A151" s="47"/>
      <c r="B151" s="48"/>
      <c r="C151" s="48"/>
      <c r="D151" s="48"/>
      <c r="E151" s="43"/>
      <c r="F151" s="40"/>
      <c r="G151" s="36"/>
      <c r="H151" s="36"/>
      <c r="I151" s="45"/>
      <c r="J151" s="38"/>
      <c r="K151" s="39"/>
    </row>
    <row r="152">
      <c r="A152" s="47"/>
      <c r="B152" s="48"/>
      <c r="C152" s="48"/>
      <c r="D152" s="48"/>
      <c r="E152" s="43"/>
      <c r="F152" s="40"/>
      <c r="G152" s="36"/>
      <c r="H152" s="36"/>
      <c r="I152" s="45"/>
      <c r="J152" s="38"/>
      <c r="K152" s="39"/>
    </row>
    <row r="153">
      <c r="A153" s="47"/>
      <c r="B153" s="48"/>
      <c r="C153" s="48"/>
      <c r="D153" s="48"/>
      <c r="E153" s="43"/>
      <c r="F153" s="40"/>
      <c r="G153" s="36"/>
      <c r="H153" s="36"/>
      <c r="I153" s="45"/>
      <c r="J153" s="38"/>
      <c r="K153" s="39"/>
    </row>
    <row r="154">
      <c r="A154" s="47"/>
      <c r="B154" s="48"/>
      <c r="C154" s="48"/>
      <c r="D154" s="48"/>
      <c r="E154" s="43"/>
      <c r="F154" s="40"/>
      <c r="G154" s="36"/>
      <c r="H154" s="36"/>
      <c r="I154" s="45"/>
      <c r="J154" s="38"/>
      <c r="K154" s="39"/>
    </row>
    <row r="155">
      <c r="A155" s="47"/>
      <c r="B155" s="48"/>
      <c r="C155" s="48"/>
      <c r="D155" s="48"/>
      <c r="E155" s="43"/>
      <c r="F155" s="40"/>
      <c r="G155" s="36"/>
      <c r="H155" s="36"/>
      <c r="I155" s="45"/>
      <c r="J155" s="38"/>
      <c r="K155" s="39"/>
    </row>
    <row r="156">
      <c r="A156" s="47"/>
      <c r="B156" s="48"/>
      <c r="C156" s="48"/>
      <c r="D156" s="48"/>
      <c r="E156" s="43"/>
      <c r="F156" s="40"/>
      <c r="G156" s="36"/>
      <c r="H156" s="36"/>
      <c r="I156" s="45"/>
      <c r="J156" s="38"/>
      <c r="K156" s="39"/>
    </row>
    <row r="157">
      <c r="A157" s="47"/>
      <c r="B157" s="48"/>
      <c r="C157" s="48"/>
      <c r="D157" s="48"/>
      <c r="E157" s="43"/>
      <c r="F157" s="40"/>
      <c r="G157" s="36"/>
      <c r="H157" s="36"/>
      <c r="I157" s="45"/>
      <c r="J157" s="38"/>
      <c r="K157" s="39"/>
    </row>
    <row r="158">
      <c r="A158" s="47"/>
      <c r="B158" s="48"/>
      <c r="C158" s="48"/>
      <c r="D158" s="48"/>
      <c r="E158" s="43"/>
      <c r="F158" s="40"/>
      <c r="G158" s="36"/>
      <c r="H158" s="36"/>
      <c r="I158" s="45"/>
      <c r="J158" s="38"/>
      <c r="K158" s="39"/>
    </row>
    <row r="159">
      <c r="A159" s="47"/>
      <c r="B159" s="48"/>
      <c r="C159" s="48"/>
      <c r="D159" s="48"/>
      <c r="E159" s="43"/>
      <c r="F159" s="40"/>
      <c r="G159" s="36"/>
      <c r="H159" s="36"/>
      <c r="I159" s="45"/>
      <c r="J159" s="38"/>
      <c r="K159" s="39"/>
    </row>
    <row r="160">
      <c r="A160" s="47"/>
      <c r="B160" s="48"/>
      <c r="C160" s="48"/>
      <c r="D160" s="48"/>
      <c r="E160" s="43"/>
      <c r="F160" s="40"/>
      <c r="G160" s="36"/>
      <c r="H160" s="36"/>
      <c r="I160" s="45"/>
      <c r="J160" s="38"/>
      <c r="K160" s="39"/>
    </row>
    <row r="161">
      <c r="A161" s="47"/>
      <c r="B161" s="48"/>
      <c r="C161" s="48"/>
      <c r="D161" s="48"/>
      <c r="E161" s="43"/>
      <c r="F161" s="40"/>
      <c r="G161" s="36"/>
      <c r="H161" s="36"/>
      <c r="I161" s="45"/>
      <c r="J161" s="38"/>
      <c r="K161" s="39"/>
    </row>
    <row r="162">
      <c r="A162" s="47"/>
      <c r="B162" s="48"/>
      <c r="C162" s="48"/>
      <c r="D162" s="48"/>
      <c r="E162" s="43"/>
      <c r="F162" s="40"/>
      <c r="G162" s="36"/>
      <c r="H162" s="36"/>
      <c r="I162" s="45"/>
      <c r="J162" s="38"/>
      <c r="K162" s="39"/>
    </row>
    <row r="163">
      <c r="A163" s="47"/>
      <c r="B163" s="48"/>
      <c r="C163" s="48"/>
      <c r="D163" s="48"/>
      <c r="E163" s="43"/>
      <c r="F163" s="40"/>
      <c r="G163" s="36"/>
      <c r="H163" s="36"/>
      <c r="I163" s="45"/>
      <c r="J163" s="38"/>
      <c r="K163" s="39"/>
    </row>
    <row r="164">
      <c r="A164" s="47"/>
      <c r="B164" s="48"/>
      <c r="C164" s="48"/>
      <c r="D164" s="48"/>
      <c r="E164" s="43"/>
      <c r="F164" s="40"/>
      <c r="G164" s="36"/>
      <c r="H164" s="36"/>
      <c r="I164" s="45"/>
      <c r="J164" s="38"/>
      <c r="K164" s="39"/>
    </row>
    <row r="165">
      <c r="A165" s="47"/>
      <c r="B165" s="48"/>
      <c r="C165" s="48"/>
      <c r="D165" s="48"/>
      <c r="E165" s="43"/>
      <c r="F165" s="40"/>
      <c r="G165" s="36"/>
      <c r="H165" s="36"/>
      <c r="I165" s="45"/>
      <c r="J165" s="38"/>
      <c r="K165" s="39"/>
    </row>
    <row r="166">
      <c r="A166" s="47"/>
      <c r="B166" s="48"/>
      <c r="C166" s="48"/>
      <c r="D166" s="48"/>
      <c r="E166" s="43"/>
      <c r="F166" s="40"/>
      <c r="G166" s="36"/>
      <c r="H166" s="36"/>
      <c r="I166" s="45"/>
      <c r="J166" s="38"/>
      <c r="K166" s="39"/>
    </row>
    <row r="167">
      <c r="A167" s="47"/>
      <c r="B167" s="48"/>
      <c r="C167" s="48"/>
      <c r="D167" s="48"/>
      <c r="E167" s="43"/>
      <c r="F167" s="40"/>
      <c r="G167" s="36"/>
      <c r="H167" s="36"/>
      <c r="I167" s="45"/>
      <c r="J167" s="38"/>
      <c r="K167" s="39"/>
    </row>
    <row r="168">
      <c r="A168" s="47"/>
      <c r="B168" s="48"/>
      <c r="C168" s="48"/>
      <c r="D168" s="48"/>
      <c r="E168" s="43"/>
      <c r="F168" s="40"/>
      <c r="G168" s="36"/>
      <c r="H168" s="36"/>
      <c r="I168" s="45"/>
      <c r="J168" s="38"/>
      <c r="K168" s="39"/>
    </row>
    <row r="169">
      <c r="A169" s="47"/>
      <c r="B169" s="48"/>
      <c r="C169" s="48"/>
      <c r="D169" s="48"/>
      <c r="E169" s="43"/>
      <c r="F169" s="40"/>
      <c r="G169" s="36"/>
      <c r="H169" s="36"/>
      <c r="I169" s="45"/>
      <c r="J169" s="38"/>
      <c r="K169" s="39"/>
    </row>
    <row r="170">
      <c r="A170" s="47"/>
      <c r="B170" s="48"/>
      <c r="C170" s="48"/>
      <c r="D170" s="48"/>
      <c r="E170" s="43"/>
      <c r="F170" s="40"/>
      <c r="G170" s="36"/>
      <c r="H170" s="36"/>
      <c r="I170" s="45"/>
      <c r="J170" s="38"/>
      <c r="K170" s="39"/>
    </row>
    <row r="171">
      <c r="A171" s="47"/>
      <c r="B171" s="48"/>
      <c r="C171" s="48"/>
      <c r="D171" s="48"/>
      <c r="E171" s="43"/>
      <c r="F171" s="40"/>
      <c r="G171" s="36"/>
      <c r="H171" s="36"/>
      <c r="I171" s="45"/>
      <c r="J171" s="38"/>
      <c r="K171" s="39"/>
    </row>
    <row r="172">
      <c r="A172" s="47"/>
      <c r="B172" s="48"/>
      <c r="C172" s="48"/>
      <c r="D172" s="48"/>
      <c r="E172" s="43"/>
      <c r="F172" s="40"/>
      <c r="G172" s="36"/>
      <c r="H172" s="36"/>
      <c r="I172" s="45"/>
      <c r="J172" s="38"/>
      <c r="K172" s="39"/>
    </row>
    <row r="173">
      <c r="A173" s="47"/>
      <c r="B173" s="48"/>
      <c r="C173" s="48"/>
      <c r="D173" s="48"/>
      <c r="E173" s="43"/>
      <c r="F173" s="40"/>
      <c r="G173" s="36"/>
      <c r="H173" s="36"/>
      <c r="I173" s="45"/>
      <c r="J173" s="38"/>
      <c r="K173" s="39"/>
    </row>
    <row r="174">
      <c r="A174" s="47"/>
      <c r="B174" s="48"/>
      <c r="C174" s="48"/>
      <c r="D174" s="48"/>
      <c r="E174" s="43"/>
      <c r="F174" s="40"/>
      <c r="G174" s="36"/>
      <c r="H174" s="36"/>
      <c r="I174" s="45"/>
      <c r="J174" s="38"/>
      <c r="K174" s="39"/>
    </row>
    <row r="175">
      <c r="A175" s="47"/>
      <c r="B175" s="48"/>
      <c r="C175" s="48"/>
      <c r="D175" s="48"/>
      <c r="E175" s="43"/>
      <c r="F175" s="40"/>
      <c r="G175" s="36"/>
      <c r="H175" s="36"/>
      <c r="I175" s="45"/>
      <c r="J175" s="38"/>
      <c r="K175" s="39"/>
    </row>
    <row r="176">
      <c r="A176" s="47"/>
      <c r="B176" s="48"/>
      <c r="C176" s="48"/>
      <c r="D176" s="48"/>
      <c r="E176" s="43"/>
      <c r="F176" s="40"/>
      <c r="G176" s="36"/>
      <c r="H176" s="36"/>
      <c r="I176" s="45"/>
      <c r="J176" s="38"/>
      <c r="K176" s="39"/>
    </row>
    <row r="177">
      <c r="A177" s="47"/>
      <c r="B177" s="48"/>
      <c r="C177" s="48"/>
      <c r="D177" s="48"/>
      <c r="E177" s="43"/>
      <c r="F177" s="40"/>
      <c r="G177" s="36"/>
      <c r="H177" s="36"/>
      <c r="I177" s="45"/>
      <c r="J177" s="38"/>
      <c r="K177" s="39"/>
    </row>
    <row r="178">
      <c r="A178" s="47"/>
      <c r="B178" s="48"/>
      <c r="C178" s="48"/>
      <c r="D178" s="48"/>
      <c r="E178" s="43"/>
      <c r="F178" s="40"/>
      <c r="G178" s="36"/>
      <c r="H178" s="36"/>
      <c r="I178" s="45"/>
      <c r="J178" s="38"/>
      <c r="K178" s="39"/>
    </row>
    <row r="179">
      <c r="A179" s="47"/>
      <c r="B179" s="48"/>
      <c r="C179" s="48"/>
      <c r="D179" s="48"/>
      <c r="E179" s="43"/>
      <c r="F179" s="40"/>
      <c r="G179" s="36"/>
      <c r="H179" s="36"/>
      <c r="I179" s="45"/>
      <c r="J179" s="38"/>
      <c r="K179" s="39"/>
    </row>
    <row r="180">
      <c r="A180" s="47"/>
      <c r="B180" s="48"/>
      <c r="C180" s="48"/>
      <c r="D180" s="48"/>
      <c r="E180" s="43"/>
      <c r="F180" s="40"/>
      <c r="G180" s="36"/>
      <c r="H180" s="36"/>
      <c r="I180" s="45"/>
      <c r="J180" s="38"/>
      <c r="K180" s="39"/>
    </row>
    <row r="181">
      <c r="A181" s="47"/>
      <c r="B181" s="48"/>
      <c r="C181" s="48"/>
      <c r="D181" s="48"/>
      <c r="E181" s="43"/>
      <c r="F181" s="40"/>
      <c r="G181" s="36"/>
      <c r="H181" s="36"/>
      <c r="I181" s="45"/>
      <c r="J181" s="38"/>
      <c r="K181" s="39"/>
    </row>
    <row r="182">
      <c r="A182" s="47"/>
      <c r="B182" s="48"/>
      <c r="C182" s="48"/>
      <c r="D182" s="48"/>
      <c r="E182" s="43"/>
      <c r="F182" s="40"/>
      <c r="G182" s="36"/>
      <c r="H182" s="36"/>
      <c r="I182" s="45"/>
      <c r="J182" s="38"/>
      <c r="K182" s="39"/>
    </row>
    <row r="183">
      <c r="A183" s="47"/>
      <c r="B183" s="48"/>
      <c r="C183" s="48"/>
      <c r="D183" s="48"/>
      <c r="E183" s="43"/>
      <c r="F183" s="40"/>
      <c r="G183" s="36"/>
      <c r="H183" s="36"/>
      <c r="I183" s="45"/>
      <c r="J183" s="38"/>
      <c r="K183" s="39"/>
    </row>
    <row r="184">
      <c r="A184" s="47"/>
      <c r="B184" s="48"/>
      <c r="C184" s="48"/>
      <c r="D184" s="48"/>
      <c r="E184" s="43"/>
      <c r="F184" s="40"/>
      <c r="G184" s="36"/>
      <c r="H184" s="36"/>
      <c r="I184" s="45"/>
      <c r="J184" s="38"/>
      <c r="K184" s="39"/>
    </row>
    <row r="185">
      <c r="A185" s="47"/>
      <c r="B185" s="48"/>
      <c r="C185" s="48"/>
      <c r="D185" s="48"/>
      <c r="E185" s="43"/>
      <c r="F185" s="40"/>
      <c r="G185" s="36"/>
      <c r="H185" s="36"/>
      <c r="I185" s="45"/>
      <c r="J185" s="38"/>
      <c r="K185" s="39"/>
    </row>
    <row r="186">
      <c r="A186" s="47"/>
      <c r="B186" s="48"/>
      <c r="C186" s="48"/>
      <c r="D186" s="48"/>
      <c r="E186" s="43"/>
      <c r="F186" s="40"/>
      <c r="G186" s="36"/>
      <c r="H186" s="36"/>
      <c r="I186" s="45"/>
      <c r="J186" s="38"/>
      <c r="K186" s="39"/>
    </row>
    <row r="187">
      <c r="A187" s="47"/>
      <c r="B187" s="48"/>
      <c r="C187" s="48"/>
      <c r="D187" s="48"/>
      <c r="E187" s="43"/>
      <c r="F187" s="40"/>
      <c r="G187" s="36"/>
      <c r="H187" s="36"/>
      <c r="I187" s="45"/>
      <c r="J187" s="38"/>
      <c r="K187" s="39"/>
    </row>
    <row r="188">
      <c r="A188" s="47"/>
      <c r="B188" s="48"/>
      <c r="C188" s="48"/>
      <c r="D188" s="48"/>
      <c r="E188" s="43"/>
      <c r="F188" s="40"/>
      <c r="G188" s="36"/>
      <c r="H188" s="36"/>
      <c r="I188" s="45"/>
      <c r="J188" s="38"/>
      <c r="K188" s="39"/>
    </row>
    <row r="189">
      <c r="A189" s="47"/>
      <c r="B189" s="48"/>
      <c r="C189" s="48"/>
      <c r="D189" s="48"/>
      <c r="E189" s="43"/>
      <c r="F189" s="40"/>
      <c r="G189" s="36"/>
      <c r="H189" s="36"/>
      <c r="I189" s="45"/>
      <c r="J189" s="38"/>
      <c r="K189" s="39"/>
    </row>
    <row r="190">
      <c r="A190" s="47"/>
      <c r="B190" s="48"/>
      <c r="C190" s="48"/>
      <c r="D190" s="48"/>
      <c r="E190" s="43"/>
      <c r="F190" s="40"/>
      <c r="G190" s="36"/>
      <c r="H190" s="36"/>
      <c r="I190" s="45"/>
      <c r="J190" s="38"/>
      <c r="K190" s="39"/>
    </row>
    <row r="191">
      <c r="A191" s="47"/>
      <c r="B191" s="48"/>
      <c r="C191" s="48"/>
      <c r="D191" s="48"/>
      <c r="E191" s="43"/>
      <c r="F191" s="40"/>
      <c r="G191" s="36"/>
      <c r="H191" s="36"/>
      <c r="I191" s="45"/>
      <c r="J191" s="38"/>
      <c r="K191" s="39"/>
    </row>
    <row r="192">
      <c r="A192" s="47"/>
      <c r="B192" s="48"/>
      <c r="C192" s="48"/>
      <c r="D192" s="48"/>
      <c r="E192" s="43"/>
      <c r="F192" s="40"/>
      <c r="G192" s="36"/>
      <c r="H192" s="36"/>
      <c r="I192" s="45"/>
      <c r="J192" s="38"/>
      <c r="K192" s="39"/>
    </row>
    <row r="193">
      <c r="A193" s="47"/>
      <c r="B193" s="48"/>
      <c r="C193" s="48"/>
      <c r="D193" s="48"/>
      <c r="E193" s="43"/>
      <c r="F193" s="40"/>
      <c r="G193" s="36"/>
      <c r="H193" s="36"/>
      <c r="I193" s="45"/>
      <c r="J193" s="38"/>
      <c r="K193" s="39"/>
    </row>
    <row r="194">
      <c r="A194" s="47"/>
      <c r="B194" s="48"/>
      <c r="C194" s="48"/>
      <c r="D194" s="48"/>
      <c r="E194" s="43"/>
      <c r="F194" s="40"/>
      <c r="G194" s="36"/>
      <c r="H194" s="36"/>
      <c r="I194" s="45"/>
      <c r="J194" s="38"/>
      <c r="K194" s="39"/>
    </row>
    <row r="195">
      <c r="A195" s="47"/>
      <c r="B195" s="48"/>
      <c r="C195" s="48"/>
      <c r="D195" s="48"/>
      <c r="E195" s="43"/>
      <c r="F195" s="40"/>
      <c r="G195" s="36"/>
      <c r="H195" s="36"/>
      <c r="I195" s="45"/>
      <c r="J195" s="38"/>
      <c r="K195" s="39"/>
    </row>
    <row r="196">
      <c r="A196" s="47"/>
      <c r="B196" s="48"/>
      <c r="C196" s="48"/>
      <c r="D196" s="48"/>
      <c r="E196" s="43"/>
      <c r="F196" s="40"/>
      <c r="G196" s="36"/>
      <c r="H196" s="36"/>
      <c r="I196" s="45"/>
      <c r="J196" s="38"/>
      <c r="K196" s="39"/>
    </row>
    <row r="197">
      <c r="A197" s="47"/>
      <c r="B197" s="48"/>
      <c r="C197" s="48"/>
      <c r="D197" s="48"/>
      <c r="E197" s="43"/>
      <c r="F197" s="40"/>
      <c r="G197" s="36"/>
      <c r="H197" s="36"/>
      <c r="I197" s="45"/>
      <c r="J197" s="38"/>
      <c r="K197" s="39"/>
    </row>
    <row r="198">
      <c r="A198" s="47"/>
      <c r="B198" s="48"/>
      <c r="C198" s="48"/>
      <c r="D198" s="48"/>
      <c r="E198" s="43"/>
      <c r="F198" s="40"/>
      <c r="G198" s="36"/>
      <c r="H198" s="36"/>
      <c r="I198" s="45"/>
      <c r="J198" s="38"/>
      <c r="K198" s="39"/>
    </row>
    <row r="199">
      <c r="A199" s="47"/>
      <c r="B199" s="48"/>
      <c r="C199" s="48"/>
      <c r="D199" s="48"/>
      <c r="E199" s="43"/>
      <c r="F199" s="40"/>
      <c r="G199" s="36"/>
      <c r="H199" s="36"/>
      <c r="I199" s="45"/>
      <c r="J199" s="38"/>
      <c r="K199" s="39"/>
    </row>
    <row r="200">
      <c r="A200" s="47"/>
      <c r="B200" s="48"/>
      <c r="C200" s="48"/>
      <c r="D200" s="48"/>
      <c r="E200" s="43"/>
      <c r="F200" s="40"/>
      <c r="G200" s="36"/>
      <c r="H200" s="36"/>
      <c r="I200" s="45"/>
      <c r="J200" s="38"/>
      <c r="K200" s="39"/>
    </row>
    <row r="201">
      <c r="A201" s="47"/>
      <c r="B201" s="48"/>
      <c r="C201" s="48"/>
      <c r="D201" s="48"/>
      <c r="E201" s="43"/>
      <c r="F201" s="40"/>
      <c r="G201" s="36"/>
      <c r="H201" s="36"/>
      <c r="I201" s="45"/>
      <c r="J201" s="38"/>
      <c r="K201" s="39"/>
    </row>
    <row r="202">
      <c r="A202" s="47"/>
      <c r="B202" s="48"/>
      <c r="C202" s="48"/>
      <c r="D202" s="48"/>
      <c r="E202" s="43"/>
      <c r="F202" s="40"/>
      <c r="G202" s="36"/>
      <c r="H202" s="36"/>
      <c r="I202" s="45"/>
      <c r="J202" s="38"/>
      <c r="K202" s="39"/>
    </row>
    <row r="203">
      <c r="A203" s="47"/>
      <c r="B203" s="48"/>
      <c r="C203" s="48"/>
      <c r="D203" s="48"/>
      <c r="E203" s="43"/>
      <c r="F203" s="40"/>
      <c r="G203" s="36"/>
      <c r="H203" s="36"/>
      <c r="I203" s="45"/>
      <c r="J203" s="38"/>
      <c r="K203" s="39"/>
    </row>
    <row r="204">
      <c r="A204" s="47"/>
      <c r="B204" s="48"/>
      <c r="C204" s="48"/>
      <c r="D204" s="48"/>
      <c r="E204" s="43"/>
      <c r="F204" s="40"/>
      <c r="G204" s="36"/>
      <c r="H204" s="36"/>
      <c r="I204" s="45"/>
      <c r="J204" s="38"/>
      <c r="K204" s="39"/>
    </row>
    <row r="205">
      <c r="A205" s="47"/>
      <c r="B205" s="48"/>
      <c r="C205" s="48"/>
      <c r="D205" s="48"/>
      <c r="E205" s="43"/>
      <c r="F205" s="40"/>
      <c r="G205" s="36"/>
      <c r="H205" s="36"/>
      <c r="I205" s="45"/>
      <c r="J205" s="38"/>
      <c r="K205" s="39"/>
    </row>
    <row r="206">
      <c r="A206" s="47"/>
      <c r="B206" s="48"/>
      <c r="C206" s="48"/>
      <c r="D206" s="48"/>
      <c r="E206" s="43"/>
      <c r="F206" s="40"/>
      <c r="G206" s="36"/>
      <c r="H206" s="36"/>
      <c r="I206" s="45"/>
      <c r="J206" s="38"/>
      <c r="K206" s="39"/>
    </row>
    <row r="207">
      <c r="A207" s="47"/>
      <c r="B207" s="48"/>
      <c r="C207" s="48"/>
      <c r="D207" s="48"/>
      <c r="E207" s="43"/>
      <c r="F207" s="40"/>
      <c r="G207" s="36"/>
      <c r="H207" s="36"/>
      <c r="I207" s="45"/>
      <c r="J207" s="38"/>
      <c r="K207" s="39"/>
    </row>
    <row r="208">
      <c r="A208" s="47"/>
      <c r="B208" s="48"/>
      <c r="C208" s="48"/>
      <c r="D208" s="48"/>
      <c r="E208" s="43"/>
      <c r="F208" s="40"/>
      <c r="G208" s="36"/>
      <c r="H208" s="36"/>
      <c r="I208" s="45"/>
      <c r="J208" s="38"/>
      <c r="K208" s="39"/>
    </row>
    <row r="209">
      <c r="A209" s="47"/>
      <c r="B209" s="48"/>
      <c r="C209" s="48"/>
      <c r="D209" s="48"/>
      <c r="E209" s="43"/>
      <c r="F209" s="40"/>
      <c r="G209" s="36"/>
      <c r="H209" s="36"/>
      <c r="I209" s="45"/>
      <c r="J209" s="38"/>
      <c r="K209" s="39"/>
    </row>
    <row r="210">
      <c r="A210" s="47"/>
      <c r="B210" s="48"/>
      <c r="C210" s="48"/>
      <c r="D210" s="48"/>
      <c r="E210" s="43"/>
      <c r="F210" s="40"/>
      <c r="G210" s="36"/>
      <c r="H210" s="36"/>
      <c r="I210" s="45"/>
      <c r="J210" s="38"/>
      <c r="K210" s="39"/>
    </row>
    <row r="211">
      <c r="A211" s="47"/>
      <c r="B211" s="48"/>
      <c r="C211" s="48"/>
      <c r="D211" s="48"/>
      <c r="E211" s="43"/>
      <c r="F211" s="40"/>
      <c r="G211" s="36"/>
      <c r="H211" s="36"/>
      <c r="I211" s="45"/>
      <c r="J211" s="38"/>
      <c r="K211" s="39"/>
    </row>
    <row r="212">
      <c r="A212" s="47"/>
      <c r="B212" s="48"/>
      <c r="C212" s="48"/>
      <c r="D212" s="48"/>
      <c r="E212" s="43"/>
      <c r="F212" s="40"/>
      <c r="G212" s="36"/>
      <c r="H212" s="36"/>
      <c r="I212" s="45"/>
      <c r="J212" s="38"/>
      <c r="K212" s="39"/>
    </row>
    <row r="213">
      <c r="A213" s="47"/>
      <c r="B213" s="48"/>
      <c r="C213" s="48"/>
      <c r="D213" s="48"/>
      <c r="E213" s="43"/>
      <c r="F213" s="40"/>
      <c r="G213" s="36"/>
      <c r="H213" s="36"/>
      <c r="I213" s="45"/>
      <c r="J213" s="38"/>
      <c r="K213" s="39"/>
    </row>
    <row r="214">
      <c r="A214" s="47"/>
      <c r="B214" s="48"/>
      <c r="C214" s="48"/>
      <c r="D214" s="48"/>
      <c r="E214" s="43"/>
      <c r="F214" s="40"/>
      <c r="G214" s="36"/>
      <c r="H214" s="36"/>
      <c r="I214" s="45"/>
      <c r="J214" s="38"/>
      <c r="K214" s="39"/>
    </row>
    <row r="215">
      <c r="A215" s="47"/>
      <c r="B215" s="48"/>
      <c r="C215" s="48"/>
      <c r="D215" s="48"/>
      <c r="E215" s="43"/>
      <c r="F215" s="40"/>
      <c r="G215" s="36"/>
      <c r="H215" s="36"/>
      <c r="I215" s="45"/>
      <c r="J215" s="38"/>
      <c r="K215" s="39"/>
    </row>
    <row r="216">
      <c r="A216" s="47"/>
      <c r="B216" s="48"/>
      <c r="C216" s="48"/>
      <c r="D216" s="48"/>
      <c r="E216" s="43"/>
      <c r="F216" s="40"/>
      <c r="G216" s="36"/>
      <c r="H216" s="36"/>
      <c r="I216" s="45"/>
      <c r="J216" s="38"/>
      <c r="K216" s="39"/>
    </row>
    <row r="217">
      <c r="A217" s="47"/>
      <c r="B217" s="48"/>
      <c r="C217" s="48"/>
      <c r="D217" s="48"/>
      <c r="E217" s="43"/>
      <c r="F217" s="40"/>
      <c r="G217" s="36"/>
      <c r="H217" s="36"/>
      <c r="I217" s="45"/>
      <c r="J217" s="38"/>
      <c r="K217" s="39"/>
    </row>
    <row r="218">
      <c r="A218" s="47"/>
      <c r="B218" s="48"/>
      <c r="C218" s="48"/>
      <c r="D218" s="48"/>
      <c r="E218" s="43"/>
      <c r="F218" s="40"/>
      <c r="G218" s="36"/>
      <c r="H218" s="36"/>
      <c r="I218" s="45"/>
      <c r="J218" s="38"/>
      <c r="K218" s="39"/>
    </row>
    <row r="219">
      <c r="A219" s="47"/>
      <c r="B219" s="48"/>
      <c r="C219" s="48"/>
      <c r="D219" s="48"/>
      <c r="E219" s="43"/>
      <c r="F219" s="40"/>
      <c r="G219" s="36"/>
      <c r="H219" s="36"/>
      <c r="I219" s="45"/>
      <c r="J219" s="38"/>
      <c r="K219" s="39"/>
    </row>
    <row r="220">
      <c r="A220" s="47"/>
      <c r="B220" s="48"/>
      <c r="C220" s="48"/>
      <c r="D220" s="48"/>
      <c r="E220" s="43"/>
      <c r="F220" s="40"/>
      <c r="G220" s="36"/>
      <c r="H220" s="36"/>
      <c r="I220" s="45"/>
      <c r="J220" s="38"/>
      <c r="K220" s="39"/>
    </row>
    <row r="221">
      <c r="A221" s="47"/>
      <c r="B221" s="48"/>
      <c r="C221" s="48"/>
      <c r="D221" s="48"/>
      <c r="E221" s="43"/>
      <c r="F221" s="40"/>
      <c r="G221" s="36"/>
      <c r="H221" s="36"/>
      <c r="I221" s="45"/>
      <c r="J221" s="38"/>
      <c r="K221" s="39"/>
    </row>
    <row r="222">
      <c r="A222" s="47"/>
      <c r="B222" s="48"/>
      <c r="C222" s="48"/>
      <c r="D222" s="48"/>
      <c r="E222" s="43"/>
      <c r="F222" s="40"/>
      <c r="G222" s="36"/>
      <c r="H222" s="36"/>
      <c r="I222" s="45"/>
      <c r="J222" s="38"/>
      <c r="K222" s="39"/>
    </row>
    <row r="223">
      <c r="A223" s="47"/>
      <c r="B223" s="48"/>
      <c r="C223" s="48"/>
      <c r="D223" s="48"/>
      <c r="E223" s="43"/>
      <c r="F223" s="40"/>
      <c r="G223" s="36"/>
      <c r="H223" s="36"/>
      <c r="I223" s="45"/>
      <c r="J223" s="38"/>
      <c r="K223" s="39"/>
    </row>
    <row r="224">
      <c r="A224" s="47"/>
      <c r="B224" s="48"/>
      <c r="C224" s="48"/>
      <c r="D224" s="48"/>
      <c r="E224" s="43"/>
      <c r="F224" s="40"/>
      <c r="G224" s="36"/>
      <c r="H224" s="36"/>
      <c r="I224" s="45"/>
      <c r="J224" s="38"/>
      <c r="K224" s="39"/>
    </row>
    <row r="225">
      <c r="A225" s="47"/>
      <c r="B225" s="48"/>
      <c r="C225" s="48"/>
      <c r="D225" s="48"/>
      <c r="E225" s="43"/>
      <c r="F225" s="40"/>
      <c r="G225" s="36"/>
      <c r="H225" s="36"/>
      <c r="I225" s="45"/>
      <c r="J225" s="38"/>
      <c r="K225" s="39"/>
    </row>
    <row r="226">
      <c r="A226" s="47"/>
      <c r="B226" s="48"/>
      <c r="C226" s="48"/>
      <c r="D226" s="48"/>
      <c r="E226" s="43"/>
      <c r="F226" s="40"/>
      <c r="G226" s="36"/>
      <c r="H226" s="36"/>
      <c r="I226" s="45"/>
      <c r="J226" s="38"/>
      <c r="K226" s="39"/>
    </row>
    <row r="227">
      <c r="A227" s="47"/>
      <c r="B227" s="48"/>
      <c r="C227" s="48"/>
      <c r="D227" s="48"/>
      <c r="E227" s="43"/>
      <c r="F227" s="40"/>
      <c r="G227" s="36"/>
      <c r="H227" s="36"/>
      <c r="I227" s="45"/>
      <c r="J227" s="38"/>
      <c r="K227" s="39"/>
    </row>
    <row r="228">
      <c r="A228" s="47"/>
      <c r="B228" s="48"/>
      <c r="C228" s="48"/>
      <c r="D228" s="48"/>
      <c r="E228" s="43"/>
      <c r="F228" s="40"/>
      <c r="G228" s="36"/>
      <c r="H228" s="36"/>
      <c r="I228" s="45"/>
      <c r="J228" s="38"/>
      <c r="K228" s="39"/>
    </row>
    <row r="229">
      <c r="A229" s="47"/>
      <c r="B229" s="48"/>
      <c r="C229" s="48"/>
      <c r="D229" s="48"/>
      <c r="E229" s="43"/>
      <c r="F229" s="40"/>
      <c r="G229" s="36"/>
      <c r="H229" s="36"/>
      <c r="I229" s="45"/>
      <c r="J229" s="38"/>
      <c r="K229" s="39"/>
    </row>
    <row r="230">
      <c r="A230" s="47"/>
      <c r="B230" s="48"/>
      <c r="C230" s="48"/>
      <c r="D230" s="48"/>
      <c r="E230" s="43"/>
      <c r="F230" s="40"/>
      <c r="G230" s="36"/>
      <c r="H230" s="36"/>
      <c r="I230" s="45"/>
      <c r="J230" s="38"/>
      <c r="K230" s="39"/>
    </row>
    <row r="231">
      <c r="A231" s="47"/>
      <c r="B231" s="48"/>
      <c r="C231" s="48"/>
      <c r="D231" s="48"/>
      <c r="E231" s="43"/>
      <c r="F231" s="40"/>
      <c r="G231" s="36"/>
      <c r="H231" s="36"/>
      <c r="I231" s="45"/>
      <c r="J231" s="38"/>
      <c r="K231" s="39"/>
    </row>
    <row r="232">
      <c r="A232" s="47"/>
      <c r="B232" s="48"/>
      <c r="C232" s="48"/>
      <c r="D232" s="48"/>
      <c r="E232" s="43"/>
      <c r="F232" s="40"/>
      <c r="G232" s="36"/>
      <c r="H232" s="36"/>
      <c r="I232" s="45"/>
      <c r="J232" s="38"/>
      <c r="K232" s="39"/>
    </row>
    <row r="233">
      <c r="A233" s="47"/>
      <c r="B233" s="48"/>
      <c r="C233" s="48"/>
      <c r="D233" s="48"/>
      <c r="E233" s="43"/>
      <c r="F233" s="40"/>
      <c r="G233" s="36"/>
      <c r="H233" s="36"/>
      <c r="I233" s="45"/>
      <c r="J233" s="38"/>
      <c r="K233" s="39"/>
    </row>
    <row r="234">
      <c r="A234" s="47"/>
      <c r="B234" s="48"/>
      <c r="C234" s="48"/>
      <c r="D234" s="48"/>
      <c r="E234" s="43"/>
      <c r="F234" s="40"/>
      <c r="G234" s="36"/>
      <c r="H234" s="36"/>
      <c r="I234" s="45"/>
      <c r="J234" s="38"/>
      <c r="K234" s="39"/>
    </row>
    <row r="235">
      <c r="A235" s="47"/>
      <c r="B235" s="48"/>
      <c r="C235" s="48"/>
      <c r="D235" s="48"/>
      <c r="E235" s="43"/>
      <c r="F235" s="40"/>
      <c r="G235" s="36"/>
      <c r="H235" s="36"/>
      <c r="I235" s="45"/>
      <c r="J235" s="38"/>
      <c r="K235" s="39"/>
    </row>
    <row r="236">
      <c r="A236" s="47"/>
      <c r="B236" s="48"/>
      <c r="C236" s="48"/>
      <c r="D236" s="48"/>
      <c r="E236" s="43"/>
      <c r="F236" s="40"/>
      <c r="G236" s="36"/>
      <c r="H236" s="36"/>
      <c r="I236" s="45"/>
      <c r="J236" s="38"/>
      <c r="K236" s="39"/>
    </row>
    <row r="237">
      <c r="A237" s="47"/>
      <c r="B237" s="48"/>
      <c r="C237" s="48"/>
      <c r="D237" s="48"/>
      <c r="E237" s="43"/>
      <c r="F237" s="40"/>
      <c r="G237" s="36"/>
      <c r="H237" s="36"/>
      <c r="I237" s="45"/>
      <c r="J237" s="38"/>
      <c r="K237" s="39"/>
    </row>
    <row r="238">
      <c r="A238" s="47"/>
      <c r="B238" s="48"/>
      <c r="C238" s="48"/>
      <c r="D238" s="48"/>
      <c r="E238" s="43"/>
      <c r="F238" s="40"/>
      <c r="G238" s="36"/>
      <c r="H238" s="36"/>
      <c r="I238" s="45"/>
      <c r="J238" s="38"/>
      <c r="K238" s="39"/>
    </row>
    <row r="239">
      <c r="A239" s="47"/>
      <c r="B239" s="48"/>
      <c r="C239" s="48"/>
      <c r="D239" s="48"/>
      <c r="E239" s="43"/>
      <c r="F239" s="40"/>
      <c r="G239" s="36"/>
      <c r="H239" s="36"/>
      <c r="I239" s="45"/>
      <c r="J239" s="38"/>
      <c r="K239" s="39"/>
    </row>
    <row r="240">
      <c r="A240" s="47"/>
      <c r="B240" s="48"/>
      <c r="C240" s="48"/>
      <c r="D240" s="48"/>
      <c r="E240" s="43"/>
      <c r="F240" s="40"/>
      <c r="G240" s="36"/>
      <c r="H240" s="36"/>
      <c r="I240" s="45"/>
      <c r="J240" s="38"/>
      <c r="K240" s="39"/>
    </row>
    <row r="241">
      <c r="A241" s="47"/>
      <c r="B241" s="48"/>
      <c r="C241" s="48"/>
      <c r="D241" s="48"/>
      <c r="E241" s="43"/>
      <c r="F241" s="40"/>
      <c r="G241" s="36"/>
      <c r="H241" s="36"/>
      <c r="I241" s="45"/>
      <c r="J241" s="38"/>
      <c r="K241" s="39"/>
    </row>
    <row r="242">
      <c r="A242" s="47"/>
      <c r="B242" s="48"/>
      <c r="C242" s="48"/>
      <c r="D242" s="48"/>
      <c r="E242" s="43"/>
      <c r="F242" s="40"/>
      <c r="G242" s="36"/>
      <c r="H242" s="36"/>
      <c r="I242" s="45"/>
      <c r="J242" s="38"/>
      <c r="K242" s="39"/>
    </row>
    <row r="243">
      <c r="A243" s="47"/>
      <c r="B243" s="48"/>
      <c r="C243" s="48"/>
      <c r="D243" s="48"/>
      <c r="E243" s="43"/>
      <c r="F243" s="40"/>
      <c r="G243" s="36"/>
      <c r="H243" s="36"/>
      <c r="I243" s="45"/>
      <c r="J243" s="38"/>
      <c r="K243" s="39"/>
    </row>
    <row r="244">
      <c r="A244" s="47"/>
      <c r="B244" s="48"/>
      <c r="C244" s="48"/>
      <c r="D244" s="48"/>
      <c r="E244" s="43"/>
      <c r="F244" s="40"/>
      <c r="G244" s="36"/>
      <c r="H244" s="36"/>
      <c r="I244" s="45"/>
      <c r="J244" s="38"/>
      <c r="K244" s="39"/>
    </row>
    <row r="245">
      <c r="A245" s="47"/>
      <c r="B245" s="48"/>
      <c r="C245" s="48"/>
      <c r="D245" s="48"/>
      <c r="E245" s="43"/>
      <c r="F245" s="40"/>
      <c r="G245" s="36"/>
      <c r="H245" s="36"/>
      <c r="I245" s="45"/>
      <c r="J245" s="38"/>
      <c r="K245" s="39"/>
    </row>
    <row r="246">
      <c r="A246" s="47"/>
      <c r="B246" s="48"/>
      <c r="C246" s="48"/>
      <c r="D246" s="48"/>
      <c r="E246" s="43"/>
      <c r="F246" s="40"/>
      <c r="G246" s="36"/>
      <c r="H246" s="36"/>
      <c r="I246" s="45"/>
      <c r="J246" s="38"/>
      <c r="K246" s="39"/>
    </row>
    <row r="247">
      <c r="A247" s="47"/>
      <c r="B247" s="48"/>
      <c r="C247" s="48"/>
      <c r="D247" s="48"/>
      <c r="E247" s="43"/>
      <c r="F247" s="40"/>
      <c r="G247" s="36"/>
      <c r="H247" s="36"/>
      <c r="I247" s="45"/>
      <c r="J247" s="38"/>
      <c r="K247" s="39"/>
    </row>
    <row r="248">
      <c r="A248" s="47"/>
      <c r="B248" s="48"/>
      <c r="C248" s="48"/>
      <c r="D248" s="48"/>
      <c r="E248" s="43"/>
      <c r="F248" s="40"/>
      <c r="G248" s="36"/>
      <c r="H248" s="36"/>
      <c r="I248" s="45"/>
      <c r="J248" s="38"/>
      <c r="K248" s="39"/>
    </row>
    <row r="249">
      <c r="A249" s="47"/>
      <c r="B249" s="48"/>
      <c r="C249" s="48"/>
      <c r="D249" s="48"/>
      <c r="E249" s="43"/>
      <c r="F249" s="40"/>
      <c r="G249" s="36"/>
      <c r="H249" s="36"/>
      <c r="I249" s="45"/>
      <c r="J249" s="38"/>
      <c r="K249" s="39"/>
    </row>
    <row r="250">
      <c r="A250" s="47"/>
      <c r="B250" s="48"/>
      <c r="C250" s="48"/>
      <c r="D250" s="48"/>
      <c r="E250" s="43"/>
      <c r="F250" s="40"/>
      <c r="G250" s="36"/>
      <c r="H250" s="36"/>
      <c r="I250" s="45"/>
      <c r="J250" s="38"/>
      <c r="K250" s="39"/>
    </row>
    <row r="251">
      <c r="A251" s="47"/>
      <c r="B251" s="48"/>
      <c r="C251" s="48"/>
      <c r="D251" s="48"/>
      <c r="E251" s="43"/>
      <c r="F251" s="40"/>
      <c r="G251" s="36"/>
      <c r="H251" s="36"/>
      <c r="I251" s="45"/>
      <c r="J251" s="38"/>
      <c r="K251" s="39"/>
    </row>
    <row r="252">
      <c r="A252" s="47"/>
      <c r="B252" s="48"/>
      <c r="C252" s="48"/>
      <c r="D252" s="48"/>
      <c r="E252" s="43"/>
      <c r="F252" s="40"/>
      <c r="G252" s="36"/>
      <c r="H252" s="36"/>
      <c r="I252" s="45"/>
      <c r="J252" s="38"/>
      <c r="K252" s="39"/>
    </row>
    <row r="253">
      <c r="A253" s="47"/>
      <c r="B253" s="48"/>
      <c r="C253" s="48"/>
      <c r="D253" s="48"/>
      <c r="E253" s="43"/>
      <c r="F253" s="40"/>
      <c r="G253" s="36"/>
      <c r="H253" s="36"/>
      <c r="I253" s="45"/>
      <c r="J253" s="38"/>
      <c r="K253" s="39"/>
    </row>
    <row r="254">
      <c r="A254" s="47"/>
      <c r="B254" s="48"/>
      <c r="C254" s="48"/>
      <c r="D254" s="48"/>
      <c r="E254" s="43"/>
      <c r="F254" s="40"/>
      <c r="G254" s="36"/>
      <c r="H254" s="36"/>
      <c r="I254" s="45"/>
      <c r="J254" s="38"/>
      <c r="K254" s="39"/>
    </row>
    <row r="255">
      <c r="A255" s="47"/>
      <c r="B255" s="48"/>
      <c r="C255" s="48"/>
      <c r="D255" s="48"/>
      <c r="E255" s="43"/>
      <c r="F255" s="40"/>
      <c r="G255" s="36"/>
      <c r="H255" s="36"/>
      <c r="I255" s="45"/>
      <c r="J255" s="38"/>
      <c r="K255" s="39"/>
    </row>
    <row r="256">
      <c r="A256" s="47"/>
      <c r="B256" s="48"/>
      <c r="C256" s="48"/>
      <c r="D256" s="48"/>
      <c r="E256" s="43"/>
      <c r="F256" s="40"/>
      <c r="G256" s="36"/>
      <c r="H256" s="36"/>
      <c r="I256" s="45"/>
      <c r="J256" s="38"/>
      <c r="K256" s="39"/>
    </row>
    <row r="257">
      <c r="A257" s="47"/>
      <c r="B257" s="48"/>
      <c r="C257" s="48"/>
      <c r="D257" s="48"/>
      <c r="E257" s="43"/>
      <c r="F257" s="40"/>
      <c r="G257" s="36"/>
      <c r="H257" s="36"/>
      <c r="I257" s="45"/>
      <c r="J257" s="38"/>
      <c r="K257" s="39"/>
    </row>
    <row r="258">
      <c r="A258" s="47"/>
      <c r="B258" s="48"/>
      <c r="C258" s="48"/>
      <c r="D258" s="48"/>
      <c r="E258" s="43"/>
      <c r="F258" s="40"/>
      <c r="G258" s="36"/>
      <c r="H258" s="36"/>
      <c r="I258" s="45"/>
      <c r="J258" s="38"/>
      <c r="K258" s="39"/>
    </row>
    <row r="259">
      <c r="A259" s="47"/>
      <c r="B259" s="48"/>
      <c r="C259" s="48"/>
      <c r="D259" s="48"/>
      <c r="E259" s="43"/>
      <c r="F259" s="40"/>
      <c r="G259" s="36"/>
      <c r="H259" s="36"/>
      <c r="I259" s="45"/>
      <c r="J259" s="38"/>
      <c r="K259" s="39"/>
    </row>
    <row r="260">
      <c r="A260" s="47"/>
      <c r="B260" s="48"/>
      <c r="C260" s="48"/>
      <c r="D260" s="48"/>
      <c r="E260" s="43"/>
      <c r="F260" s="40"/>
      <c r="G260" s="36"/>
      <c r="H260" s="36"/>
      <c r="I260" s="45"/>
      <c r="J260" s="38"/>
      <c r="K260" s="39"/>
    </row>
    <row r="261">
      <c r="A261" s="47"/>
      <c r="B261" s="48"/>
      <c r="C261" s="48"/>
      <c r="D261" s="48"/>
      <c r="E261" s="43"/>
      <c r="F261" s="40"/>
      <c r="G261" s="36"/>
      <c r="H261" s="36"/>
      <c r="I261" s="45"/>
      <c r="J261" s="38"/>
      <c r="K261" s="39"/>
    </row>
    <row r="262">
      <c r="A262" s="47"/>
      <c r="B262" s="48"/>
      <c r="C262" s="48"/>
      <c r="D262" s="48"/>
      <c r="E262" s="43"/>
      <c r="F262" s="40"/>
      <c r="G262" s="36"/>
      <c r="H262" s="36"/>
      <c r="I262" s="45"/>
      <c r="J262" s="38"/>
      <c r="K262" s="39"/>
    </row>
    <row r="263">
      <c r="A263" s="47"/>
      <c r="B263" s="48"/>
      <c r="C263" s="48"/>
      <c r="D263" s="48"/>
      <c r="E263" s="43"/>
      <c r="F263" s="40"/>
      <c r="G263" s="36"/>
      <c r="H263" s="36"/>
      <c r="I263" s="45"/>
      <c r="J263" s="38"/>
      <c r="K263" s="39"/>
    </row>
    <row r="264">
      <c r="A264" s="47"/>
      <c r="B264" s="48"/>
      <c r="C264" s="48"/>
      <c r="D264" s="48"/>
      <c r="E264" s="43"/>
      <c r="F264" s="40"/>
      <c r="G264" s="36"/>
      <c r="H264" s="36"/>
      <c r="I264" s="45"/>
      <c r="J264" s="38"/>
      <c r="K264" s="39"/>
    </row>
    <row r="265">
      <c r="A265" s="47"/>
      <c r="B265" s="48"/>
      <c r="C265" s="48"/>
      <c r="D265" s="48"/>
      <c r="E265" s="43"/>
      <c r="F265" s="40"/>
      <c r="G265" s="36"/>
      <c r="H265" s="36"/>
      <c r="I265" s="45"/>
      <c r="J265" s="38"/>
      <c r="K265" s="39"/>
    </row>
    <row r="266">
      <c r="A266" s="47"/>
      <c r="B266" s="48"/>
      <c r="C266" s="48"/>
      <c r="D266" s="48"/>
      <c r="E266" s="43"/>
      <c r="F266" s="40"/>
      <c r="G266" s="36"/>
      <c r="H266" s="36"/>
      <c r="I266" s="45"/>
      <c r="J266" s="38"/>
      <c r="K266" s="39"/>
    </row>
    <row r="267">
      <c r="A267" s="47"/>
      <c r="B267" s="48"/>
      <c r="C267" s="48"/>
      <c r="D267" s="48"/>
      <c r="E267" s="43"/>
      <c r="F267" s="40"/>
      <c r="G267" s="36"/>
      <c r="H267" s="36"/>
      <c r="I267" s="45"/>
      <c r="J267" s="38"/>
      <c r="K267" s="39"/>
    </row>
    <row r="268">
      <c r="A268" s="47"/>
      <c r="B268" s="48"/>
      <c r="C268" s="48"/>
      <c r="D268" s="48"/>
      <c r="E268" s="43"/>
      <c r="F268" s="40"/>
      <c r="G268" s="36"/>
      <c r="H268" s="36"/>
      <c r="I268" s="45"/>
      <c r="J268" s="38"/>
      <c r="K268" s="39"/>
    </row>
    <row r="269">
      <c r="A269" s="47"/>
      <c r="B269" s="48"/>
      <c r="C269" s="48"/>
      <c r="D269" s="48"/>
      <c r="E269" s="43"/>
      <c r="F269" s="40"/>
      <c r="G269" s="36"/>
      <c r="H269" s="36"/>
      <c r="I269" s="45"/>
      <c r="J269" s="38"/>
      <c r="K269" s="39"/>
    </row>
    <row r="270">
      <c r="A270" s="47"/>
      <c r="B270" s="48"/>
      <c r="C270" s="48"/>
      <c r="D270" s="48"/>
      <c r="E270" s="43"/>
      <c r="F270" s="40"/>
      <c r="G270" s="36"/>
      <c r="H270" s="36"/>
      <c r="I270" s="45"/>
      <c r="J270" s="38"/>
      <c r="K270" s="39"/>
    </row>
    <row r="271">
      <c r="A271" s="47"/>
      <c r="B271" s="48"/>
      <c r="C271" s="48"/>
      <c r="D271" s="48"/>
      <c r="E271" s="43"/>
      <c r="F271" s="40"/>
      <c r="G271" s="36"/>
      <c r="H271" s="36"/>
      <c r="I271" s="45"/>
      <c r="J271" s="38"/>
      <c r="K271" s="39"/>
    </row>
    <row r="272">
      <c r="A272" s="47"/>
      <c r="B272" s="48"/>
      <c r="C272" s="48"/>
      <c r="D272" s="48"/>
      <c r="E272" s="43"/>
      <c r="F272" s="40"/>
      <c r="G272" s="36"/>
      <c r="H272" s="36"/>
      <c r="I272" s="45"/>
      <c r="J272" s="38"/>
      <c r="K272" s="39"/>
    </row>
    <row r="273">
      <c r="A273" s="47"/>
      <c r="B273" s="48"/>
      <c r="C273" s="48"/>
      <c r="D273" s="48"/>
      <c r="E273" s="43"/>
      <c r="F273" s="40"/>
      <c r="G273" s="36"/>
      <c r="H273" s="36"/>
      <c r="I273" s="45"/>
      <c r="J273" s="38"/>
      <c r="K273" s="39"/>
    </row>
    <row r="274">
      <c r="A274" s="47"/>
      <c r="B274" s="48"/>
      <c r="C274" s="48"/>
      <c r="D274" s="48"/>
      <c r="E274" s="43"/>
      <c r="F274" s="40"/>
      <c r="G274" s="36"/>
      <c r="H274" s="36"/>
      <c r="I274" s="45"/>
      <c r="J274" s="38"/>
      <c r="K274" s="39"/>
    </row>
    <row r="275">
      <c r="A275" s="47"/>
      <c r="B275" s="48"/>
      <c r="C275" s="48"/>
      <c r="D275" s="48"/>
      <c r="E275" s="43"/>
      <c r="F275" s="40"/>
      <c r="G275" s="36"/>
      <c r="H275" s="36"/>
      <c r="I275" s="45"/>
      <c r="J275" s="38"/>
      <c r="K275" s="39"/>
    </row>
    <row r="276">
      <c r="A276" s="47"/>
      <c r="B276" s="48"/>
      <c r="C276" s="48"/>
      <c r="D276" s="48"/>
      <c r="E276" s="43"/>
      <c r="F276" s="40"/>
      <c r="G276" s="36"/>
      <c r="H276" s="36"/>
      <c r="I276" s="45"/>
      <c r="J276" s="38"/>
      <c r="K276" s="39"/>
    </row>
    <row r="277">
      <c r="A277" s="47"/>
      <c r="B277" s="48"/>
      <c r="C277" s="48"/>
      <c r="D277" s="48"/>
      <c r="E277" s="43"/>
      <c r="F277" s="40"/>
      <c r="G277" s="36"/>
      <c r="H277" s="36"/>
      <c r="I277" s="45"/>
      <c r="J277" s="38"/>
      <c r="K277" s="39"/>
    </row>
    <row r="278">
      <c r="A278" s="47"/>
      <c r="B278" s="48"/>
      <c r="C278" s="48"/>
      <c r="D278" s="48"/>
      <c r="E278" s="43"/>
      <c r="F278" s="40"/>
      <c r="G278" s="36"/>
      <c r="H278" s="36"/>
      <c r="I278" s="45"/>
      <c r="J278" s="38"/>
      <c r="K278" s="39"/>
    </row>
    <row r="279">
      <c r="A279" s="47"/>
      <c r="B279" s="48"/>
      <c r="C279" s="48"/>
      <c r="D279" s="48"/>
      <c r="E279" s="43"/>
      <c r="F279" s="40"/>
      <c r="G279" s="36"/>
      <c r="H279" s="36"/>
      <c r="I279" s="45"/>
      <c r="J279" s="38"/>
      <c r="K279" s="39"/>
    </row>
    <row r="280">
      <c r="A280" s="47"/>
      <c r="B280" s="48"/>
      <c r="C280" s="48"/>
      <c r="D280" s="48"/>
      <c r="E280" s="43"/>
      <c r="F280" s="40"/>
      <c r="G280" s="36"/>
      <c r="H280" s="36"/>
      <c r="I280" s="45"/>
      <c r="J280" s="38"/>
      <c r="K280" s="39"/>
    </row>
    <row r="281">
      <c r="A281" s="47"/>
      <c r="B281" s="48"/>
      <c r="C281" s="48"/>
      <c r="D281" s="48"/>
      <c r="E281" s="43"/>
      <c r="F281" s="40"/>
      <c r="G281" s="36"/>
      <c r="H281" s="36"/>
      <c r="I281" s="45"/>
      <c r="J281" s="38"/>
      <c r="K281" s="39"/>
    </row>
    <row r="282">
      <c r="A282" s="47"/>
      <c r="B282" s="48"/>
      <c r="C282" s="48"/>
      <c r="D282" s="48"/>
      <c r="E282" s="43"/>
      <c r="F282" s="40"/>
      <c r="G282" s="36"/>
      <c r="H282" s="36"/>
      <c r="I282" s="45"/>
      <c r="J282" s="38"/>
      <c r="K282" s="39"/>
    </row>
    <row r="283">
      <c r="A283" s="47"/>
      <c r="B283" s="48"/>
      <c r="C283" s="48"/>
      <c r="D283" s="48"/>
      <c r="E283" s="43"/>
      <c r="F283" s="40"/>
      <c r="G283" s="36"/>
      <c r="H283" s="36"/>
      <c r="I283" s="45"/>
      <c r="J283" s="38"/>
      <c r="K283" s="39"/>
    </row>
    <row r="284">
      <c r="A284" s="47"/>
      <c r="B284" s="48"/>
      <c r="C284" s="48"/>
      <c r="D284" s="48"/>
      <c r="E284" s="43"/>
      <c r="F284" s="40"/>
      <c r="G284" s="36"/>
      <c r="H284" s="36"/>
      <c r="I284" s="45"/>
      <c r="J284" s="38"/>
      <c r="K284" s="39"/>
    </row>
    <row r="285">
      <c r="A285" s="47"/>
      <c r="B285" s="48"/>
      <c r="C285" s="48"/>
      <c r="D285" s="48"/>
      <c r="E285" s="43"/>
      <c r="F285" s="40"/>
      <c r="G285" s="36"/>
      <c r="H285" s="36"/>
      <c r="I285" s="45"/>
      <c r="J285" s="38"/>
      <c r="K285" s="39"/>
    </row>
    <row r="286">
      <c r="A286" s="47"/>
      <c r="B286" s="48"/>
      <c r="C286" s="48"/>
      <c r="D286" s="48"/>
      <c r="E286" s="43"/>
      <c r="F286" s="40"/>
      <c r="G286" s="36"/>
      <c r="H286" s="36"/>
      <c r="I286" s="45"/>
      <c r="J286" s="38"/>
      <c r="K286" s="39"/>
    </row>
    <row r="287">
      <c r="A287" s="47"/>
      <c r="B287" s="48"/>
      <c r="C287" s="48"/>
      <c r="D287" s="48"/>
      <c r="E287" s="43"/>
      <c r="F287" s="40"/>
      <c r="G287" s="36"/>
      <c r="H287" s="36"/>
      <c r="I287" s="45"/>
      <c r="J287" s="38"/>
      <c r="K287" s="39"/>
    </row>
    <row r="288">
      <c r="A288" s="47"/>
      <c r="B288" s="48"/>
      <c r="C288" s="48"/>
      <c r="D288" s="48"/>
      <c r="E288" s="43"/>
      <c r="F288" s="40"/>
      <c r="G288" s="36"/>
      <c r="H288" s="36"/>
      <c r="I288" s="45"/>
      <c r="J288" s="38"/>
      <c r="K288" s="39"/>
    </row>
    <row r="289">
      <c r="A289" s="47"/>
      <c r="B289" s="48"/>
      <c r="C289" s="48"/>
      <c r="D289" s="48"/>
      <c r="E289" s="43"/>
      <c r="F289" s="40"/>
      <c r="G289" s="36"/>
      <c r="H289" s="36"/>
      <c r="I289" s="45"/>
      <c r="J289" s="38"/>
      <c r="K289" s="39"/>
    </row>
    <row r="290">
      <c r="A290" s="47"/>
      <c r="B290" s="48"/>
      <c r="C290" s="48"/>
      <c r="D290" s="48"/>
      <c r="E290" s="43"/>
      <c r="F290" s="40"/>
      <c r="G290" s="36"/>
      <c r="H290" s="36"/>
      <c r="I290" s="45"/>
      <c r="J290" s="38"/>
      <c r="K290" s="39"/>
    </row>
    <row r="291">
      <c r="A291" s="47"/>
      <c r="B291" s="48"/>
      <c r="C291" s="48"/>
      <c r="D291" s="48"/>
      <c r="E291" s="43"/>
      <c r="F291" s="40"/>
      <c r="G291" s="36"/>
      <c r="H291" s="36"/>
      <c r="I291" s="45"/>
      <c r="J291" s="38"/>
      <c r="K291" s="39"/>
    </row>
    <row r="292">
      <c r="A292" s="47"/>
      <c r="B292" s="48"/>
      <c r="C292" s="48"/>
      <c r="D292" s="48"/>
      <c r="E292" s="43"/>
      <c r="F292" s="40"/>
      <c r="G292" s="36"/>
      <c r="H292" s="36"/>
      <c r="I292" s="45"/>
      <c r="J292" s="38"/>
      <c r="K292" s="39"/>
    </row>
    <row r="293">
      <c r="A293" s="47"/>
      <c r="B293" s="48"/>
      <c r="C293" s="48"/>
      <c r="D293" s="48"/>
      <c r="E293" s="43"/>
      <c r="F293" s="40"/>
      <c r="G293" s="36"/>
      <c r="H293" s="36"/>
      <c r="I293" s="45"/>
      <c r="J293" s="38"/>
      <c r="K293" s="39"/>
    </row>
    <row r="294">
      <c r="A294" s="47"/>
      <c r="B294" s="48"/>
      <c r="C294" s="48"/>
      <c r="D294" s="48"/>
      <c r="E294" s="43"/>
      <c r="F294" s="40"/>
      <c r="G294" s="36"/>
      <c r="H294" s="36"/>
      <c r="I294" s="45"/>
      <c r="J294" s="38"/>
      <c r="K294" s="39"/>
    </row>
    <row r="295">
      <c r="A295" s="47"/>
      <c r="B295" s="48"/>
      <c r="C295" s="48"/>
      <c r="D295" s="48"/>
      <c r="E295" s="43"/>
      <c r="F295" s="40"/>
      <c r="G295" s="36"/>
      <c r="H295" s="36"/>
      <c r="I295" s="45"/>
      <c r="J295" s="38"/>
      <c r="K295" s="39"/>
    </row>
    <row r="296">
      <c r="A296" s="47"/>
      <c r="B296" s="48"/>
      <c r="C296" s="48"/>
      <c r="D296" s="48"/>
      <c r="E296" s="43"/>
      <c r="F296" s="40"/>
      <c r="G296" s="36"/>
      <c r="H296" s="36"/>
      <c r="I296" s="45"/>
      <c r="J296" s="38"/>
      <c r="K296" s="39"/>
    </row>
    <row r="297">
      <c r="A297" s="47"/>
      <c r="B297" s="48"/>
      <c r="C297" s="48"/>
      <c r="D297" s="48"/>
      <c r="E297" s="43"/>
      <c r="F297" s="40"/>
      <c r="G297" s="36"/>
      <c r="H297" s="36"/>
      <c r="I297" s="45"/>
      <c r="J297" s="38"/>
      <c r="K297" s="39"/>
    </row>
    <row r="298">
      <c r="A298" s="47"/>
      <c r="B298" s="48"/>
      <c r="C298" s="48"/>
      <c r="D298" s="48"/>
      <c r="E298" s="43"/>
      <c r="F298" s="40"/>
      <c r="G298" s="36"/>
      <c r="H298" s="36"/>
      <c r="I298" s="45"/>
      <c r="J298" s="38"/>
      <c r="K298" s="39"/>
    </row>
    <row r="299">
      <c r="A299" s="47"/>
      <c r="B299" s="48"/>
      <c r="C299" s="48"/>
      <c r="D299" s="48"/>
      <c r="E299" s="43"/>
      <c r="F299" s="40"/>
      <c r="G299" s="36"/>
      <c r="H299" s="36"/>
      <c r="I299" s="45"/>
      <c r="J299" s="38"/>
      <c r="K299" s="39"/>
    </row>
    <row r="300">
      <c r="A300" s="47"/>
      <c r="B300" s="48"/>
      <c r="C300" s="48"/>
      <c r="D300" s="48"/>
      <c r="E300" s="43"/>
      <c r="F300" s="40"/>
      <c r="G300" s="36"/>
      <c r="H300" s="36"/>
      <c r="I300" s="45"/>
      <c r="J300" s="38"/>
      <c r="K300" s="39"/>
    </row>
    <row r="301">
      <c r="A301" s="47"/>
      <c r="B301" s="48"/>
      <c r="C301" s="48"/>
      <c r="D301" s="48"/>
      <c r="E301" s="43"/>
      <c r="F301" s="40"/>
      <c r="G301" s="36"/>
      <c r="H301" s="36"/>
      <c r="I301" s="45"/>
      <c r="J301" s="38"/>
      <c r="K301" s="39"/>
    </row>
    <row r="302">
      <c r="A302" s="47"/>
      <c r="B302" s="48"/>
      <c r="C302" s="48"/>
      <c r="D302" s="48"/>
      <c r="E302" s="43"/>
      <c r="F302" s="40"/>
      <c r="G302" s="36"/>
      <c r="H302" s="36"/>
      <c r="I302" s="45"/>
      <c r="J302" s="38"/>
      <c r="K302" s="39"/>
    </row>
    <row r="303">
      <c r="A303" s="47"/>
      <c r="B303" s="48"/>
      <c r="C303" s="48"/>
      <c r="D303" s="48"/>
      <c r="E303" s="43"/>
      <c r="F303" s="40"/>
      <c r="G303" s="36"/>
      <c r="H303" s="36"/>
      <c r="I303" s="45"/>
      <c r="J303" s="38"/>
      <c r="K303" s="39"/>
    </row>
    <row r="304">
      <c r="A304" s="47"/>
      <c r="B304" s="48"/>
      <c r="C304" s="48"/>
      <c r="D304" s="48"/>
      <c r="E304" s="43"/>
      <c r="F304" s="40"/>
      <c r="G304" s="36"/>
      <c r="H304" s="36"/>
      <c r="I304" s="45"/>
      <c r="J304" s="38"/>
      <c r="K304" s="39"/>
    </row>
    <row r="305">
      <c r="A305" s="47"/>
      <c r="B305" s="48"/>
      <c r="C305" s="48"/>
      <c r="D305" s="48"/>
      <c r="E305" s="43"/>
      <c r="F305" s="40"/>
      <c r="G305" s="36"/>
      <c r="H305" s="36"/>
      <c r="I305" s="45"/>
      <c r="J305" s="38"/>
      <c r="K305" s="39"/>
    </row>
    <row r="306">
      <c r="A306" s="47"/>
      <c r="B306" s="48"/>
      <c r="C306" s="48"/>
      <c r="D306" s="48"/>
      <c r="E306" s="43"/>
      <c r="F306" s="40"/>
      <c r="G306" s="36"/>
      <c r="H306" s="36"/>
      <c r="I306" s="45"/>
      <c r="J306" s="38"/>
      <c r="K306" s="39"/>
    </row>
    <row r="307">
      <c r="A307" s="47"/>
      <c r="B307" s="48"/>
      <c r="C307" s="48"/>
      <c r="D307" s="48"/>
      <c r="E307" s="43"/>
      <c r="F307" s="40"/>
      <c r="G307" s="36"/>
      <c r="H307" s="36"/>
      <c r="I307" s="45"/>
      <c r="J307" s="38"/>
      <c r="K307" s="39"/>
    </row>
    <row r="308">
      <c r="A308" s="47"/>
      <c r="B308" s="48"/>
      <c r="C308" s="48"/>
      <c r="D308" s="48"/>
      <c r="E308" s="43"/>
      <c r="F308" s="40"/>
      <c r="G308" s="36"/>
      <c r="H308" s="36"/>
      <c r="I308" s="45"/>
      <c r="J308" s="38"/>
      <c r="K308" s="39"/>
    </row>
    <row r="309">
      <c r="A309" s="47"/>
      <c r="B309" s="48"/>
      <c r="C309" s="48"/>
      <c r="D309" s="48"/>
      <c r="E309" s="43"/>
      <c r="F309" s="40"/>
      <c r="G309" s="36"/>
      <c r="H309" s="36"/>
      <c r="I309" s="45"/>
      <c r="J309" s="38"/>
      <c r="K309" s="39"/>
    </row>
    <row r="310">
      <c r="A310" s="47"/>
      <c r="B310" s="48"/>
      <c r="C310" s="48"/>
      <c r="D310" s="48"/>
      <c r="E310" s="43"/>
      <c r="F310" s="40"/>
      <c r="G310" s="36"/>
      <c r="H310" s="36"/>
      <c r="I310" s="45"/>
      <c r="J310" s="38"/>
      <c r="K310" s="39"/>
    </row>
    <row r="311">
      <c r="A311" s="47"/>
      <c r="B311" s="48"/>
      <c r="C311" s="48"/>
      <c r="D311" s="48"/>
      <c r="E311" s="43"/>
      <c r="F311" s="40"/>
      <c r="G311" s="36"/>
      <c r="H311" s="36"/>
      <c r="I311" s="45"/>
      <c r="J311" s="38"/>
      <c r="K311" s="39"/>
    </row>
    <row r="312">
      <c r="A312" s="47"/>
      <c r="B312" s="48"/>
      <c r="C312" s="48"/>
      <c r="D312" s="48"/>
      <c r="E312" s="43"/>
      <c r="F312" s="40"/>
      <c r="G312" s="36"/>
      <c r="H312" s="36"/>
      <c r="I312" s="45"/>
      <c r="J312" s="38"/>
      <c r="K312" s="39"/>
    </row>
    <row r="313">
      <c r="A313" s="47"/>
      <c r="B313" s="48"/>
      <c r="C313" s="48"/>
      <c r="D313" s="48"/>
      <c r="E313" s="43"/>
      <c r="F313" s="40"/>
      <c r="G313" s="36"/>
      <c r="H313" s="36"/>
      <c r="I313" s="45"/>
      <c r="J313" s="38"/>
      <c r="K313" s="39"/>
    </row>
    <row r="314">
      <c r="A314" s="47"/>
      <c r="B314" s="48"/>
      <c r="C314" s="48"/>
      <c r="D314" s="48"/>
      <c r="E314" s="43"/>
      <c r="F314" s="40"/>
      <c r="G314" s="36"/>
      <c r="H314" s="36"/>
      <c r="I314" s="45"/>
      <c r="J314" s="38"/>
      <c r="K314" s="39"/>
    </row>
    <row r="315">
      <c r="A315" s="47"/>
      <c r="B315" s="48"/>
      <c r="C315" s="48"/>
      <c r="D315" s="48"/>
      <c r="E315" s="43"/>
      <c r="F315" s="40"/>
      <c r="G315" s="36"/>
      <c r="H315" s="36"/>
      <c r="I315" s="45"/>
      <c r="J315" s="38"/>
      <c r="K315" s="39"/>
    </row>
    <row r="316">
      <c r="A316" s="47"/>
      <c r="B316" s="48"/>
      <c r="C316" s="48"/>
      <c r="D316" s="48"/>
      <c r="E316" s="43"/>
      <c r="F316" s="40"/>
      <c r="G316" s="36"/>
      <c r="H316" s="36"/>
      <c r="I316" s="45"/>
      <c r="J316" s="38"/>
      <c r="K316" s="39"/>
    </row>
    <row r="317">
      <c r="A317" s="47"/>
      <c r="B317" s="48"/>
      <c r="C317" s="48"/>
      <c r="D317" s="48"/>
      <c r="E317" s="43"/>
      <c r="F317" s="40"/>
      <c r="G317" s="36"/>
      <c r="H317" s="36"/>
      <c r="I317" s="45"/>
      <c r="J317" s="38"/>
      <c r="K317" s="39"/>
    </row>
    <row r="318">
      <c r="A318" s="47"/>
      <c r="B318" s="48"/>
      <c r="C318" s="48"/>
      <c r="D318" s="48"/>
      <c r="E318" s="43"/>
      <c r="F318" s="40"/>
      <c r="G318" s="36"/>
      <c r="H318" s="36"/>
      <c r="I318" s="45"/>
      <c r="J318" s="38"/>
      <c r="K318" s="39"/>
    </row>
    <row r="319">
      <c r="A319" s="47"/>
      <c r="B319" s="48"/>
      <c r="C319" s="48"/>
      <c r="D319" s="48"/>
      <c r="E319" s="43"/>
      <c r="F319" s="40"/>
      <c r="G319" s="36"/>
      <c r="H319" s="36"/>
      <c r="I319" s="45"/>
      <c r="J319" s="38"/>
      <c r="K319" s="39"/>
    </row>
    <row r="320">
      <c r="A320" s="47"/>
      <c r="B320" s="48"/>
      <c r="C320" s="48"/>
      <c r="D320" s="48"/>
      <c r="E320" s="43"/>
      <c r="F320" s="40"/>
      <c r="G320" s="36"/>
      <c r="H320" s="36"/>
      <c r="I320" s="45"/>
      <c r="J320" s="38"/>
      <c r="K320" s="39"/>
    </row>
    <row r="321">
      <c r="A321" s="47"/>
      <c r="B321" s="48"/>
      <c r="C321" s="48"/>
      <c r="D321" s="48"/>
      <c r="E321" s="43"/>
      <c r="F321" s="40"/>
      <c r="G321" s="36"/>
      <c r="H321" s="36"/>
      <c r="I321" s="45"/>
      <c r="J321" s="38"/>
      <c r="K321" s="39"/>
    </row>
    <row r="322">
      <c r="A322" s="47"/>
      <c r="B322" s="48"/>
      <c r="C322" s="48"/>
      <c r="D322" s="48"/>
      <c r="E322" s="43"/>
      <c r="F322" s="40"/>
      <c r="G322" s="36"/>
      <c r="H322" s="36"/>
      <c r="I322" s="45"/>
      <c r="J322" s="38"/>
      <c r="K322" s="39"/>
    </row>
    <row r="323">
      <c r="A323" s="47"/>
      <c r="B323" s="48"/>
      <c r="C323" s="48"/>
      <c r="D323" s="48"/>
      <c r="E323" s="43"/>
      <c r="F323" s="40"/>
      <c r="G323" s="36"/>
      <c r="H323" s="36"/>
      <c r="I323" s="45"/>
      <c r="J323" s="38"/>
      <c r="K323" s="39"/>
    </row>
    <row r="324">
      <c r="A324" s="47"/>
      <c r="B324" s="48"/>
      <c r="C324" s="48"/>
      <c r="D324" s="48"/>
      <c r="E324" s="43"/>
      <c r="F324" s="40"/>
      <c r="G324" s="36"/>
      <c r="H324" s="36"/>
      <c r="I324" s="45"/>
      <c r="J324" s="38"/>
      <c r="K324" s="39"/>
    </row>
    <row r="325">
      <c r="A325" s="47"/>
      <c r="B325" s="48"/>
      <c r="C325" s="48"/>
      <c r="D325" s="48"/>
      <c r="E325" s="43"/>
      <c r="F325" s="40"/>
      <c r="G325" s="36"/>
      <c r="H325" s="36"/>
      <c r="I325" s="45"/>
      <c r="J325" s="38"/>
      <c r="K325" s="39"/>
    </row>
    <row r="326">
      <c r="A326" s="47"/>
      <c r="B326" s="48"/>
      <c r="C326" s="48"/>
      <c r="D326" s="48"/>
      <c r="E326" s="43"/>
      <c r="F326" s="40"/>
      <c r="G326" s="36"/>
      <c r="H326" s="36"/>
      <c r="I326" s="45"/>
      <c r="J326" s="38"/>
      <c r="K326" s="39"/>
    </row>
    <row r="327">
      <c r="A327" s="47"/>
      <c r="B327" s="48"/>
      <c r="C327" s="48"/>
      <c r="D327" s="48"/>
      <c r="E327" s="43"/>
      <c r="F327" s="40"/>
      <c r="G327" s="36"/>
      <c r="H327" s="36"/>
      <c r="I327" s="45"/>
      <c r="J327" s="38"/>
      <c r="K327" s="39"/>
    </row>
    <row r="328">
      <c r="A328" s="47"/>
      <c r="B328" s="48"/>
      <c r="C328" s="48"/>
      <c r="D328" s="48"/>
      <c r="E328" s="43"/>
      <c r="F328" s="40"/>
      <c r="G328" s="36"/>
      <c r="H328" s="36"/>
      <c r="I328" s="45"/>
      <c r="J328" s="38"/>
      <c r="K328" s="39"/>
    </row>
    <row r="329">
      <c r="A329" s="47"/>
      <c r="B329" s="48"/>
      <c r="C329" s="48"/>
      <c r="D329" s="48"/>
      <c r="E329" s="43"/>
      <c r="F329" s="40"/>
      <c r="G329" s="36"/>
      <c r="H329" s="36"/>
      <c r="I329" s="45"/>
      <c r="J329" s="38"/>
      <c r="K329" s="39"/>
    </row>
    <row r="330">
      <c r="A330" s="47"/>
      <c r="B330" s="48"/>
      <c r="C330" s="48"/>
      <c r="D330" s="48"/>
      <c r="E330" s="43"/>
      <c r="F330" s="40"/>
      <c r="G330" s="36"/>
      <c r="H330" s="36"/>
      <c r="I330" s="45"/>
      <c r="J330" s="38"/>
      <c r="K330" s="39"/>
    </row>
    <row r="331">
      <c r="A331" s="47"/>
      <c r="B331" s="48"/>
      <c r="C331" s="48"/>
      <c r="D331" s="48"/>
      <c r="E331" s="43"/>
      <c r="F331" s="40"/>
      <c r="G331" s="36"/>
      <c r="H331" s="36"/>
      <c r="I331" s="45"/>
      <c r="J331" s="38"/>
      <c r="K331" s="39"/>
    </row>
    <row r="332">
      <c r="A332" s="47"/>
      <c r="B332" s="48"/>
      <c r="C332" s="48"/>
      <c r="D332" s="48"/>
      <c r="E332" s="43"/>
      <c r="F332" s="40"/>
      <c r="G332" s="36"/>
      <c r="H332" s="36"/>
      <c r="I332" s="45"/>
      <c r="J332" s="38"/>
      <c r="K332" s="39"/>
    </row>
    <row r="333">
      <c r="A333" s="47"/>
      <c r="B333" s="48"/>
      <c r="C333" s="48"/>
      <c r="D333" s="48"/>
      <c r="E333" s="43"/>
      <c r="F333" s="40"/>
      <c r="G333" s="36"/>
      <c r="H333" s="36"/>
      <c r="I333" s="45"/>
      <c r="J333" s="38"/>
      <c r="K333" s="39"/>
    </row>
    <row r="334">
      <c r="A334" s="47"/>
      <c r="B334" s="48"/>
      <c r="C334" s="48"/>
      <c r="D334" s="48"/>
      <c r="E334" s="43"/>
      <c r="F334" s="40"/>
      <c r="G334" s="36"/>
      <c r="H334" s="36"/>
      <c r="I334" s="45"/>
      <c r="J334" s="38"/>
      <c r="K334" s="39"/>
    </row>
    <row r="335">
      <c r="A335" s="47"/>
      <c r="B335" s="48"/>
      <c r="C335" s="48"/>
      <c r="D335" s="48"/>
      <c r="E335" s="43"/>
      <c r="F335" s="40"/>
      <c r="G335" s="36"/>
      <c r="H335" s="36"/>
      <c r="I335" s="45"/>
      <c r="J335" s="38"/>
      <c r="K335" s="39"/>
    </row>
    <row r="336">
      <c r="A336" s="47"/>
      <c r="B336" s="48"/>
      <c r="C336" s="48"/>
      <c r="D336" s="48"/>
      <c r="E336" s="43"/>
      <c r="F336" s="40"/>
      <c r="G336" s="36"/>
      <c r="H336" s="36"/>
      <c r="I336" s="45"/>
      <c r="J336" s="38"/>
      <c r="K336" s="39"/>
    </row>
    <row r="337">
      <c r="A337" s="47"/>
      <c r="B337" s="48"/>
      <c r="C337" s="48"/>
      <c r="D337" s="48"/>
      <c r="E337" s="43"/>
      <c r="F337" s="40"/>
      <c r="G337" s="36"/>
      <c r="H337" s="36"/>
      <c r="I337" s="45"/>
      <c r="J337" s="38"/>
      <c r="K337" s="39"/>
    </row>
    <row r="338">
      <c r="A338" s="47"/>
      <c r="B338" s="48"/>
      <c r="C338" s="48"/>
      <c r="D338" s="48"/>
      <c r="E338" s="43"/>
      <c r="F338" s="40"/>
      <c r="G338" s="36"/>
      <c r="H338" s="36"/>
      <c r="I338" s="45"/>
      <c r="J338" s="38"/>
      <c r="K338" s="39"/>
    </row>
    <row r="339">
      <c r="A339" s="47"/>
      <c r="B339" s="48"/>
      <c r="C339" s="48"/>
      <c r="D339" s="48"/>
      <c r="E339" s="43"/>
      <c r="F339" s="40"/>
      <c r="G339" s="36"/>
      <c r="H339" s="36"/>
      <c r="I339" s="45"/>
      <c r="J339" s="38"/>
      <c r="K339" s="39"/>
    </row>
    <row r="340">
      <c r="A340" s="47"/>
      <c r="B340" s="48"/>
      <c r="C340" s="48"/>
      <c r="D340" s="48"/>
      <c r="E340" s="43"/>
      <c r="F340" s="40"/>
      <c r="G340" s="36"/>
      <c r="H340" s="36"/>
      <c r="I340" s="45"/>
      <c r="J340" s="38"/>
      <c r="K340" s="39"/>
    </row>
    <row r="341">
      <c r="A341" s="47"/>
      <c r="B341" s="48"/>
      <c r="C341" s="48"/>
      <c r="D341" s="48"/>
      <c r="E341" s="43"/>
      <c r="F341" s="40"/>
      <c r="G341" s="36"/>
      <c r="H341" s="36"/>
      <c r="I341" s="45"/>
      <c r="J341" s="38"/>
      <c r="K341" s="39"/>
    </row>
    <row r="342">
      <c r="A342" s="47"/>
      <c r="B342" s="48"/>
      <c r="C342" s="48"/>
      <c r="D342" s="48"/>
      <c r="E342" s="43"/>
      <c r="F342" s="40"/>
      <c r="G342" s="36"/>
      <c r="H342" s="36"/>
      <c r="I342" s="45"/>
      <c r="J342" s="38"/>
      <c r="K342" s="39"/>
    </row>
    <row r="343">
      <c r="A343" s="47"/>
      <c r="B343" s="48"/>
      <c r="C343" s="48"/>
      <c r="D343" s="48"/>
      <c r="E343" s="43"/>
      <c r="F343" s="40"/>
      <c r="G343" s="36"/>
      <c r="H343" s="36"/>
      <c r="I343" s="45"/>
      <c r="J343" s="38"/>
      <c r="K343" s="39"/>
    </row>
    <row r="344">
      <c r="A344" s="47"/>
      <c r="B344" s="48"/>
      <c r="C344" s="48"/>
      <c r="D344" s="48"/>
      <c r="E344" s="43"/>
      <c r="F344" s="40"/>
      <c r="G344" s="36"/>
      <c r="H344" s="36"/>
      <c r="I344" s="45"/>
      <c r="J344" s="38"/>
      <c r="K344" s="39"/>
    </row>
    <row r="345">
      <c r="A345" s="47"/>
      <c r="B345" s="48"/>
      <c r="C345" s="48"/>
      <c r="D345" s="48"/>
      <c r="E345" s="43"/>
      <c r="F345" s="40"/>
      <c r="G345" s="36"/>
      <c r="H345" s="36"/>
      <c r="I345" s="45"/>
      <c r="J345" s="38"/>
      <c r="K345" s="39"/>
    </row>
    <row r="346">
      <c r="A346" s="47"/>
      <c r="B346" s="48"/>
      <c r="C346" s="48"/>
      <c r="D346" s="48"/>
      <c r="E346" s="43"/>
      <c r="F346" s="40"/>
      <c r="G346" s="36"/>
      <c r="H346" s="36"/>
      <c r="I346" s="45"/>
      <c r="J346" s="38"/>
      <c r="K346" s="39"/>
    </row>
    <row r="347">
      <c r="A347" s="47"/>
      <c r="B347" s="48"/>
      <c r="C347" s="48"/>
      <c r="D347" s="48"/>
      <c r="E347" s="43"/>
      <c r="F347" s="40"/>
      <c r="G347" s="36"/>
      <c r="H347" s="36"/>
      <c r="I347" s="45"/>
      <c r="J347" s="38"/>
      <c r="K347" s="39"/>
    </row>
    <row r="348">
      <c r="A348" s="47"/>
      <c r="B348" s="48"/>
      <c r="C348" s="48"/>
      <c r="D348" s="48"/>
      <c r="E348" s="43"/>
      <c r="F348" s="40"/>
      <c r="G348" s="36"/>
      <c r="H348" s="36"/>
      <c r="I348" s="45"/>
      <c r="J348" s="38"/>
      <c r="K348" s="39"/>
    </row>
    <row r="349">
      <c r="A349" s="47"/>
      <c r="B349" s="48"/>
      <c r="C349" s="48"/>
      <c r="D349" s="48"/>
      <c r="E349" s="43"/>
      <c r="F349" s="40"/>
      <c r="G349" s="36"/>
      <c r="H349" s="36"/>
      <c r="I349" s="45"/>
      <c r="J349" s="38"/>
      <c r="K349" s="39"/>
    </row>
    <row r="350">
      <c r="A350" s="47"/>
      <c r="B350" s="48"/>
      <c r="C350" s="48"/>
      <c r="D350" s="48"/>
      <c r="E350" s="43"/>
      <c r="F350" s="40"/>
      <c r="G350" s="36"/>
      <c r="H350" s="36"/>
      <c r="I350" s="45"/>
      <c r="J350" s="38"/>
      <c r="K350" s="39"/>
    </row>
    <row r="351">
      <c r="A351" s="47"/>
      <c r="B351" s="48"/>
      <c r="C351" s="48"/>
      <c r="D351" s="48"/>
      <c r="E351" s="43"/>
      <c r="F351" s="40"/>
      <c r="G351" s="36"/>
      <c r="H351" s="36"/>
      <c r="I351" s="45"/>
      <c r="J351" s="38"/>
      <c r="K351" s="39"/>
    </row>
    <row r="352">
      <c r="A352" s="47"/>
      <c r="B352" s="48"/>
      <c r="C352" s="48"/>
      <c r="D352" s="48"/>
      <c r="E352" s="43"/>
      <c r="F352" s="40"/>
      <c r="G352" s="36"/>
      <c r="H352" s="36"/>
      <c r="I352" s="45"/>
      <c r="J352" s="38"/>
      <c r="K352" s="39"/>
    </row>
    <row r="353">
      <c r="A353" s="47"/>
      <c r="B353" s="48"/>
      <c r="C353" s="48"/>
      <c r="D353" s="48"/>
      <c r="E353" s="43"/>
      <c r="F353" s="40"/>
      <c r="G353" s="36"/>
      <c r="H353" s="36"/>
      <c r="I353" s="45"/>
      <c r="J353" s="38"/>
      <c r="K353" s="39"/>
    </row>
    <row r="354">
      <c r="A354" s="47"/>
      <c r="B354" s="48"/>
      <c r="C354" s="48"/>
      <c r="D354" s="48"/>
      <c r="E354" s="43"/>
      <c r="F354" s="40"/>
      <c r="G354" s="36"/>
      <c r="H354" s="36"/>
      <c r="I354" s="45"/>
      <c r="J354" s="38"/>
      <c r="K354" s="39"/>
    </row>
    <row r="355">
      <c r="A355" s="47"/>
      <c r="B355" s="48"/>
      <c r="C355" s="48"/>
      <c r="D355" s="48"/>
      <c r="E355" s="43"/>
      <c r="F355" s="40"/>
      <c r="G355" s="36"/>
      <c r="H355" s="36"/>
      <c r="I355" s="45"/>
      <c r="J355" s="38"/>
      <c r="K355" s="39"/>
    </row>
    <row r="356">
      <c r="A356" s="47"/>
      <c r="B356" s="48"/>
      <c r="C356" s="48"/>
      <c r="D356" s="48"/>
      <c r="E356" s="43"/>
      <c r="F356" s="40"/>
      <c r="G356" s="36"/>
      <c r="H356" s="36"/>
      <c r="I356" s="45"/>
      <c r="J356" s="38"/>
      <c r="K356" s="39"/>
    </row>
    <row r="357">
      <c r="A357" s="47"/>
      <c r="B357" s="48"/>
      <c r="C357" s="48"/>
      <c r="D357" s="48"/>
      <c r="E357" s="43"/>
      <c r="F357" s="40"/>
      <c r="G357" s="36"/>
      <c r="H357" s="36"/>
      <c r="I357" s="45"/>
      <c r="J357" s="38"/>
      <c r="K357" s="39"/>
    </row>
    <row r="358">
      <c r="A358" s="47"/>
      <c r="B358" s="48"/>
      <c r="C358" s="48"/>
      <c r="D358" s="48"/>
      <c r="E358" s="43"/>
      <c r="F358" s="40"/>
      <c r="G358" s="36"/>
      <c r="H358" s="36"/>
      <c r="I358" s="45"/>
      <c r="J358" s="38"/>
      <c r="K358" s="39"/>
    </row>
    <row r="359">
      <c r="A359" s="47"/>
      <c r="B359" s="48"/>
      <c r="C359" s="48"/>
      <c r="D359" s="48"/>
      <c r="E359" s="43"/>
      <c r="F359" s="40"/>
      <c r="G359" s="36"/>
      <c r="H359" s="36"/>
      <c r="I359" s="45"/>
      <c r="J359" s="38"/>
      <c r="K359" s="39"/>
    </row>
    <row r="360">
      <c r="A360" s="47"/>
      <c r="B360" s="48"/>
      <c r="C360" s="48"/>
      <c r="D360" s="48"/>
      <c r="E360" s="43"/>
      <c r="F360" s="40"/>
      <c r="G360" s="36"/>
      <c r="H360" s="36"/>
      <c r="I360" s="45"/>
      <c r="J360" s="38"/>
      <c r="K360" s="39"/>
    </row>
    <row r="361">
      <c r="A361" s="47"/>
      <c r="B361" s="48"/>
      <c r="C361" s="48"/>
      <c r="D361" s="48"/>
      <c r="E361" s="43"/>
      <c r="F361" s="40"/>
      <c r="G361" s="36"/>
      <c r="H361" s="36"/>
      <c r="I361" s="45"/>
      <c r="J361" s="38"/>
      <c r="K361" s="39"/>
    </row>
    <row r="362">
      <c r="A362" s="47"/>
      <c r="B362" s="48"/>
      <c r="C362" s="48"/>
      <c r="D362" s="48"/>
      <c r="E362" s="43"/>
      <c r="F362" s="40"/>
      <c r="G362" s="36"/>
      <c r="H362" s="36"/>
      <c r="I362" s="45"/>
      <c r="J362" s="38"/>
      <c r="K362" s="39"/>
    </row>
    <row r="363">
      <c r="A363" s="47"/>
      <c r="B363" s="48"/>
      <c r="C363" s="48"/>
      <c r="D363" s="48"/>
      <c r="E363" s="43"/>
      <c r="F363" s="40"/>
      <c r="G363" s="36"/>
      <c r="H363" s="36"/>
      <c r="I363" s="45"/>
      <c r="J363" s="38"/>
      <c r="K363" s="39"/>
    </row>
    <row r="364">
      <c r="A364" s="47"/>
      <c r="B364" s="48"/>
      <c r="C364" s="48"/>
      <c r="D364" s="48"/>
      <c r="E364" s="43"/>
      <c r="F364" s="40"/>
      <c r="G364" s="36"/>
      <c r="H364" s="36"/>
      <c r="I364" s="45"/>
      <c r="J364" s="38"/>
      <c r="K364" s="39"/>
    </row>
    <row r="365">
      <c r="A365" s="47"/>
      <c r="B365" s="48"/>
      <c r="C365" s="48"/>
      <c r="D365" s="48"/>
      <c r="E365" s="43"/>
      <c r="F365" s="40"/>
      <c r="G365" s="36"/>
      <c r="H365" s="36"/>
      <c r="I365" s="45"/>
      <c r="J365" s="38"/>
      <c r="K365" s="39"/>
    </row>
    <row r="366">
      <c r="A366" s="47"/>
      <c r="B366" s="48"/>
      <c r="C366" s="48"/>
      <c r="D366" s="48"/>
      <c r="E366" s="43"/>
      <c r="F366" s="40"/>
      <c r="G366" s="36"/>
      <c r="H366" s="36"/>
      <c r="I366" s="45"/>
      <c r="J366" s="38"/>
      <c r="K366" s="39"/>
    </row>
    <row r="367">
      <c r="A367" s="47"/>
      <c r="B367" s="48"/>
      <c r="C367" s="48"/>
      <c r="D367" s="48"/>
      <c r="E367" s="43"/>
      <c r="F367" s="40"/>
      <c r="G367" s="36"/>
      <c r="H367" s="36"/>
      <c r="I367" s="45"/>
      <c r="J367" s="38"/>
      <c r="K367" s="39"/>
    </row>
    <row r="368">
      <c r="A368" s="47"/>
      <c r="B368" s="48"/>
      <c r="C368" s="48"/>
      <c r="D368" s="48"/>
      <c r="E368" s="43"/>
      <c r="F368" s="40"/>
      <c r="G368" s="36"/>
      <c r="H368" s="36"/>
      <c r="I368" s="45"/>
      <c r="J368" s="38"/>
      <c r="K368" s="39"/>
    </row>
    <row r="369">
      <c r="A369" s="47"/>
      <c r="B369" s="48"/>
      <c r="C369" s="48"/>
      <c r="D369" s="48"/>
      <c r="E369" s="43"/>
      <c r="F369" s="40"/>
      <c r="G369" s="36"/>
      <c r="H369" s="36"/>
      <c r="I369" s="45"/>
      <c r="J369" s="38"/>
      <c r="K369" s="39"/>
    </row>
    <row r="370">
      <c r="A370" s="47"/>
      <c r="B370" s="48"/>
      <c r="C370" s="48"/>
      <c r="D370" s="48"/>
      <c r="E370" s="43"/>
      <c r="F370" s="40"/>
      <c r="G370" s="36"/>
      <c r="H370" s="36"/>
      <c r="I370" s="45"/>
      <c r="J370" s="38"/>
      <c r="K370" s="39"/>
    </row>
    <row r="371">
      <c r="A371" s="47"/>
      <c r="B371" s="48"/>
      <c r="C371" s="48"/>
      <c r="D371" s="48"/>
      <c r="E371" s="43"/>
      <c r="F371" s="40"/>
      <c r="G371" s="36"/>
      <c r="H371" s="36"/>
      <c r="I371" s="45"/>
      <c r="J371" s="38"/>
      <c r="K371" s="39"/>
    </row>
    <row r="372">
      <c r="A372" s="47"/>
      <c r="B372" s="48"/>
      <c r="C372" s="48"/>
      <c r="D372" s="48"/>
      <c r="E372" s="43"/>
      <c r="F372" s="40"/>
      <c r="G372" s="36"/>
      <c r="H372" s="36"/>
      <c r="I372" s="45"/>
      <c r="J372" s="38"/>
      <c r="K372" s="39"/>
    </row>
    <row r="373">
      <c r="A373" s="47"/>
      <c r="B373" s="48"/>
      <c r="C373" s="48"/>
      <c r="D373" s="48"/>
      <c r="E373" s="43"/>
      <c r="F373" s="40"/>
      <c r="G373" s="36"/>
      <c r="H373" s="36"/>
      <c r="I373" s="45"/>
      <c r="J373" s="38"/>
      <c r="K373" s="39"/>
    </row>
    <row r="374">
      <c r="A374" s="47"/>
      <c r="B374" s="48"/>
      <c r="C374" s="48"/>
      <c r="D374" s="48"/>
      <c r="E374" s="43"/>
      <c r="F374" s="40"/>
      <c r="G374" s="36"/>
      <c r="H374" s="36"/>
      <c r="I374" s="45"/>
      <c r="J374" s="38"/>
      <c r="K374" s="39"/>
    </row>
    <row r="375">
      <c r="A375" s="47"/>
      <c r="B375" s="48"/>
      <c r="C375" s="48"/>
      <c r="D375" s="48"/>
      <c r="E375" s="43"/>
      <c r="F375" s="40"/>
      <c r="G375" s="36"/>
      <c r="H375" s="36"/>
      <c r="I375" s="45"/>
      <c r="J375" s="38"/>
      <c r="K375" s="39"/>
    </row>
    <row r="376">
      <c r="A376" s="47"/>
      <c r="B376" s="48"/>
      <c r="C376" s="48"/>
      <c r="D376" s="48"/>
      <c r="E376" s="43"/>
      <c r="F376" s="40"/>
      <c r="G376" s="36"/>
      <c r="H376" s="36"/>
      <c r="I376" s="45"/>
      <c r="J376" s="38"/>
      <c r="K376" s="39"/>
    </row>
    <row r="377">
      <c r="A377" s="47"/>
      <c r="B377" s="48"/>
      <c r="C377" s="48"/>
      <c r="D377" s="48"/>
      <c r="E377" s="43"/>
      <c r="F377" s="40"/>
      <c r="G377" s="36"/>
      <c r="H377" s="36"/>
      <c r="I377" s="45"/>
      <c r="J377" s="38"/>
      <c r="K377" s="39"/>
    </row>
    <row r="378">
      <c r="A378" s="47"/>
      <c r="B378" s="48"/>
      <c r="C378" s="48"/>
      <c r="D378" s="48"/>
      <c r="E378" s="43"/>
      <c r="F378" s="40"/>
      <c r="G378" s="36"/>
      <c r="H378" s="36"/>
      <c r="I378" s="45"/>
      <c r="J378" s="38"/>
      <c r="K378" s="39"/>
    </row>
    <row r="379">
      <c r="A379" s="47"/>
      <c r="B379" s="48"/>
      <c r="C379" s="48"/>
      <c r="D379" s="48"/>
      <c r="E379" s="43"/>
      <c r="F379" s="40"/>
      <c r="G379" s="36"/>
      <c r="H379" s="36"/>
      <c r="I379" s="45"/>
      <c r="J379" s="38"/>
      <c r="K379" s="39"/>
    </row>
    <row r="380">
      <c r="A380" s="47"/>
      <c r="B380" s="48"/>
      <c r="C380" s="48"/>
      <c r="D380" s="48"/>
      <c r="E380" s="43"/>
      <c r="F380" s="40"/>
      <c r="G380" s="36"/>
      <c r="H380" s="36"/>
      <c r="I380" s="45"/>
      <c r="J380" s="38"/>
      <c r="K380" s="39"/>
    </row>
    <row r="381">
      <c r="A381" s="47"/>
      <c r="B381" s="48"/>
      <c r="C381" s="48"/>
      <c r="D381" s="48"/>
      <c r="E381" s="43"/>
      <c r="F381" s="40"/>
      <c r="G381" s="36"/>
      <c r="H381" s="36"/>
      <c r="I381" s="45"/>
      <c r="J381" s="38"/>
      <c r="K381" s="39"/>
    </row>
    <row r="382">
      <c r="A382" s="47"/>
      <c r="B382" s="48"/>
      <c r="C382" s="48"/>
      <c r="D382" s="48"/>
      <c r="E382" s="43"/>
      <c r="F382" s="40"/>
      <c r="G382" s="36"/>
      <c r="H382" s="36"/>
      <c r="I382" s="45"/>
      <c r="J382" s="38"/>
      <c r="K382" s="39"/>
    </row>
    <row r="383">
      <c r="A383" s="47"/>
      <c r="B383" s="48"/>
      <c r="C383" s="48"/>
      <c r="D383" s="48"/>
      <c r="E383" s="43"/>
      <c r="F383" s="40"/>
      <c r="G383" s="36"/>
      <c r="H383" s="36"/>
      <c r="I383" s="45"/>
      <c r="J383" s="38"/>
      <c r="K383" s="39"/>
    </row>
    <row r="384">
      <c r="A384" s="47"/>
      <c r="B384" s="48"/>
      <c r="C384" s="48"/>
      <c r="D384" s="48"/>
      <c r="E384" s="43"/>
      <c r="F384" s="40"/>
      <c r="G384" s="36"/>
      <c r="H384" s="36"/>
      <c r="I384" s="45"/>
      <c r="J384" s="38"/>
      <c r="K384" s="39"/>
    </row>
    <row r="385">
      <c r="A385" s="47"/>
      <c r="B385" s="48"/>
      <c r="C385" s="48"/>
      <c r="D385" s="48"/>
      <c r="E385" s="43"/>
      <c r="F385" s="40"/>
      <c r="G385" s="36"/>
      <c r="H385" s="36"/>
      <c r="I385" s="45"/>
      <c r="J385" s="38"/>
      <c r="K385" s="39"/>
    </row>
    <row r="386">
      <c r="A386" s="47"/>
      <c r="B386" s="48"/>
      <c r="C386" s="48"/>
      <c r="D386" s="48"/>
      <c r="E386" s="43"/>
      <c r="F386" s="40"/>
      <c r="G386" s="36"/>
      <c r="H386" s="36"/>
      <c r="I386" s="45"/>
      <c r="J386" s="38"/>
      <c r="K386" s="39"/>
    </row>
    <row r="387">
      <c r="A387" s="47"/>
      <c r="B387" s="48"/>
      <c r="C387" s="48"/>
      <c r="D387" s="48"/>
      <c r="E387" s="43"/>
      <c r="F387" s="40"/>
      <c r="G387" s="36"/>
      <c r="H387" s="36"/>
      <c r="I387" s="45"/>
      <c r="J387" s="38"/>
      <c r="K387" s="39"/>
    </row>
    <row r="388">
      <c r="A388" s="47"/>
      <c r="B388" s="48"/>
      <c r="C388" s="48"/>
      <c r="D388" s="48"/>
      <c r="E388" s="43"/>
      <c r="F388" s="40"/>
      <c r="G388" s="36"/>
      <c r="H388" s="36"/>
      <c r="I388" s="45"/>
      <c r="J388" s="38"/>
      <c r="K388" s="39"/>
    </row>
    <row r="389">
      <c r="A389" s="47"/>
      <c r="B389" s="48"/>
      <c r="C389" s="48"/>
      <c r="D389" s="48"/>
      <c r="E389" s="43"/>
      <c r="F389" s="40"/>
      <c r="G389" s="36"/>
      <c r="H389" s="36"/>
      <c r="I389" s="45"/>
      <c r="J389" s="38"/>
      <c r="K389" s="39"/>
    </row>
    <row r="390">
      <c r="A390" s="47"/>
      <c r="B390" s="48"/>
      <c r="C390" s="48"/>
      <c r="D390" s="48"/>
      <c r="E390" s="43"/>
      <c r="F390" s="40"/>
      <c r="G390" s="36"/>
      <c r="H390" s="36"/>
      <c r="I390" s="45"/>
      <c r="J390" s="38"/>
      <c r="K390" s="39"/>
    </row>
    <row r="391">
      <c r="A391" s="47"/>
      <c r="B391" s="48"/>
      <c r="C391" s="48"/>
      <c r="D391" s="48"/>
      <c r="E391" s="43"/>
      <c r="F391" s="40"/>
      <c r="G391" s="36"/>
      <c r="H391" s="36"/>
      <c r="I391" s="45"/>
      <c r="J391" s="38"/>
      <c r="K391" s="39"/>
    </row>
    <row r="392">
      <c r="A392" s="47"/>
      <c r="B392" s="48"/>
      <c r="C392" s="48"/>
      <c r="D392" s="48"/>
      <c r="E392" s="43"/>
      <c r="F392" s="40"/>
      <c r="G392" s="36"/>
      <c r="H392" s="36"/>
      <c r="I392" s="45"/>
      <c r="J392" s="38"/>
      <c r="K392" s="39"/>
    </row>
    <row r="393">
      <c r="A393" s="47"/>
      <c r="B393" s="48"/>
      <c r="C393" s="48"/>
      <c r="D393" s="48"/>
      <c r="E393" s="43"/>
      <c r="F393" s="40"/>
      <c r="G393" s="36"/>
      <c r="H393" s="36"/>
      <c r="I393" s="45"/>
      <c r="J393" s="38"/>
      <c r="K393" s="39"/>
    </row>
    <row r="394">
      <c r="A394" s="47"/>
      <c r="B394" s="48"/>
      <c r="C394" s="48"/>
      <c r="D394" s="48"/>
      <c r="E394" s="43"/>
      <c r="F394" s="40"/>
      <c r="G394" s="36"/>
      <c r="H394" s="36"/>
      <c r="I394" s="45"/>
      <c r="J394" s="38"/>
      <c r="K394" s="39"/>
    </row>
    <row r="395">
      <c r="A395" s="47"/>
      <c r="B395" s="48"/>
      <c r="C395" s="48"/>
      <c r="D395" s="48"/>
      <c r="E395" s="43"/>
      <c r="F395" s="40"/>
      <c r="G395" s="36"/>
      <c r="H395" s="36"/>
      <c r="I395" s="45"/>
      <c r="J395" s="38"/>
      <c r="K395" s="39"/>
    </row>
    <row r="396">
      <c r="A396" s="47"/>
      <c r="B396" s="48"/>
      <c r="C396" s="48"/>
      <c r="D396" s="48"/>
      <c r="E396" s="43"/>
      <c r="F396" s="40"/>
      <c r="G396" s="36"/>
      <c r="H396" s="36"/>
      <c r="I396" s="45"/>
      <c r="J396" s="38"/>
      <c r="K396" s="39"/>
    </row>
    <row r="397">
      <c r="A397" s="47"/>
      <c r="B397" s="48"/>
      <c r="C397" s="48"/>
      <c r="D397" s="48"/>
      <c r="E397" s="43"/>
      <c r="F397" s="40"/>
      <c r="G397" s="36"/>
      <c r="H397" s="36"/>
      <c r="I397" s="45"/>
      <c r="J397" s="38"/>
      <c r="K397" s="39"/>
    </row>
    <row r="398">
      <c r="A398" s="47"/>
      <c r="B398" s="48"/>
      <c r="C398" s="48"/>
      <c r="D398" s="48"/>
      <c r="E398" s="43"/>
      <c r="F398" s="40"/>
      <c r="G398" s="36"/>
      <c r="H398" s="36"/>
      <c r="I398" s="45"/>
      <c r="J398" s="38"/>
      <c r="K398" s="39"/>
    </row>
    <row r="399">
      <c r="A399" s="47"/>
      <c r="B399" s="48"/>
      <c r="C399" s="48"/>
      <c r="D399" s="48"/>
      <c r="E399" s="43"/>
      <c r="F399" s="40"/>
      <c r="G399" s="36"/>
      <c r="H399" s="36"/>
      <c r="I399" s="45"/>
      <c r="J399" s="38"/>
      <c r="K399" s="39"/>
    </row>
    <row r="400">
      <c r="A400" s="47"/>
      <c r="B400" s="48"/>
      <c r="C400" s="48"/>
      <c r="D400" s="48"/>
      <c r="E400" s="43"/>
      <c r="F400" s="40"/>
      <c r="G400" s="36"/>
      <c r="H400" s="36"/>
      <c r="I400" s="45"/>
      <c r="J400" s="38"/>
      <c r="K400" s="39"/>
    </row>
    <row r="401">
      <c r="A401" s="47"/>
      <c r="B401" s="48"/>
      <c r="C401" s="48"/>
      <c r="D401" s="48"/>
      <c r="E401" s="43"/>
      <c r="F401" s="40"/>
      <c r="G401" s="36"/>
      <c r="H401" s="36"/>
      <c r="I401" s="45"/>
      <c r="J401" s="38"/>
      <c r="K401" s="39"/>
    </row>
    <row r="402">
      <c r="A402" s="47"/>
      <c r="B402" s="48"/>
      <c r="C402" s="48"/>
      <c r="D402" s="48"/>
      <c r="E402" s="43"/>
      <c r="F402" s="40"/>
      <c r="G402" s="36"/>
      <c r="H402" s="36"/>
      <c r="I402" s="45"/>
      <c r="J402" s="38"/>
      <c r="K402" s="39"/>
    </row>
    <row r="403">
      <c r="A403" s="47"/>
      <c r="B403" s="48"/>
      <c r="C403" s="48"/>
      <c r="D403" s="48"/>
      <c r="E403" s="43"/>
      <c r="F403" s="40"/>
      <c r="G403" s="36"/>
      <c r="H403" s="36"/>
      <c r="I403" s="45"/>
      <c r="J403" s="38"/>
      <c r="K403" s="39"/>
    </row>
    <row r="404">
      <c r="A404" s="47"/>
      <c r="B404" s="48"/>
      <c r="C404" s="48"/>
      <c r="D404" s="48"/>
      <c r="E404" s="43"/>
      <c r="F404" s="40"/>
      <c r="G404" s="36"/>
      <c r="H404" s="36"/>
      <c r="I404" s="45"/>
      <c r="J404" s="38"/>
      <c r="K404" s="39"/>
    </row>
    <row r="405">
      <c r="A405" s="47"/>
      <c r="B405" s="48"/>
      <c r="C405" s="48"/>
      <c r="D405" s="48"/>
      <c r="E405" s="43"/>
      <c r="F405" s="40"/>
      <c r="G405" s="36"/>
      <c r="H405" s="36"/>
      <c r="I405" s="45"/>
      <c r="J405" s="38"/>
      <c r="K405" s="39"/>
    </row>
    <row r="406">
      <c r="A406" s="47"/>
      <c r="B406" s="48"/>
      <c r="C406" s="48"/>
      <c r="D406" s="48"/>
      <c r="E406" s="43"/>
      <c r="F406" s="40"/>
      <c r="G406" s="36"/>
      <c r="H406" s="36"/>
      <c r="I406" s="45"/>
      <c r="J406" s="38"/>
      <c r="K406" s="39"/>
    </row>
    <row r="407">
      <c r="A407" s="47"/>
      <c r="B407" s="48"/>
      <c r="C407" s="48"/>
      <c r="D407" s="48"/>
      <c r="E407" s="43"/>
      <c r="F407" s="40"/>
      <c r="G407" s="36"/>
      <c r="H407" s="36"/>
      <c r="I407" s="45"/>
      <c r="J407" s="38"/>
      <c r="K407" s="39"/>
    </row>
    <row r="408">
      <c r="A408" s="47"/>
      <c r="B408" s="48"/>
      <c r="C408" s="48"/>
      <c r="D408" s="48"/>
      <c r="E408" s="43"/>
      <c r="F408" s="40"/>
      <c r="G408" s="36"/>
      <c r="H408" s="36"/>
      <c r="I408" s="45"/>
      <c r="J408" s="38"/>
      <c r="K408" s="39"/>
    </row>
    <row r="409">
      <c r="A409" s="47"/>
      <c r="B409" s="48"/>
      <c r="C409" s="48"/>
      <c r="D409" s="48"/>
      <c r="E409" s="43"/>
      <c r="F409" s="40"/>
      <c r="G409" s="36"/>
      <c r="H409" s="36"/>
      <c r="I409" s="45"/>
      <c r="J409" s="38"/>
      <c r="K409" s="39"/>
    </row>
    <row r="410">
      <c r="A410" s="47"/>
      <c r="B410" s="48"/>
      <c r="C410" s="48"/>
      <c r="D410" s="48"/>
      <c r="E410" s="43"/>
      <c r="F410" s="40"/>
      <c r="G410" s="36"/>
      <c r="H410" s="36"/>
      <c r="I410" s="45"/>
      <c r="J410" s="38"/>
      <c r="K410" s="39"/>
    </row>
    <row r="411">
      <c r="A411" s="47"/>
      <c r="B411" s="48"/>
      <c r="C411" s="48"/>
      <c r="D411" s="48"/>
      <c r="E411" s="43"/>
      <c r="F411" s="40"/>
      <c r="G411" s="36"/>
      <c r="H411" s="36"/>
      <c r="I411" s="45"/>
      <c r="J411" s="38"/>
      <c r="K411" s="39"/>
    </row>
    <row r="412">
      <c r="A412" s="47"/>
      <c r="B412" s="48"/>
      <c r="C412" s="48"/>
      <c r="D412" s="48"/>
      <c r="E412" s="43"/>
      <c r="F412" s="40"/>
      <c r="G412" s="36"/>
      <c r="H412" s="36"/>
      <c r="I412" s="45"/>
      <c r="J412" s="38"/>
      <c r="K412" s="39"/>
    </row>
    <row r="413">
      <c r="A413" s="47"/>
      <c r="B413" s="48"/>
      <c r="C413" s="48"/>
      <c r="D413" s="48"/>
      <c r="E413" s="43"/>
      <c r="F413" s="40"/>
      <c r="G413" s="36"/>
      <c r="H413" s="36"/>
      <c r="I413" s="45"/>
      <c r="J413" s="38"/>
      <c r="K413" s="39"/>
    </row>
    <row r="414">
      <c r="A414" s="47"/>
      <c r="B414" s="48"/>
      <c r="C414" s="48"/>
      <c r="D414" s="48"/>
      <c r="E414" s="43"/>
      <c r="F414" s="40"/>
      <c r="G414" s="36"/>
      <c r="H414" s="36"/>
      <c r="I414" s="45"/>
      <c r="J414" s="38"/>
      <c r="K414" s="39"/>
    </row>
    <row r="415">
      <c r="A415" s="47"/>
      <c r="B415" s="48"/>
      <c r="C415" s="48"/>
      <c r="D415" s="48"/>
      <c r="E415" s="43"/>
      <c r="F415" s="40"/>
      <c r="G415" s="36"/>
      <c r="H415" s="36"/>
      <c r="I415" s="45"/>
      <c r="J415" s="38"/>
      <c r="K415" s="39"/>
    </row>
    <row r="416">
      <c r="A416" s="47"/>
      <c r="B416" s="48"/>
      <c r="C416" s="48"/>
      <c r="D416" s="48"/>
      <c r="E416" s="43"/>
      <c r="F416" s="40"/>
      <c r="G416" s="36"/>
      <c r="H416" s="36"/>
      <c r="I416" s="45"/>
      <c r="J416" s="38"/>
      <c r="K416" s="39"/>
    </row>
    <row r="417">
      <c r="A417" s="47"/>
      <c r="B417" s="48"/>
      <c r="C417" s="48"/>
      <c r="D417" s="48"/>
      <c r="E417" s="43"/>
      <c r="F417" s="40"/>
      <c r="G417" s="36"/>
      <c r="H417" s="36"/>
      <c r="I417" s="45"/>
      <c r="J417" s="38"/>
      <c r="K417" s="39"/>
    </row>
    <row r="418">
      <c r="A418" s="47"/>
      <c r="B418" s="48"/>
      <c r="C418" s="48"/>
      <c r="D418" s="48"/>
      <c r="E418" s="43"/>
      <c r="F418" s="40"/>
      <c r="G418" s="36"/>
      <c r="H418" s="36"/>
      <c r="I418" s="45"/>
      <c r="J418" s="38"/>
      <c r="K418" s="39"/>
    </row>
    <row r="419">
      <c r="A419" s="47"/>
      <c r="B419" s="48"/>
      <c r="C419" s="48"/>
      <c r="D419" s="48"/>
      <c r="E419" s="43"/>
      <c r="F419" s="40"/>
      <c r="G419" s="36"/>
      <c r="H419" s="36"/>
      <c r="I419" s="45"/>
      <c r="J419" s="38"/>
      <c r="K419" s="39"/>
    </row>
    <row r="420">
      <c r="A420" s="47"/>
      <c r="B420" s="48"/>
      <c r="C420" s="48"/>
      <c r="D420" s="48"/>
      <c r="E420" s="43"/>
      <c r="F420" s="40"/>
      <c r="G420" s="36"/>
      <c r="H420" s="36"/>
      <c r="I420" s="45"/>
      <c r="J420" s="38"/>
      <c r="K420" s="39"/>
    </row>
    <row r="421">
      <c r="A421" s="47"/>
      <c r="B421" s="48"/>
      <c r="C421" s="48"/>
      <c r="D421" s="48"/>
      <c r="E421" s="43"/>
      <c r="F421" s="40"/>
      <c r="G421" s="36"/>
      <c r="H421" s="36"/>
      <c r="I421" s="45"/>
      <c r="J421" s="38"/>
      <c r="K421" s="39"/>
    </row>
    <row r="422">
      <c r="A422" s="47"/>
      <c r="B422" s="48"/>
      <c r="C422" s="48"/>
      <c r="D422" s="48"/>
      <c r="E422" s="43"/>
      <c r="F422" s="40"/>
      <c r="G422" s="36"/>
      <c r="H422" s="36"/>
      <c r="I422" s="45"/>
      <c r="J422" s="38"/>
      <c r="K422" s="39"/>
    </row>
    <row r="423">
      <c r="A423" s="47"/>
      <c r="B423" s="48"/>
      <c r="C423" s="48"/>
      <c r="D423" s="48"/>
      <c r="E423" s="43"/>
      <c r="F423" s="40"/>
      <c r="G423" s="36"/>
      <c r="H423" s="36"/>
      <c r="I423" s="45"/>
      <c r="J423" s="38"/>
      <c r="K423" s="39"/>
    </row>
    <row r="424">
      <c r="A424" s="47"/>
      <c r="B424" s="48"/>
      <c r="C424" s="48"/>
      <c r="D424" s="48"/>
      <c r="E424" s="43"/>
      <c r="F424" s="40"/>
      <c r="G424" s="36"/>
      <c r="H424" s="36"/>
      <c r="I424" s="45"/>
      <c r="J424" s="38"/>
      <c r="K424" s="39"/>
    </row>
    <row r="425">
      <c r="A425" s="47"/>
      <c r="B425" s="48"/>
      <c r="C425" s="48"/>
      <c r="D425" s="48"/>
      <c r="E425" s="43"/>
      <c r="F425" s="40"/>
      <c r="G425" s="36"/>
      <c r="H425" s="36"/>
      <c r="I425" s="45"/>
      <c r="J425" s="38"/>
      <c r="K425" s="39"/>
    </row>
    <row r="426">
      <c r="A426" s="47"/>
      <c r="B426" s="48"/>
      <c r="C426" s="48"/>
      <c r="D426" s="48"/>
      <c r="E426" s="43"/>
      <c r="F426" s="40"/>
      <c r="G426" s="36"/>
      <c r="H426" s="36"/>
      <c r="I426" s="45"/>
      <c r="J426" s="38"/>
      <c r="K426" s="39"/>
    </row>
    <row r="427">
      <c r="A427" s="47"/>
      <c r="B427" s="48"/>
      <c r="C427" s="48"/>
      <c r="D427" s="48"/>
      <c r="E427" s="43"/>
      <c r="F427" s="40"/>
      <c r="G427" s="36"/>
      <c r="H427" s="36"/>
      <c r="I427" s="45"/>
      <c r="J427" s="38"/>
      <c r="K427" s="39"/>
    </row>
    <row r="428">
      <c r="A428" s="47"/>
      <c r="B428" s="48"/>
      <c r="C428" s="48"/>
      <c r="D428" s="48"/>
      <c r="E428" s="43"/>
      <c r="F428" s="40"/>
      <c r="G428" s="36"/>
      <c r="H428" s="36"/>
      <c r="I428" s="45"/>
      <c r="J428" s="38"/>
      <c r="K428" s="39"/>
    </row>
    <row r="429">
      <c r="A429" s="47"/>
      <c r="B429" s="48"/>
      <c r="C429" s="48"/>
      <c r="D429" s="48"/>
      <c r="E429" s="43"/>
      <c r="F429" s="40"/>
      <c r="G429" s="36"/>
      <c r="H429" s="36"/>
      <c r="I429" s="45"/>
      <c r="J429" s="38"/>
      <c r="K429" s="39"/>
    </row>
    <row r="430">
      <c r="A430" s="47"/>
      <c r="B430" s="48"/>
      <c r="C430" s="48"/>
      <c r="D430" s="48"/>
      <c r="E430" s="43"/>
      <c r="F430" s="40"/>
      <c r="G430" s="36"/>
      <c r="H430" s="36"/>
      <c r="I430" s="45"/>
      <c r="J430" s="38"/>
      <c r="K430" s="39"/>
    </row>
    <row r="431">
      <c r="A431" s="47"/>
      <c r="B431" s="48"/>
      <c r="C431" s="48"/>
      <c r="D431" s="48"/>
      <c r="E431" s="43"/>
      <c r="F431" s="40"/>
      <c r="G431" s="36"/>
      <c r="H431" s="36"/>
      <c r="I431" s="45"/>
      <c r="J431" s="38"/>
      <c r="K431" s="39"/>
    </row>
    <row r="432">
      <c r="A432" s="47"/>
      <c r="B432" s="48"/>
      <c r="C432" s="48"/>
      <c r="D432" s="48"/>
      <c r="E432" s="43"/>
      <c r="F432" s="40"/>
      <c r="G432" s="36"/>
      <c r="H432" s="36"/>
      <c r="I432" s="45"/>
      <c r="J432" s="38"/>
      <c r="K432" s="39"/>
    </row>
    <row r="433">
      <c r="A433" s="47"/>
      <c r="B433" s="48"/>
      <c r="C433" s="48"/>
      <c r="D433" s="48"/>
      <c r="E433" s="43"/>
      <c r="F433" s="40"/>
      <c r="G433" s="36"/>
      <c r="H433" s="36"/>
      <c r="I433" s="45"/>
      <c r="J433" s="38"/>
      <c r="K433" s="39"/>
    </row>
    <row r="434">
      <c r="A434" s="47"/>
      <c r="B434" s="48"/>
      <c r="C434" s="48"/>
      <c r="D434" s="48"/>
      <c r="E434" s="43"/>
      <c r="F434" s="40"/>
      <c r="G434" s="36"/>
      <c r="H434" s="36"/>
      <c r="I434" s="45"/>
      <c r="J434" s="38"/>
      <c r="K434" s="39"/>
    </row>
    <row r="435">
      <c r="A435" s="47"/>
      <c r="B435" s="48"/>
      <c r="C435" s="48"/>
      <c r="D435" s="48"/>
      <c r="E435" s="43"/>
      <c r="F435" s="40"/>
      <c r="G435" s="36"/>
      <c r="H435" s="36"/>
      <c r="I435" s="45"/>
      <c r="J435" s="38"/>
      <c r="K435" s="39"/>
    </row>
    <row r="436">
      <c r="A436" s="47"/>
      <c r="B436" s="48"/>
      <c r="C436" s="48"/>
      <c r="D436" s="48"/>
      <c r="E436" s="43"/>
      <c r="F436" s="40"/>
      <c r="G436" s="36"/>
      <c r="H436" s="36"/>
      <c r="I436" s="45"/>
      <c r="J436" s="38"/>
      <c r="K436" s="39"/>
    </row>
    <row r="437">
      <c r="A437" s="47"/>
      <c r="B437" s="48"/>
      <c r="C437" s="48"/>
      <c r="D437" s="48"/>
      <c r="E437" s="43"/>
      <c r="F437" s="40"/>
      <c r="G437" s="36"/>
      <c r="H437" s="36"/>
      <c r="I437" s="45"/>
      <c r="J437" s="38"/>
      <c r="K437" s="39"/>
    </row>
    <row r="438">
      <c r="A438" s="47"/>
      <c r="B438" s="48"/>
      <c r="C438" s="48"/>
      <c r="D438" s="48"/>
      <c r="E438" s="43"/>
      <c r="F438" s="40"/>
      <c r="G438" s="36"/>
      <c r="H438" s="36"/>
      <c r="I438" s="45"/>
      <c r="J438" s="38"/>
      <c r="K438" s="39"/>
    </row>
    <row r="439">
      <c r="A439" s="47"/>
      <c r="B439" s="48"/>
      <c r="C439" s="48"/>
      <c r="D439" s="48"/>
      <c r="E439" s="43"/>
      <c r="F439" s="40"/>
      <c r="G439" s="36"/>
      <c r="H439" s="36"/>
      <c r="I439" s="45"/>
      <c r="J439" s="38"/>
      <c r="K439" s="39"/>
    </row>
    <row r="440">
      <c r="A440" s="47"/>
      <c r="B440" s="48"/>
      <c r="C440" s="48"/>
      <c r="D440" s="48"/>
      <c r="E440" s="43"/>
      <c r="F440" s="40"/>
      <c r="G440" s="36"/>
      <c r="H440" s="36"/>
      <c r="I440" s="45"/>
      <c r="J440" s="38"/>
      <c r="K440" s="39"/>
    </row>
    <row r="441">
      <c r="A441" s="47"/>
      <c r="B441" s="48"/>
      <c r="C441" s="48"/>
      <c r="D441" s="48"/>
      <c r="E441" s="43"/>
      <c r="F441" s="40"/>
      <c r="G441" s="36"/>
      <c r="H441" s="36"/>
      <c r="I441" s="45"/>
      <c r="J441" s="38"/>
      <c r="K441" s="39"/>
    </row>
    <row r="442">
      <c r="A442" s="47"/>
      <c r="B442" s="48"/>
      <c r="C442" s="48"/>
      <c r="D442" s="48"/>
      <c r="E442" s="43"/>
      <c r="F442" s="40"/>
      <c r="G442" s="36"/>
      <c r="H442" s="36"/>
      <c r="I442" s="45"/>
      <c r="J442" s="38"/>
      <c r="K442" s="39"/>
    </row>
    <row r="443">
      <c r="A443" s="47"/>
      <c r="B443" s="48"/>
      <c r="C443" s="48"/>
      <c r="D443" s="48"/>
      <c r="E443" s="43"/>
      <c r="F443" s="40"/>
      <c r="G443" s="36"/>
      <c r="H443" s="36"/>
      <c r="I443" s="45"/>
      <c r="J443" s="38"/>
      <c r="K443" s="39"/>
    </row>
    <row r="444">
      <c r="A444" s="47"/>
      <c r="B444" s="48"/>
      <c r="C444" s="48"/>
      <c r="D444" s="48"/>
      <c r="E444" s="43"/>
      <c r="F444" s="40"/>
      <c r="G444" s="36"/>
      <c r="H444" s="36"/>
      <c r="I444" s="45"/>
      <c r="J444" s="38"/>
      <c r="K444" s="39"/>
    </row>
    <row r="445">
      <c r="A445" s="47"/>
      <c r="B445" s="48"/>
      <c r="C445" s="48"/>
      <c r="D445" s="48"/>
      <c r="E445" s="43"/>
      <c r="F445" s="40"/>
      <c r="G445" s="36"/>
      <c r="H445" s="36"/>
      <c r="I445" s="45"/>
      <c r="J445" s="38"/>
      <c r="K445" s="39"/>
    </row>
    <row r="446">
      <c r="A446" s="47"/>
      <c r="B446" s="48"/>
      <c r="C446" s="48"/>
      <c r="D446" s="48"/>
      <c r="E446" s="43"/>
      <c r="F446" s="40"/>
      <c r="G446" s="36"/>
      <c r="H446" s="36"/>
      <c r="I446" s="45"/>
      <c r="J446" s="38"/>
      <c r="K446" s="39"/>
    </row>
    <row r="447">
      <c r="A447" s="47"/>
      <c r="B447" s="48"/>
      <c r="C447" s="48"/>
      <c r="D447" s="48"/>
      <c r="E447" s="43"/>
      <c r="F447" s="40"/>
      <c r="G447" s="36"/>
      <c r="H447" s="36"/>
      <c r="I447" s="45"/>
      <c r="J447" s="38"/>
      <c r="K447" s="39"/>
    </row>
    <row r="448">
      <c r="A448" s="47"/>
      <c r="B448" s="48"/>
      <c r="C448" s="48"/>
      <c r="D448" s="48"/>
      <c r="E448" s="43"/>
      <c r="F448" s="40"/>
      <c r="G448" s="36"/>
      <c r="H448" s="36"/>
      <c r="I448" s="45"/>
      <c r="J448" s="38"/>
      <c r="K448" s="39"/>
    </row>
    <row r="449">
      <c r="A449" s="47"/>
      <c r="B449" s="48"/>
      <c r="C449" s="48"/>
      <c r="D449" s="48"/>
      <c r="E449" s="43"/>
      <c r="F449" s="40"/>
      <c r="G449" s="36"/>
      <c r="H449" s="36"/>
      <c r="I449" s="45"/>
      <c r="J449" s="38"/>
      <c r="K449" s="39"/>
    </row>
    <row r="450">
      <c r="A450" s="47"/>
      <c r="B450" s="48"/>
      <c r="C450" s="48"/>
      <c r="D450" s="48"/>
      <c r="E450" s="43"/>
      <c r="F450" s="40"/>
      <c r="G450" s="36"/>
      <c r="H450" s="36"/>
      <c r="I450" s="45"/>
      <c r="J450" s="38"/>
      <c r="K450" s="39"/>
    </row>
    <row r="451">
      <c r="A451" s="47"/>
      <c r="B451" s="48"/>
      <c r="C451" s="48"/>
      <c r="D451" s="48"/>
      <c r="E451" s="43"/>
      <c r="F451" s="40"/>
      <c r="G451" s="36"/>
      <c r="H451" s="36"/>
      <c r="I451" s="45"/>
      <c r="J451" s="38"/>
      <c r="K451" s="39"/>
    </row>
    <row r="452">
      <c r="A452" s="47"/>
      <c r="B452" s="48"/>
      <c r="C452" s="48"/>
      <c r="D452" s="48"/>
      <c r="E452" s="43"/>
      <c r="F452" s="40"/>
      <c r="G452" s="36"/>
      <c r="H452" s="36"/>
      <c r="I452" s="45"/>
      <c r="J452" s="38"/>
      <c r="K452" s="39"/>
    </row>
    <row r="453">
      <c r="A453" s="47"/>
      <c r="B453" s="48"/>
      <c r="C453" s="48"/>
      <c r="D453" s="48"/>
      <c r="E453" s="43"/>
      <c r="F453" s="40"/>
      <c r="G453" s="36"/>
      <c r="H453" s="36"/>
      <c r="I453" s="45"/>
      <c r="J453" s="38"/>
      <c r="K453" s="39"/>
    </row>
    <row r="454">
      <c r="A454" s="47"/>
      <c r="B454" s="48"/>
      <c r="C454" s="48"/>
      <c r="D454" s="48"/>
      <c r="E454" s="43"/>
      <c r="F454" s="40"/>
      <c r="G454" s="36"/>
      <c r="H454" s="36"/>
      <c r="I454" s="45"/>
      <c r="J454" s="38"/>
      <c r="K454" s="39"/>
    </row>
    <row r="455">
      <c r="A455" s="47"/>
      <c r="B455" s="48"/>
      <c r="C455" s="48"/>
      <c r="D455" s="48"/>
      <c r="E455" s="43"/>
      <c r="F455" s="40"/>
      <c r="G455" s="36"/>
      <c r="H455" s="36"/>
      <c r="I455" s="45"/>
      <c r="J455" s="38"/>
      <c r="K455" s="39"/>
    </row>
    <row r="456">
      <c r="A456" s="47"/>
      <c r="B456" s="48"/>
      <c r="C456" s="48"/>
      <c r="D456" s="48"/>
      <c r="E456" s="43"/>
      <c r="F456" s="40"/>
      <c r="G456" s="36"/>
      <c r="H456" s="36"/>
      <c r="I456" s="45"/>
      <c r="J456" s="38"/>
      <c r="K456" s="39"/>
    </row>
    <row r="457">
      <c r="A457" s="47"/>
      <c r="B457" s="48"/>
      <c r="C457" s="48"/>
      <c r="D457" s="48"/>
      <c r="E457" s="43"/>
      <c r="F457" s="40"/>
      <c r="G457" s="36"/>
      <c r="H457" s="36"/>
      <c r="I457" s="45"/>
      <c r="J457" s="38"/>
      <c r="K457" s="39"/>
    </row>
    <row r="458">
      <c r="A458" s="47"/>
      <c r="B458" s="48"/>
      <c r="C458" s="48"/>
      <c r="D458" s="48"/>
      <c r="E458" s="43"/>
      <c r="F458" s="40"/>
      <c r="G458" s="36"/>
      <c r="H458" s="36"/>
      <c r="I458" s="45"/>
      <c r="J458" s="38"/>
      <c r="K458" s="39"/>
    </row>
    <row r="459">
      <c r="A459" s="47"/>
      <c r="B459" s="48"/>
      <c r="C459" s="48"/>
      <c r="D459" s="48"/>
      <c r="E459" s="43"/>
      <c r="F459" s="40"/>
      <c r="G459" s="36"/>
      <c r="H459" s="36"/>
      <c r="I459" s="45"/>
      <c r="J459" s="38"/>
      <c r="K459" s="39"/>
    </row>
    <row r="460">
      <c r="A460" s="47"/>
      <c r="B460" s="48"/>
      <c r="C460" s="48"/>
      <c r="D460" s="48"/>
      <c r="E460" s="43"/>
      <c r="F460" s="40"/>
      <c r="G460" s="36"/>
      <c r="H460" s="36"/>
      <c r="I460" s="45"/>
      <c r="J460" s="38"/>
      <c r="K460" s="39"/>
    </row>
    <row r="461">
      <c r="A461" s="47"/>
      <c r="B461" s="48"/>
      <c r="C461" s="48"/>
      <c r="D461" s="48"/>
      <c r="E461" s="43"/>
      <c r="F461" s="40"/>
      <c r="G461" s="36"/>
      <c r="H461" s="36"/>
      <c r="I461" s="45"/>
      <c r="J461" s="38"/>
      <c r="K461" s="39"/>
    </row>
    <row r="462">
      <c r="A462" s="47"/>
      <c r="B462" s="48"/>
      <c r="C462" s="48"/>
      <c r="D462" s="48"/>
      <c r="E462" s="43"/>
      <c r="F462" s="40"/>
      <c r="G462" s="36"/>
      <c r="H462" s="36"/>
      <c r="I462" s="45"/>
      <c r="J462" s="38"/>
      <c r="K462" s="39"/>
    </row>
    <row r="463">
      <c r="A463" s="47"/>
      <c r="B463" s="48"/>
      <c r="C463" s="48"/>
      <c r="D463" s="48"/>
      <c r="E463" s="43"/>
      <c r="F463" s="40"/>
      <c r="G463" s="36"/>
      <c r="H463" s="36"/>
      <c r="I463" s="45"/>
      <c r="J463" s="38"/>
      <c r="K463" s="39"/>
    </row>
    <row r="464">
      <c r="A464" s="47"/>
      <c r="B464" s="48"/>
      <c r="C464" s="48"/>
      <c r="D464" s="48"/>
      <c r="E464" s="43"/>
      <c r="F464" s="40"/>
      <c r="G464" s="36"/>
      <c r="H464" s="36"/>
      <c r="I464" s="45"/>
      <c r="J464" s="38"/>
      <c r="K464" s="39"/>
    </row>
    <row r="465">
      <c r="A465" s="47"/>
      <c r="B465" s="48"/>
      <c r="C465" s="48"/>
      <c r="D465" s="48"/>
      <c r="E465" s="43"/>
      <c r="F465" s="40"/>
      <c r="G465" s="36"/>
      <c r="H465" s="36"/>
      <c r="I465" s="45"/>
      <c r="J465" s="38"/>
      <c r="K465" s="39"/>
    </row>
    <row r="466">
      <c r="A466" s="47"/>
      <c r="B466" s="48"/>
      <c r="C466" s="48"/>
      <c r="D466" s="48"/>
      <c r="E466" s="43"/>
      <c r="F466" s="40"/>
      <c r="G466" s="36"/>
      <c r="H466" s="36"/>
      <c r="I466" s="45"/>
      <c r="J466" s="38"/>
      <c r="K466" s="39"/>
    </row>
    <row r="467">
      <c r="A467" s="47"/>
      <c r="B467" s="48"/>
      <c r="C467" s="48"/>
      <c r="D467" s="48"/>
      <c r="E467" s="43"/>
      <c r="F467" s="40"/>
      <c r="G467" s="36"/>
      <c r="H467" s="36"/>
      <c r="I467" s="45"/>
      <c r="J467" s="38"/>
      <c r="K467" s="39"/>
    </row>
    <row r="468">
      <c r="A468" s="47"/>
      <c r="B468" s="48"/>
      <c r="C468" s="48"/>
      <c r="D468" s="48"/>
      <c r="E468" s="43"/>
      <c r="F468" s="40"/>
      <c r="G468" s="36"/>
      <c r="H468" s="36"/>
      <c r="I468" s="45"/>
      <c r="J468" s="38"/>
      <c r="K468" s="39"/>
    </row>
    <row r="469">
      <c r="A469" s="47"/>
      <c r="B469" s="48"/>
      <c r="C469" s="48"/>
      <c r="D469" s="48"/>
      <c r="E469" s="43"/>
      <c r="F469" s="40"/>
      <c r="G469" s="36"/>
      <c r="H469" s="36"/>
      <c r="I469" s="45"/>
      <c r="J469" s="38"/>
      <c r="K469" s="39"/>
    </row>
    <row r="470">
      <c r="A470" s="47"/>
      <c r="B470" s="48"/>
      <c r="C470" s="48"/>
      <c r="D470" s="48"/>
      <c r="E470" s="43"/>
      <c r="F470" s="40"/>
      <c r="G470" s="36"/>
      <c r="H470" s="36"/>
      <c r="I470" s="45"/>
      <c r="J470" s="38"/>
      <c r="K470" s="39"/>
    </row>
    <row r="471">
      <c r="A471" s="47"/>
      <c r="B471" s="48"/>
      <c r="C471" s="48"/>
      <c r="D471" s="48"/>
      <c r="E471" s="43"/>
      <c r="F471" s="40"/>
      <c r="G471" s="36"/>
      <c r="H471" s="36"/>
      <c r="I471" s="45"/>
      <c r="J471" s="38"/>
      <c r="K471" s="39"/>
    </row>
    <row r="472">
      <c r="A472" s="47"/>
      <c r="B472" s="48"/>
      <c r="C472" s="48"/>
      <c r="D472" s="48"/>
      <c r="E472" s="43"/>
      <c r="F472" s="40"/>
      <c r="G472" s="36"/>
      <c r="H472" s="36"/>
      <c r="I472" s="45"/>
      <c r="J472" s="38"/>
      <c r="K472" s="39"/>
    </row>
    <row r="473">
      <c r="A473" s="47"/>
      <c r="B473" s="48"/>
      <c r="C473" s="48"/>
      <c r="D473" s="48"/>
      <c r="E473" s="43"/>
      <c r="F473" s="40"/>
      <c r="G473" s="36"/>
      <c r="H473" s="36"/>
      <c r="I473" s="45"/>
      <c r="J473" s="38"/>
      <c r="K473" s="39"/>
    </row>
    <row r="474">
      <c r="A474" s="47"/>
      <c r="B474" s="48"/>
      <c r="C474" s="48"/>
      <c r="D474" s="48"/>
      <c r="E474" s="43"/>
      <c r="F474" s="40"/>
      <c r="G474" s="36"/>
      <c r="H474" s="36"/>
      <c r="I474" s="45"/>
      <c r="J474" s="38"/>
      <c r="K474" s="39"/>
    </row>
    <row r="475">
      <c r="A475" s="47"/>
      <c r="B475" s="48"/>
      <c r="C475" s="48"/>
      <c r="D475" s="48"/>
      <c r="E475" s="43"/>
      <c r="F475" s="40"/>
      <c r="G475" s="36"/>
      <c r="H475" s="36"/>
      <c r="I475" s="45"/>
      <c r="J475" s="38"/>
      <c r="K475" s="39"/>
    </row>
    <row r="476">
      <c r="A476" s="47"/>
      <c r="B476" s="48"/>
      <c r="C476" s="48"/>
      <c r="D476" s="48"/>
      <c r="E476" s="43"/>
      <c r="F476" s="40"/>
      <c r="G476" s="36"/>
      <c r="H476" s="36"/>
      <c r="I476" s="45"/>
      <c r="J476" s="38"/>
      <c r="K476" s="39"/>
    </row>
    <row r="477">
      <c r="A477" s="47"/>
      <c r="B477" s="48"/>
      <c r="C477" s="48"/>
      <c r="D477" s="48"/>
      <c r="E477" s="43"/>
      <c r="F477" s="40"/>
      <c r="G477" s="36"/>
      <c r="H477" s="36"/>
      <c r="I477" s="45"/>
      <c r="J477" s="38"/>
      <c r="K477" s="39"/>
    </row>
    <row r="478">
      <c r="A478" s="47"/>
      <c r="B478" s="48"/>
      <c r="C478" s="48"/>
      <c r="D478" s="48"/>
      <c r="E478" s="43"/>
      <c r="F478" s="40"/>
      <c r="G478" s="36"/>
      <c r="H478" s="36"/>
      <c r="I478" s="45"/>
      <c r="J478" s="38"/>
      <c r="K478" s="39"/>
    </row>
    <row r="479">
      <c r="A479" s="47"/>
      <c r="B479" s="48"/>
      <c r="C479" s="48"/>
      <c r="D479" s="48"/>
      <c r="E479" s="43"/>
      <c r="F479" s="40"/>
      <c r="G479" s="36"/>
      <c r="H479" s="36"/>
      <c r="I479" s="45"/>
      <c r="J479" s="38"/>
      <c r="K479" s="39"/>
    </row>
    <row r="480">
      <c r="A480" s="47"/>
      <c r="B480" s="48"/>
      <c r="C480" s="48"/>
      <c r="D480" s="48"/>
      <c r="E480" s="43"/>
      <c r="F480" s="40"/>
      <c r="G480" s="36"/>
      <c r="H480" s="36"/>
      <c r="I480" s="45"/>
      <c r="J480" s="38"/>
      <c r="K480" s="39"/>
    </row>
    <row r="481">
      <c r="A481" s="47"/>
      <c r="B481" s="48"/>
      <c r="C481" s="48"/>
      <c r="D481" s="48"/>
      <c r="E481" s="43"/>
      <c r="F481" s="40"/>
      <c r="G481" s="36"/>
      <c r="H481" s="36"/>
      <c r="I481" s="45"/>
      <c r="J481" s="38"/>
      <c r="K481" s="39"/>
    </row>
    <row r="482">
      <c r="A482" s="47"/>
      <c r="B482" s="48"/>
      <c r="C482" s="48"/>
      <c r="D482" s="48"/>
      <c r="E482" s="43"/>
      <c r="F482" s="40"/>
      <c r="G482" s="36"/>
      <c r="H482" s="36"/>
      <c r="I482" s="45"/>
      <c r="J482" s="38"/>
      <c r="K482" s="39"/>
    </row>
    <row r="483">
      <c r="A483" s="47"/>
      <c r="B483" s="48"/>
      <c r="C483" s="48"/>
      <c r="D483" s="48"/>
      <c r="E483" s="43"/>
      <c r="F483" s="40"/>
      <c r="G483" s="36"/>
      <c r="H483" s="36"/>
      <c r="I483" s="45"/>
      <c r="J483" s="38"/>
      <c r="K483" s="39"/>
    </row>
    <row r="484">
      <c r="A484" s="47"/>
      <c r="B484" s="48"/>
      <c r="C484" s="48"/>
      <c r="D484" s="48"/>
      <c r="E484" s="43"/>
      <c r="F484" s="40"/>
      <c r="G484" s="36"/>
      <c r="H484" s="36"/>
      <c r="I484" s="45"/>
      <c r="J484" s="38"/>
      <c r="K484" s="39"/>
    </row>
    <row r="485">
      <c r="A485" s="47"/>
      <c r="B485" s="48"/>
      <c r="C485" s="48"/>
      <c r="D485" s="48"/>
      <c r="E485" s="43"/>
      <c r="F485" s="40"/>
      <c r="G485" s="36"/>
      <c r="H485" s="36"/>
      <c r="I485" s="45"/>
      <c r="J485" s="38"/>
      <c r="K485" s="39"/>
    </row>
    <row r="486">
      <c r="A486" s="47"/>
      <c r="B486" s="48"/>
      <c r="C486" s="48"/>
      <c r="D486" s="48"/>
      <c r="E486" s="43"/>
      <c r="F486" s="40"/>
      <c r="G486" s="36"/>
      <c r="H486" s="36"/>
      <c r="I486" s="45"/>
      <c r="J486" s="38"/>
      <c r="K486" s="39"/>
    </row>
    <row r="487">
      <c r="A487" s="47"/>
      <c r="B487" s="48"/>
      <c r="C487" s="48"/>
      <c r="D487" s="48"/>
      <c r="E487" s="43"/>
      <c r="F487" s="40"/>
      <c r="G487" s="36"/>
      <c r="H487" s="36"/>
      <c r="I487" s="45"/>
      <c r="J487" s="38"/>
      <c r="K487" s="39"/>
    </row>
    <row r="488">
      <c r="A488" s="47"/>
      <c r="B488" s="48"/>
      <c r="C488" s="48"/>
      <c r="D488" s="48"/>
      <c r="E488" s="43"/>
      <c r="F488" s="40"/>
      <c r="G488" s="36"/>
      <c r="H488" s="36"/>
      <c r="I488" s="45"/>
      <c r="J488" s="38"/>
      <c r="K488" s="39"/>
    </row>
    <row r="489">
      <c r="A489" s="47"/>
      <c r="B489" s="48"/>
      <c r="C489" s="48"/>
      <c r="D489" s="48"/>
      <c r="E489" s="43"/>
      <c r="F489" s="40"/>
      <c r="G489" s="36"/>
      <c r="H489" s="36"/>
      <c r="I489" s="45"/>
      <c r="J489" s="38"/>
      <c r="K489" s="39"/>
    </row>
    <row r="490">
      <c r="A490" s="47"/>
      <c r="B490" s="48"/>
      <c r="C490" s="48"/>
      <c r="D490" s="48"/>
      <c r="E490" s="43"/>
      <c r="F490" s="40"/>
      <c r="G490" s="36"/>
      <c r="H490" s="36"/>
      <c r="I490" s="45"/>
      <c r="J490" s="38"/>
      <c r="K490" s="39"/>
    </row>
    <row r="491">
      <c r="A491" s="47"/>
      <c r="B491" s="48"/>
      <c r="C491" s="48"/>
      <c r="D491" s="48"/>
      <c r="E491" s="43"/>
      <c r="F491" s="40"/>
      <c r="G491" s="36"/>
      <c r="H491" s="36"/>
      <c r="I491" s="45"/>
      <c r="J491" s="38"/>
      <c r="K491" s="39"/>
    </row>
    <row r="492">
      <c r="A492" s="47"/>
      <c r="B492" s="48"/>
      <c r="C492" s="48"/>
      <c r="D492" s="48"/>
      <c r="E492" s="43"/>
      <c r="F492" s="40"/>
      <c r="G492" s="36"/>
      <c r="H492" s="36"/>
      <c r="I492" s="45"/>
      <c r="J492" s="38"/>
      <c r="K492" s="39"/>
    </row>
    <row r="493">
      <c r="A493" s="47"/>
      <c r="B493" s="48"/>
      <c r="C493" s="48"/>
      <c r="D493" s="48"/>
      <c r="E493" s="43"/>
      <c r="F493" s="40"/>
      <c r="G493" s="36"/>
      <c r="H493" s="36"/>
      <c r="I493" s="45"/>
      <c r="J493" s="38"/>
      <c r="K493" s="39"/>
    </row>
    <row r="494">
      <c r="A494" s="47"/>
      <c r="B494" s="48"/>
      <c r="C494" s="48"/>
      <c r="D494" s="48"/>
      <c r="E494" s="43"/>
      <c r="F494" s="40"/>
      <c r="G494" s="36"/>
      <c r="H494" s="36"/>
      <c r="I494" s="45"/>
      <c r="J494" s="38"/>
      <c r="K494" s="39"/>
    </row>
    <row r="495">
      <c r="A495" s="47"/>
      <c r="B495" s="48"/>
      <c r="C495" s="48"/>
      <c r="D495" s="48"/>
      <c r="E495" s="43"/>
      <c r="F495" s="40"/>
      <c r="G495" s="36"/>
      <c r="H495" s="36"/>
      <c r="I495" s="45"/>
      <c r="J495" s="38"/>
      <c r="K495" s="39"/>
    </row>
    <row r="496">
      <c r="A496" s="47"/>
      <c r="B496" s="48"/>
      <c r="C496" s="48"/>
      <c r="D496" s="48"/>
      <c r="E496" s="43"/>
      <c r="F496" s="40"/>
      <c r="G496" s="36"/>
      <c r="H496" s="36"/>
      <c r="I496" s="45"/>
      <c r="J496" s="38"/>
      <c r="K496" s="39"/>
    </row>
    <row r="497">
      <c r="A497" s="47"/>
      <c r="B497" s="48"/>
      <c r="C497" s="48"/>
      <c r="D497" s="48"/>
      <c r="E497" s="43"/>
      <c r="F497" s="40"/>
      <c r="G497" s="36"/>
      <c r="H497" s="36"/>
      <c r="I497" s="45"/>
      <c r="J497" s="38"/>
      <c r="K497" s="39"/>
    </row>
    <row r="498">
      <c r="A498" s="47"/>
      <c r="B498" s="48"/>
      <c r="C498" s="48"/>
      <c r="D498" s="48"/>
      <c r="E498" s="43"/>
      <c r="F498" s="40"/>
      <c r="G498" s="36"/>
      <c r="H498" s="36"/>
      <c r="I498" s="45"/>
      <c r="J498" s="38"/>
      <c r="K498" s="39"/>
    </row>
    <row r="499">
      <c r="A499" s="47"/>
      <c r="B499" s="48"/>
      <c r="C499" s="48"/>
      <c r="D499" s="48"/>
      <c r="E499" s="43"/>
      <c r="F499" s="40"/>
      <c r="G499" s="36"/>
      <c r="H499" s="36"/>
      <c r="I499" s="45"/>
      <c r="J499" s="38"/>
      <c r="K499" s="39"/>
    </row>
    <row r="500">
      <c r="A500" s="47"/>
      <c r="B500" s="48"/>
      <c r="C500" s="48"/>
      <c r="D500" s="48"/>
      <c r="E500" s="43"/>
      <c r="F500" s="40"/>
      <c r="G500" s="36"/>
      <c r="H500" s="36"/>
      <c r="I500" s="45"/>
      <c r="J500" s="38"/>
      <c r="K500" s="39"/>
    </row>
    <row r="501">
      <c r="A501" s="47"/>
      <c r="B501" s="48"/>
      <c r="C501" s="48"/>
      <c r="D501" s="48"/>
      <c r="E501" s="43"/>
      <c r="F501" s="40"/>
      <c r="G501" s="36"/>
      <c r="H501" s="36"/>
      <c r="I501" s="45"/>
      <c r="J501" s="38"/>
      <c r="K501" s="39"/>
    </row>
    <row r="502">
      <c r="A502" s="47"/>
      <c r="B502" s="48"/>
      <c r="C502" s="48"/>
      <c r="D502" s="48"/>
      <c r="E502" s="43"/>
      <c r="F502" s="40"/>
      <c r="G502" s="36"/>
      <c r="H502" s="36"/>
      <c r="I502" s="45"/>
      <c r="J502" s="38"/>
      <c r="K502" s="39"/>
    </row>
    <row r="503">
      <c r="A503" s="47"/>
      <c r="B503" s="48"/>
      <c r="C503" s="48"/>
      <c r="D503" s="48"/>
      <c r="E503" s="43"/>
      <c r="F503" s="40"/>
      <c r="G503" s="36"/>
      <c r="H503" s="36"/>
      <c r="I503" s="45"/>
      <c r="J503" s="38"/>
      <c r="K503" s="39"/>
    </row>
    <row r="504">
      <c r="A504" s="47"/>
      <c r="B504" s="48"/>
      <c r="C504" s="48"/>
      <c r="D504" s="48"/>
      <c r="E504" s="43"/>
      <c r="F504" s="40"/>
      <c r="G504" s="36"/>
      <c r="H504" s="36"/>
      <c r="I504" s="45"/>
      <c r="J504" s="38"/>
      <c r="K504" s="39"/>
    </row>
    <row r="505">
      <c r="A505" s="47"/>
      <c r="B505" s="48"/>
      <c r="C505" s="48"/>
      <c r="D505" s="48"/>
      <c r="E505" s="43"/>
      <c r="F505" s="40"/>
      <c r="G505" s="36"/>
      <c r="H505" s="36"/>
      <c r="I505" s="45"/>
      <c r="J505" s="38"/>
      <c r="K505" s="39"/>
    </row>
    <row r="506">
      <c r="A506" s="47"/>
      <c r="B506" s="48"/>
      <c r="C506" s="48"/>
      <c r="D506" s="48"/>
      <c r="E506" s="43"/>
      <c r="F506" s="40"/>
      <c r="G506" s="36"/>
      <c r="H506" s="36"/>
      <c r="I506" s="45"/>
      <c r="J506" s="38"/>
      <c r="K506" s="39"/>
    </row>
    <row r="507">
      <c r="A507" s="47"/>
      <c r="B507" s="48"/>
      <c r="C507" s="48"/>
      <c r="D507" s="48"/>
      <c r="E507" s="43"/>
      <c r="F507" s="40"/>
      <c r="G507" s="36"/>
      <c r="H507" s="36"/>
      <c r="I507" s="45"/>
      <c r="J507" s="38"/>
      <c r="K507" s="39"/>
    </row>
    <row r="508">
      <c r="A508" s="47"/>
      <c r="B508" s="48"/>
      <c r="C508" s="48"/>
      <c r="D508" s="48"/>
      <c r="E508" s="43"/>
      <c r="F508" s="40"/>
      <c r="G508" s="36"/>
      <c r="H508" s="36"/>
      <c r="I508" s="45"/>
      <c r="J508" s="38"/>
      <c r="K508" s="39"/>
    </row>
    <row r="509">
      <c r="A509" s="47"/>
      <c r="B509" s="48"/>
      <c r="C509" s="48"/>
      <c r="D509" s="48"/>
      <c r="E509" s="43"/>
      <c r="F509" s="40"/>
      <c r="G509" s="36"/>
      <c r="H509" s="36"/>
      <c r="I509" s="45"/>
      <c r="J509" s="38"/>
      <c r="K509" s="39"/>
    </row>
    <row r="510">
      <c r="A510" s="47"/>
      <c r="B510" s="48"/>
      <c r="C510" s="48"/>
      <c r="D510" s="48"/>
      <c r="E510" s="43"/>
      <c r="F510" s="40"/>
      <c r="G510" s="36"/>
      <c r="H510" s="36"/>
      <c r="I510" s="45"/>
      <c r="J510" s="38"/>
      <c r="K510" s="39"/>
    </row>
    <row r="511">
      <c r="A511" s="47"/>
      <c r="B511" s="48"/>
      <c r="C511" s="48"/>
      <c r="D511" s="48"/>
      <c r="E511" s="43"/>
      <c r="F511" s="40"/>
      <c r="G511" s="36"/>
      <c r="H511" s="36"/>
      <c r="I511" s="45"/>
      <c r="J511" s="38"/>
      <c r="K511" s="39"/>
    </row>
    <row r="512">
      <c r="A512" s="47"/>
      <c r="B512" s="48"/>
      <c r="C512" s="48"/>
      <c r="D512" s="48"/>
      <c r="E512" s="43"/>
      <c r="F512" s="40"/>
      <c r="G512" s="36"/>
      <c r="H512" s="36"/>
      <c r="I512" s="45"/>
      <c r="J512" s="38"/>
      <c r="K512" s="39"/>
    </row>
    <row r="513">
      <c r="A513" s="47"/>
      <c r="B513" s="48"/>
      <c r="C513" s="48"/>
      <c r="D513" s="48"/>
      <c r="E513" s="43"/>
      <c r="F513" s="40"/>
      <c r="G513" s="36"/>
      <c r="H513" s="36"/>
      <c r="I513" s="45"/>
      <c r="J513" s="38"/>
      <c r="K513" s="39"/>
    </row>
    <row r="514">
      <c r="A514" s="47"/>
      <c r="B514" s="48"/>
      <c r="C514" s="48"/>
      <c r="D514" s="48"/>
      <c r="E514" s="43"/>
      <c r="F514" s="40"/>
      <c r="G514" s="36"/>
      <c r="H514" s="36"/>
      <c r="I514" s="45"/>
      <c r="J514" s="38"/>
      <c r="K514" s="39"/>
    </row>
    <row r="515">
      <c r="A515" s="47"/>
      <c r="B515" s="48"/>
      <c r="C515" s="48"/>
      <c r="D515" s="48"/>
      <c r="E515" s="43"/>
      <c r="F515" s="40"/>
      <c r="G515" s="36"/>
      <c r="H515" s="36"/>
      <c r="I515" s="45"/>
      <c r="J515" s="38"/>
      <c r="K515" s="39"/>
    </row>
    <row r="516">
      <c r="A516" s="47"/>
      <c r="B516" s="48"/>
      <c r="C516" s="48"/>
      <c r="D516" s="48"/>
      <c r="E516" s="43"/>
      <c r="F516" s="40"/>
      <c r="G516" s="36"/>
      <c r="H516" s="36"/>
      <c r="I516" s="45"/>
      <c r="J516" s="38"/>
      <c r="K516" s="39"/>
    </row>
    <row r="517">
      <c r="A517" s="47"/>
      <c r="B517" s="48"/>
      <c r="C517" s="48"/>
      <c r="D517" s="48"/>
      <c r="E517" s="43"/>
      <c r="F517" s="40"/>
      <c r="G517" s="36"/>
      <c r="H517" s="36"/>
      <c r="I517" s="45"/>
      <c r="J517" s="38"/>
      <c r="K517" s="39"/>
    </row>
    <row r="518">
      <c r="A518" s="47"/>
      <c r="B518" s="48"/>
      <c r="C518" s="48"/>
      <c r="D518" s="48"/>
      <c r="E518" s="43"/>
      <c r="F518" s="40"/>
      <c r="G518" s="36"/>
      <c r="H518" s="36"/>
      <c r="I518" s="45"/>
      <c r="J518" s="38"/>
      <c r="K518" s="39"/>
    </row>
    <row r="519">
      <c r="A519" s="47"/>
      <c r="B519" s="48"/>
      <c r="C519" s="48"/>
      <c r="D519" s="48"/>
      <c r="E519" s="43"/>
      <c r="F519" s="40"/>
      <c r="G519" s="36"/>
      <c r="H519" s="36"/>
      <c r="I519" s="45"/>
      <c r="J519" s="38"/>
      <c r="K519" s="39"/>
    </row>
    <row r="520">
      <c r="A520" s="47"/>
      <c r="B520" s="48"/>
      <c r="C520" s="48"/>
      <c r="D520" s="48"/>
      <c r="E520" s="43"/>
      <c r="F520" s="40"/>
      <c r="G520" s="36"/>
      <c r="H520" s="36"/>
      <c r="I520" s="45"/>
      <c r="J520" s="38"/>
      <c r="K520" s="39"/>
    </row>
    <row r="521">
      <c r="A521" s="47"/>
      <c r="B521" s="48"/>
      <c r="C521" s="48"/>
      <c r="D521" s="48"/>
      <c r="E521" s="43"/>
      <c r="F521" s="40"/>
      <c r="G521" s="36"/>
      <c r="H521" s="36"/>
      <c r="I521" s="45"/>
      <c r="J521" s="38"/>
      <c r="K521" s="39"/>
    </row>
    <row r="522">
      <c r="A522" s="47"/>
      <c r="B522" s="48"/>
      <c r="C522" s="48"/>
      <c r="D522" s="48"/>
      <c r="E522" s="43"/>
      <c r="F522" s="40"/>
      <c r="G522" s="36"/>
      <c r="H522" s="36"/>
      <c r="I522" s="45"/>
      <c r="J522" s="38"/>
      <c r="K522" s="39"/>
    </row>
    <row r="523">
      <c r="A523" s="47"/>
      <c r="B523" s="48"/>
      <c r="C523" s="48"/>
      <c r="D523" s="48"/>
      <c r="E523" s="43"/>
      <c r="F523" s="40"/>
      <c r="G523" s="36"/>
      <c r="H523" s="36"/>
      <c r="I523" s="45"/>
      <c r="J523" s="38"/>
      <c r="K523" s="39"/>
    </row>
    <row r="524">
      <c r="A524" s="47"/>
      <c r="B524" s="48"/>
      <c r="C524" s="48"/>
      <c r="D524" s="48"/>
      <c r="E524" s="43"/>
      <c r="F524" s="40"/>
      <c r="G524" s="36"/>
      <c r="H524" s="36"/>
      <c r="I524" s="45"/>
      <c r="J524" s="38"/>
      <c r="K524" s="39"/>
    </row>
    <row r="525">
      <c r="A525" s="47"/>
      <c r="B525" s="48"/>
      <c r="C525" s="48"/>
      <c r="D525" s="48"/>
      <c r="E525" s="43"/>
      <c r="F525" s="40"/>
      <c r="G525" s="36"/>
      <c r="H525" s="36"/>
      <c r="I525" s="45"/>
      <c r="J525" s="38"/>
      <c r="K525" s="39"/>
    </row>
    <row r="526">
      <c r="A526" s="47"/>
      <c r="B526" s="48"/>
      <c r="C526" s="48"/>
      <c r="D526" s="48"/>
      <c r="E526" s="43"/>
      <c r="F526" s="40"/>
      <c r="G526" s="36"/>
      <c r="H526" s="36"/>
      <c r="I526" s="45"/>
      <c r="J526" s="38"/>
      <c r="K526" s="39"/>
    </row>
    <row r="527">
      <c r="A527" s="47"/>
      <c r="B527" s="48"/>
      <c r="C527" s="48"/>
      <c r="D527" s="48"/>
      <c r="E527" s="43"/>
      <c r="F527" s="40"/>
      <c r="G527" s="36"/>
      <c r="H527" s="36"/>
      <c r="I527" s="45"/>
      <c r="J527" s="38"/>
      <c r="K527" s="39"/>
    </row>
    <row r="528">
      <c r="A528" s="47"/>
      <c r="B528" s="48"/>
      <c r="C528" s="48"/>
      <c r="D528" s="48"/>
      <c r="E528" s="43"/>
      <c r="F528" s="40"/>
      <c r="G528" s="36"/>
      <c r="H528" s="36"/>
      <c r="I528" s="45"/>
      <c r="J528" s="38"/>
      <c r="K528" s="39"/>
    </row>
    <row r="529">
      <c r="A529" s="47"/>
      <c r="B529" s="48"/>
      <c r="C529" s="48"/>
      <c r="D529" s="48"/>
      <c r="E529" s="43"/>
      <c r="F529" s="40"/>
      <c r="G529" s="36"/>
      <c r="H529" s="36"/>
      <c r="I529" s="45"/>
      <c r="J529" s="38"/>
      <c r="K529" s="39"/>
    </row>
    <row r="530">
      <c r="A530" s="47"/>
      <c r="B530" s="48"/>
      <c r="C530" s="48"/>
      <c r="D530" s="48"/>
      <c r="E530" s="43"/>
      <c r="F530" s="40"/>
      <c r="G530" s="36"/>
      <c r="H530" s="36"/>
      <c r="I530" s="45"/>
      <c r="J530" s="38"/>
      <c r="K530" s="39"/>
    </row>
    <row r="531">
      <c r="A531" s="47"/>
      <c r="B531" s="48"/>
      <c r="C531" s="48"/>
      <c r="D531" s="48"/>
      <c r="E531" s="43"/>
      <c r="F531" s="40"/>
      <c r="G531" s="36"/>
      <c r="H531" s="36"/>
      <c r="I531" s="45"/>
      <c r="J531" s="38"/>
      <c r="K531" s="39"/>
    </row>
    <row r="532">
      <c r="A532" s="47"/>
      <c r="B532" s="48"/>
      <c r="C532" s="48"/>
      <c r="D532" s="48"/>
      <c r="E532" s="43"/>
      <c r="F532" s="40"/>
      <c r="G532" s="36"/>
      <c r="H532" s="36"/>
      <c r="I532" s="45"/>
      <c r="J532" s="38"/>
      <c r="K532" s="39"/>
    </row>
    <row r="533">
      <c r="A533" s="47"/>
      <c r="B533" s="48"/>
      <c r="C533" s="48"/>
      <c r="D533" s="48"/>
      <c r="E533" s="43"/>
      <c r="F533" s="40"/>
      <c r="G533" s="36"/>
      <c r="H533" s="36"/>
      <c r="I533" s="45"/>
      <c r="J533" s="38"/>
      <c r="K533" s="39"/>
    </row>
    <row r="534">
      <c r="A534" s="47"/>
      <c r="B534" s="48"/>
      <c r="C534" s="48"/>
      <c r="D534" s="48"/>
      <c r="E534" s="43"/>
      <c r="F534" s="40"/>
      <c r="G534" s="36"/>
      <c r="H534" s="36"/>
      <c r="I534" s="45"/>
      <c r="J534" s="38"/>
      <c r="K534" s="39"/>
    </row>
    <row r="535">
      <c r="A535" s="47"/>
      <c r="B535" s="48"/>
      <c r="C535" s="48"/>
      <c r="D535" s="48"/>
      <c r="E535" s="43"/>
      <c r="F535" s="40"/>
      <c r="G535" s="36"/>
      <c r="H535" s="36"/>
      <c r="I535" s="45"/>
      <c r="J535" s="38"/>
      <c r="K535" s="39"/>
    </row>
    <row r="536">
      <c r="A536" s="47"/>
      <c r="B536" s="48"/>
      <c r="C536" s="48"/>
      <c r="D536" s="48"/>
      <c r="E536" s="43"/>
      <c r="F536" s="40"/>
      <c r="G536" s="36"/>
      <c r="H536" s="36"/>
      <c r="I536" s="45"/>
      <c r="J536" s="38"/>
      <c r="K536" s="39"/>
    </row>
    <row r="537">
      <c r="A537" s="47"/>
      <c r="B537" s="48"/>
      <c r="C537" s="48"/>
      <c r="D537" s="48"/>
      <c r="E537" s="43"/>
      <c r="F537" s="40"/>
      <c r="G537" s="36"/>
      <c r="H537" s="36"/>
      <c r="I537" s="45"/>
      <c r="J537" s="38"/>
      <c r="K537" s="39"/>
    </row>
    <row r="538">
      <c r="A538" s="47"/>
      <c r="B538" s="48"/>
      <c r="C538" s="48"/>
      <c r="D538" s="48"/>
      <c r="E538" s="43"/>
      <c r="F538" s="40"/>
      <c r="G538" s="36"/>
      <c r="H538" s="36"/>
      <c r="I538" s="45"/>
      <c r="J538" s="38"/>
      <c r="K538" s="39"/>
    </row>
    <row r="539">
      <c r="A539" s="47"/>
      <c r="B539" s="48"/>
      <c r="C539" s="48"/>
      <c r="D539" s="48"/>
      <c r="E539" s="43"/>
      <c r="F539" s="40"/>
      <c r="G539" s="36"/>
      <c r="H539" s="36"/>
      <c r="I539" s="45"/>
      <c r="J539" s="38"/>
      <c r="K539" s="39"/>
    </row>
    <row r="540">
      <c r="A540" s="47"/>
      <c r="B540" s="48"/>
      <c r="C540" s="48"/>
      <c r="D540" s="48"/>
      <c r="E540" s="43"/>
      <c r="F540" s="40"/>
      <c r="G540" s="36"/>
      <c r="H540" s="36"/>
      <c r="I540" s="45"/>
      <c r="J540" s="38"/>
      <c r="K540" s="39"/>
    </row>
    <row r="541">
      <c r="A541" s="47"/>
      <c r="B541" s="48"/>
      <c r="C541" s="48"/>
      <c r="D541" s="48"/>
      <c r="E541" s="43"/>
      <c r="F541" s="40"/>
      <c r="G541" s="36"/>
      <c r="H541" s="36"/>
      <c r="I541" s="45"/>
      <c r="J541" s="38"/>
      <c r="K541" s="39"/>
    </row>
    <row r="542">
      <c r="A542" s="47"/>
      <c r="B542" s="48"/>
      <c r="C542" s="48"/>
      <c r="D542" s="48"/>
      <c r="E542" s="43"/>
      <c r="F542" s="40"/>
      <c r="G542" s="36"/>
      <c r="H542" s="36"/>
      <c r="I542" s="45"/>
      <c r="J542" s="38"/>
      <c r="K542" s="39"/>
    </row>
    <row r="543">
      <c r="A543" s="47"/>
      <c r="B543" s="48"/>
      <c r="C543" s="48"/>
      <c r="D543" s="48"/>
      <c r="E543" s="43"/>
      <c r="F543" s="40"/>
      <c r="G543" s="36"/>
      <c r="H543" s="36"/>
      <c r="I543" s="45"/>
      <c r="J543" s="38"/>
      <c r="K543" s="39"/>
    </row>
    <row r="544">
      <c r="A544" s="47"/>
      <c r="B544" s="48"/>
      <c r="C544" s="48"/>
      <c r="D544" s="48"/>
      <c r="E544" s="43"/>
      <c r="F544" s="40"/>
      <c r="G544" s="36"/>
      <c r="H544" s="36"/>
      <c r="I544" s="45"/>
      <c r="J544" s="38"/>
      <c r="K544" s="39"/>
    </row>
    <row r="545">
      <c r="A545" s="47"/>
      <c r="B545" s="48"/>
      <c r="C545" s="48"/>
      <c r="D545" s="48"/>
      <c r="E545" s="43"/>
      <c r="F545" s="40"/>
      <c r="G545" s="36"/>
      <c r="H545" s="36"/>
      <c r="I545" s="45"/>
      <c r="J545" s="38"/>
      <c r="K545" s="39"/>
    </row>
    <row r="546">
      <c r="A546" s="47"/>
      <c r="B546" s="48"/>
      <c r="C546" s="48"/>
      <c r="D546" s="48"/>
      <c r="E546" s="43"/>
      <c r="F546" s="40"/>
      <c r="G546" s="36"/>
      <c r="H546" s="36"/>
      <c r="I546" s="45"/>
      <c r="J546" s="38"/>
      <c r="K546" s="39"/>
    </row>
    <row r="547">
      <c r="A547" s="47"/>
      <c r="B547" s="48"/>
      <c r="C547" s="48"/>
      <c r="D547" s="48"/>
      <c r="E547" s="43"/>
      <c r="F547" s="40"/>
      <c r="G547" s="36"/>
      <c r="H547" s="36"/>
      <c r="I547" s="45"/>
      <c r="J547" s="38"/>
      <c r="K547" s="39"/>
    </row>
    <row r="548">
      <c r="A548" s="47"/>
      <c r="B548" s="48"/>
      <c r="C548" s="48"/>
      <c r="D548" s="48"/>
      <c r="E548" s="43"/>
      <c r="F548" s="40"/>
      <c r="G548" s="36"/>
      <c r="H548" s="36"/>
      <c r="I548" s="45"/>
      <c r="J548" s="38"/>
      <c r="K548" s="39"/>
    </row>
    <row r="549">
      <c r="A549" s="47"/>
      <c r="B549" s="48"/>
      <c r="C549" s="48"/>
      <c r="D549" s="48"/>
      <c r="E549" s="43"/>
      <c r="F549" s="40"/>
      <c r="G549" s="36"/>
      <c r="H549" s="36"/>
      <c r="I549" s="45"/>
      <c r="J549" s="38"/>
      <c r="K549" s="39"/>
    </row>
    <row r="550">
      <c r="A550" s="47"/>
      <c r="B550" s="48"/>
      <c r="C550" s="48"/>
      <c r="D550" s="48"/>
      <c r="E550" s="43"/>
      <c r="F550" s="40"/>
      <c r="G550" s="36"/>
      <c r="H550" s="36"/>
      <c r="I550" s="45"/>
      <c r="J550" s="38"/>
      <c r="K550" s="39"/>
    </row>
    <row r="551">
      <c r="A551" s="47"/>
      <c r="B551" s="48"/>
      <c r="C551" s="48"/>
      <c r="D551" s="48"/>
      <c r="E551" s="43"/>
      <c r="F551" s="40"/>
      <c r="G551" s="36"/>
      <c r="H551" s="36"/>
      <c r="I551" s="45"/>
      <c r="J551" s="38"/>
      <c r="K551" s="39"/>
    </row>
    <row r="552">
      <c r="A552" s="47"/>
      <c r="B552" s="48"/>
      <c r="C552" s="48"/>
      <c r="D552" s="48"/>
      <c r="E552" s="43"/>
      <c r="F552" s="40"/>
      <c r="G552" s="36"/>
      <c r="H552" s="36"/>
      <c r="I552" s="45"/>
      <c r="J552" s="38"/>
      <c r="K552" s="39"/>
    </row>
    <row r="553">
      <c r="A553" s="47"/>
      <c r="B553" s="48"/>
      <c r="C553" s="48"/>
      <c r="D553" s="48"/>
      <c r="E553" s="43"/>
      <c r="F553" s="40"/>
      <c r="G553" s="36"/>
      <c r="H553" s="36"/>
      <c r="I553" s="45"/>
      <c r="J553" s="38"/>
      <c r="K553" s="39"/>
    </row>
    <row r="554">
      <c r="A554" s="47"/>
      <c r="B554" s="48"/>
      <c r="C554" s="48"/>
      <c r="D554" s="48"/>
      <c r="E554" s="43"/>
      <c r="F554" s="40"/>
      <c r="G554" s="36"/>
      <c r="H554" s="36"/>
      <c r="I554" s="45"/>
      <c r="J554" s="38"/>
      <c r="K554" s="39"/>
    </row>
    <row r="555">
      <c r="A555" s="47"/>
      <c r="B555" s="48"/>
      <c r="C555" s="48"/>
      <c r="D555" s="48"/>
      <c r="E555" s="43"/>
      <c r="F555" s="40"/>
      <c r="G555" s="36"/>
      <c r="H555" s="36"/>
      <c r="I555" s="45"/>
      <c r="J555" s="38"/>
      <c r="K555" s="39"/>
    </row>
    <row r="556">
      <c r="A556" s="47"/>
      <c r="B556" s="48"/>
      <c r="C556" s="48"/>
      <c r="D556" s="48"/>
      <c r="E556" s="43"/>
      <c r="F556" s="40"/>
      <c r="G556" s="36"/>
      <c r="H556" s="36"/>
      <c r="I556" s="45"/>
      <c r="J556" s="38"/>
      <c r="K556" s="39"/>
    </row>
    <row r="557">
      <c r="A557" s="47"/>
      <c r="B557" s="48"/>
      <c r="C557" s="48"/>
      <c r="D557" s="48"/>
      <c r="E557" s="43"/>
      <c r="F557" s="40"/>
      <c r="G557" s="36"/>
      <c r="H557" s="36"/>
      <c r="I557" s="45"/>
      <c r="J557" s="38"/>
      <c r="K557" s="39"/>
    </row>
    <row r="558">
      <c r="A558" s="47"/>
      <c r="B558" s="48"/>
      <c r="C558" s="48"/>
      <c r="D558" s="48"/>
      <c r="E558" s="43"/>
      <c r="F558" s="40"/>
      <c r="G558" s="36"/>
      <c r="H558" s="36"/>
      <c r="I558" s="45"/>
      <c r="J558" s="38"/>
      <c r="K558" s="39"/>
    </row>
    <row r="559">
      <c r="A559" s="47"/>
      <c r="B559" s="48"/>
      <c r="C559" s="48"/>
      <c r="D559" s="48"/>
      <c r="E559" s="43"/>
      <c r="F559" s="40"/>
      <c r="G559" s="36"/>
      <c r="H559" s="36"/>
      <c r="I559" s="45"/>
      <c r="J559" s="38"/>
      <c r="K559" s="39"/>
    </row>
    <row r="560">
      <c r="A560" s="47"/>
      <c r="B560" s="48"/>
      <c r="C560" s="48"/>
      <c r="D560" s="48"/>
      <c r="E560" s="43"/>
      <c r="F560" s="40"/>
      <c r="G560" s="36"/>
      <c r="H560" s="36"/>
      <c r="I560" s="45"/>
      <c r="J560" s="38"/>
      <c r="K560" s="39"/>
    </row>
    <row r="561">
      <c r="A561" s="47"/>
      <c r="B561" s="48"/>
      <c r="C561" s="48"/>
      <c r="D561" s="48"/>
      <c r="E561" s="43"/>
      <c r="F561" s="40"/>
      <c r="G561" s="36"/>
      <c r="H561" s="36"/>
      <c r="I561" s="45"/>
      <c r="J561" s="38"/>
      <c r="K561" s="39"/>
    </row>
    <row r="562">
      <c r="A562" s="47"/>
      <c r="B562" s="48"/>
      <c r="C562" s="48"/>
      <c r="D562" s="48"/>
      <c r="E562" s="43"/>
      <c r="F562" s="40"/>
      <c r="G562" s="36"/>
      <c r="H562" s="36"/>
      <c r="I562" s="45"/>
      <c r="J562" s="38"/>
      <c r="K562" s="39"/>
    </row>
    <row r="563">
      <c r="A563" s="47"/>
      <c r="B563" s="48"/>
      <c r="C563" s="48"/>
      <c r="D563" s="48"/>
      <c r="E563" s="43"/>
      <c r="F563" s="40"/>
      <c r="G563" s="36"/>
      <c r="H563" s="36"/>
      <c r="I563" s="45"/>
      <c r="J563" s="38"/>
      <c r="K563" s="39"/>
    </row>
    <row r="564">
      <c r="A564" s="47"/>
      <c r="B564" s="48"/>
      <c r="C564" s="48"/>
      <c r="D564" s="48"/>
      <c r="E564" s="43"/>
      <c r="F564" s="40"/>
      <c r="G564" s="36"/>
      <c r="H564" s="36"/>
      <c r="I564" s="45"/>
      <c r="J564" s="38"/>
      <c r="K564" s="39"/>
    </row>
    <row r="565">
      <c r="A565" s="47"/>
      <c r="B565" s="48"/>
      <c r="C565" s="48"/>
      <c r="D565" s="48"/>
      <c r="E565" s="43"/>
      <c r="F565" s="40"/>
      <c r="G565" s="36"/>
      <c r="H565" s="36"/>
      <c r="I565" s="45"/>
      <c r="J565" s="38"/>
      <c r="K565" s="39"/>
    </row>
    <row r="566">
      <c r="A566" s="47"/>
      <c r="B566" s="48"/>
      <c r="C566" s="48"/>
      <c r="D566" s="48"/>
      <c r="E566" s="43"/>
      <c r="F566" s="40"/>
      <c r="G566" s="36"/>
      <c r="H566" s="36"/>
      <c r="I566" s="45"/>
      <c r="J566" s="38"/>
      <c r="K566" s="39"/>
    </row>
    <row r="567">
      <c r="A567" s="47"/>
      <c r="B567" s="48"/>
      <c r="C567" s="48"/>
      <c r="D567" s="48"/>
      <c r="E567" s="43"/>
      <c r="F567" s="40"/>
      <c r="G567" s="36"/>
      <c r="H567" s="36"/>
      <c r="I567" s="45"/>
      <c r="J567" s="38"/>
      <c r="K567" s="39"/>
    </row>
    <row r="568">
      <c r="A568" s="47"/>
      <c r="B568" s="48"/>
      <c r="C568" s="48"/>
      <c r="D568" s="48"/>
      <c r="E568" s="43"/>
      <c r="F568" s="40"/>
      <c r="G568" s="36"/>
      <c r="H568" s="36"/>
      <c r="I568" s="45"/>
      <c r="J568" s="38"/>
      <c r="K568" s="39"/>
    </row>
    <row r="569">
      <c r="A569" s="47"/>
      <c r="B569" s="48"/>
      <c r="C569" s="48"/>
      <c r="D569" s="48"/>
      <c r="E569" s="43"/>
      <c r="F569" s="40"/>
      <c r="G569" s="36"/>
      <c r="H569" s="36"/>
      <c r="I569" s="45"/>
      <c r="J569" s="38"/>
      <c r="K569" s="39"/>
    </row>
    <row r="570">
      <c r="A570" s="47"/>
      <c r="B570" s="48"/>
      <c r="C570" s="48"/>
      <c r="D570" s="48"/>
      <c r="E570" s="43"/>
      <c r="F570" s="40"/>
      <c r="G570" s="36"/>
      <c r="H570" s="36"/>
      <c r="I570" s="45"/>
      <c r="J570" s="38"/>
      <c r="K570" s="39"/>
    </row>
    <row r="571">
      <c r="A571" s="47"/>
      <c r="B571" s="48"/>
      <c r="C571" s="48"/>
      <c r="D571" s="48"/>
      <c r="E571" s="43"/>
      <c r="F571" s="40"/>
      <c r="G571" s="36"/>
      <c r="H571" s="36"/>
      <c r="I571" s="45"/>
      <c r="J571" s="38"/>
      <c r="K571" s="39"/>
    </row>
    <row r="572">
      <c r="A572" s="47"/>
      <c r="B572" s="48"/>
      <c r="C572" s="48"/>
      <c r="D572" s="48"/>
      <c r="E572" s="43"/>
      <c r="F572" s="40"/>
      <c r="G572" s="36"/>
      <c r="H572" s="36"/>
      <c r="I572" s="45"/>
      <c r="J572" s="38"/>
      <c r="K572" s="39"/>
    </row>
    <row r="573">
      <c r="A573" s="47"/>
      <c r="B573" s="48"/>
      <c r="C573" s="48"/>
      <c r="D573" s="48"/>
      <c r="E573" s="43"/>
      <c r="F573" s="40"/>
      <c r="G573" s="36"/>
      <c r="H573" s="36"/>
      <c r="I573" s="45"/>
      <c r="J573" s="38"/>
      <c r="K573" s="39"/>
    </row>
    <row r="574">
      <c r="A574" s="47"/>
      <c r="B574" s="48"/>
      <c r="C574" s="48"/>
      <c r="D574" s="48"/>
      <c r="E574" s="43"/>
      <c r="F574" s="40"/>
      <c r="G574" s="36"/>
      <c r="H574" s="36"/>
      <c r="I574" s="45"/>
      <c r="J574" s="38"/>
      <c r="K574" s="39"/>
    </row>
    <row r="575">
      <c r="A575" s="47"/>
      <c r="B575" s="48"/>
      <c r="C575" s="48"/>
      <c r="D575" s="48"/>
      <c r="E575" s="43"/>
      <c r="F575" s="40"/>
      <c r="G575" s="36"/>
      <c r="H575" s="36"/>
      <c r="I575" s="45"/>
      <c r="J575" s="38"/>
      <c r="K575" s="39"/>
    </row>
    <row r="576">
      <c r="A576" s="47"/>
      <c r="B576" s="48"/>
      <c r="C576" s="48"/>
      <c r="D576" s="48"/>
      <c r="E576" s="43"/>
      <c r="F576" s="40"/>
      <c r="G576" s="36"/>
      <c r="H576" s="36"/>
      <c r="I576" s="45"/>
      <c r="J576" s="38"/>
      <c r="K576" s="39"/>
    </row>
    <row r="577">
      <c r="A577" s="47"/>
      <c r="B577" s="48"/>
      <c r="C577" s="48"/>
      <c r="D577" s="48"/>
      <c r="E577" s="43"/>
      <c r="F577" s="40"/>
      <c r="G577" s="36"/>
      <c r="H577" s="36"/>
      <c r="I577" s="45"/>
      <c r="J577" s="38"/>
      <c r="K577" s="39"/>
    </row>
    <row r="578">
      <c r="A578" s="47"/>
      <c r="B578" s="48"/>
      <c r="C578" s="48"/>
      <c r="D578" s="48"/>
      <c r="E578" s="43"/>
      <c r="F578" s="40"/>
      <c r="G578" s="36"/>
      <c r="H578" s="36"/>
      <c r="I578" s="45"/>
      <c r="J578" s="38"/>
      <c r="K578" s="39"/>
    </row>
    <row r="579">
      <c r="A579" s="47"/>
      <c r="B579" s="48"/>
      <c r="C579" s="48"/>
      <c r="D579" s="48"/>
      <c r="E579" s="43"/>
      <c r="F579" s="40"/>
      <c r="G579" s="36"/>
      <c r="H579" s="36"/>
      <c r="I579" s="45"/>
      <c r="J579" s="38"/>
      <c r="K579" s="39"/>
    </row>
    <row r="580">
      <c r="A580" s="47"/>
      <c r="B580" s="48"/>
      <c r="C580" s="48"/>
      <c r="D580" s="48"/>
      <c r="E580" s="43"/>
      <c r="F580" s="40"/>
      <c r="G580" s="36"/>
      <c r="H580" s="36"/>
      <c r="I580" s="45"/>
      <c r="J580" s="38"/>
      <c r="K580" s="39"/>
    </row>
    <row r="581">
      <c r="A581" s="47"/>
      <c r="B581" s="48"/>
      <c r="C581" s="48"/>
      <c r="D581" s="48"/>
      <c r="E581" s="43"/>
      <c r="F581" s="40"/>
      <c r="G581" s="36"/>
      <c r="H581" s="36"/>
      <c r="I581" s="45"/>
      <c r="J581" s="38"/>
      <c r="K581" s="39"/>
    </row>
    <row r="582">
      <c r="A582" s="47"/>
      <c r="B582" s="48"/>
      <c r="C582" s="48"/>
      <c r="D582" s="48"/>
      <c r="E582" s="43"/>
      <c r="F582" s="40"/>
      <c r="G582" s="36"/>
      <c r="H582" s="36"/>
      <c r="I582" s="45"/>
      <c r="J582" s="38"/>
      <c r="K582" s="39"/>
    </row>
    <row r="583">
      <c r="A583" s="47"/>
      <c r="B583" s="48"/>
      <c r="C583" s="48"/>
      <c r="D583" s="48"/>
      <c r="E583" s="43"/>
      <c r="F583" s="40"/>
      <c r="G583" s="36"/>
      <c r="H583" s="36"/>
      <c r="I583" s="45"/>
      <c r="J583" s="38"/>
      <c r="K583" s="39"/>
    </row>
    <row r="584">
      <c r="A584" s="47"/>
      <c r="B584" s="48"/>
      <c r="C584" s="48"/>
      <c r="D584" s="48"/>
      <c r="E584" s="43"/>
      <c r="F584" s="40"/>
      <c r="G584" s="36"/>
      <c r="H584" s="36"/>
      <c r="I584" s="45"/>
      <c r="J584" s="38"/>
      <c r="K584" s="39"/>
    </row>
    <row r="585">
      <c r="A585" s="47"/>
      <c r="B585" s="48"/>
      <c r="C585" s="48"/>
      <c r="D585" s="48"/>
      <c r="E585" s="43"/>
      <c r="F585" s="40"/>
      <c r="G585" s="36"/>
      <c r="H585" s="36"/>
      <c r="I585" s="45"/>
      <c r="J585" s="38"/>
      <c r="K585" s="39"/>
    </row>
    <row r="586">
      <c r="A586" s="47"/>
      <c r="B586" s="48"/>
      <c r="C586" s="48"/>
      <c r="D586" s="48"/>
      <c r="E586" s="43"/>
      <c r="F586" s="40"/>
      <c r="G586" s="36"/>
      <c r="H586" s="36"/>
      <c r="I586" s="45"/>
      <c r="J586" s="38"/>
      <c r="K586" s="39"/>
    </row>
    <row r="587">
      <c r="A587" s="47"/>
      <c r="B587" s="48"/>
      <c r="C587" s="48"/>
      <c r="D587" s="48"/>
      <c r="E587" s="43"/>
      <c r="F587" s="40"/>
      <c r="G587" s="36"/>
      <c r="H587" s="36"/>
      <c r="I587" s="45"/>
      <c r="J587" s="38"/>
      <c r="K587" s="39"/>
    </row>
    <row r="588">
      <c r="A588" s="47"/>
      <c r="B588" s="48"/>
      <c r="C588" s="48"/>
      <c r="D588" s="48"/>
      <c r="E588" s="43"/>
      <c r="F588" s="40"/>
      <c r="G588" s="36"/>
      <c r="H588" s="36"/>
      <c r="I588" s="45"/>
      <c r="J588" s="38"/>
      <c r="K588" s="39"/>
    </row>
    <row r="589">
      <c r="A589" s="47"/>
      <c r="B589" s="48"/>
      <c r="C589" s="48"/>
      <c r="D589" s="48"/>
      <c r="E589" s="43"/>
      <c r="F589" s="40"/>
      <c r="G589" s="36"/>
      <c r="H589" s="36"/>
      <c r="I589" s="45"/>
      <c r="J589" s="38"/>
      <c r="K589" s="39"/>
    </row>
    <row r="590">
      <c r="A590" s="47"/>
      <c r="B590" s="48"/>
      <c r="C590" s="48"/>
      <c r="D590" s="48"/>
      <c r="E590" s="43"/>
      <c r="F590" s="40"/>
      <c r="G590" s="36"/>
      <c r="H590" s="36"/>
      <c r="I590" s="45"/>
      <c r="J590" s="38"/>
      <c r="K590" s="39"/>
    </row>
    <row r="591">
      <c r="A591" s="47"/>
      <c r="B591" s="48"/>
      <c r="C591" s="48"/>
      <c r="D591" s="48"/>
      <c r="E591" s="43"/>
      <c r="F591" s="40"/>
      <c r="G591" s="36"/>
      <c r="H591" s="36"/>
      <c r="I591" s="45"/>
      <c r="J591" s="38"/>
      <c r="K591" s="39"/>
    </row>
    <row r="592">
      <c r="A592" s="47"/>
      <c r="B592" s="48"/>
      <c r="C592" s="48"/>
      <c r="D592" s="48"/>
      <c r="E592" s="43"/>
      <c r="F592" s="40"/>
      <c r="G592" s="36"/>
      <c r="H592" s="36"/>
      <c r="I592" s="45"/>
      <c r="J592" s="38"/>
      <c r="K592" s="39"/>
    </row>
    <row r="593">
      <c r="A593" s="47"/>
      <c r="B593" s="48"/>
      <c r="C593" s="48"/>
      <c r="D593" s="48"/>
      <c r="E593" s="43"/>
      <c r="F593" s="40"/>
      <c r="G593" s="36"/>
      <c r="H593" s="36"/>
      <c r="I593" s="45"/>
      <c r="J593" s="38"/>
      <c r="K593" s="39"/>
    </row>
    <row r="594">
      <c r="A594" s="47"/>
      <c r="B594" s="48"/>
      <c r="C594" s="48"/>
      <c r="D594" s="48"/>
      <c r="E594" s="43"/>
      <c r="F594" s="40"/>
      <c r="G594" s="36"/>
      <c r="H594" s="36"/>
      <c r="I594" s="45"/>
      <c r="J594" s="38"/>
      <c r="K594" s="39"/>
    </row>
    <row r="595">
      <c r="A595" s="47"/>
      <c r="B595" s="48"/>
      <c r="C595" s="48"/>
      <c r="D595" s="48"/>
      <c r="E595" s="43"/>
      <c r="F595" s="40"/>
      <c r="G595" s="36"/>
      <c r="H595" s="36"/>
      <c r="I595" s="45"/>
      <c r="J595" s="38"/>
      <c r="K595" s="39"/>
    </row>
    <row r="596">
      <c r="A596" s="47"/>
      <c r="B596" s="48"/>
      <c r="C596" s="48"/>
      <c r="D596" s="48"/>
      <c r="E596" s="43"/>
      <c r="F596" s="40"/>
      <c r="G596" s="36"/>
      <c r="H596" s="36"/>
      <c r="I596" s="45"/>
      <c r="J596" s="38"/>
      <c r="K596" s="39"/>
    </row>
    <row r="597">
      <c r="A597" s="47"/>
      <c r="B597" s="48"/>
      <c r="C597" s="48"/>
      <c r="D597" s="48"/>
      <c r="E597" s="43"/>
      <c r="F597" s="40"/>
      <c r="G597" s="36"/>
      <c r="H597" s="36"/>
      <c r="I597" s="45"/>
      <c r="J597" s="38"/>
      <c r="K597" s="39"/>
    </row>
    <row r="598">
      <c r="A598" s="47"/>
      <c r="B598" s="48"/>
      <c r="C598" s="48"/>
      <c r="D598" s="48"/>
      <c r="E598" s="43"/>
      <c r="F598" s="40"/>
      <c r="G598" s="36"/>
      <c r="H598" s="36"/>
      <c r="I598" s="45"/>
      <c r="J598" s="38"/>
      <c r="K598" s="39"/>
    </row>
    <row r="599">
      <c r="A599" s="47"/>
      <c r="B599" s="48"/>
      <c r="C599" s="48"/>
      <c r="D599" s="48"/>
      <c r="E599" s="43"/>
      <c r="F599" s="40"/>
      <c r="G599" s="36"/>
      <c r="H599" s="36"/>
      <c r="I599" s="45"/>
      <c r="J599" s="38"/>
      <c r="K599" s="39"/>
    </row>
    <row r="600">
      <c r="A600" s="47"/>
      <c r="B600" s="48"/>
      <c r="C600" s="48"/>
      <c r="D600" s="48"/>
      <c r="E600" s="43"/>
      <c r="F600" s="40"/>
      <c r="G600" s="36"/>
      <c r="H600" s="36"/>
      <c r="I600" s="45"/>
      <c r="J600" s="38"/>
      <c r="K600" s="39"/>
    </row>
    <row r="601">
      <c r="A601" s="47"/>
      <c r="B601" s="48"/>
      <c r="C601" s="48"/>
      <c r="D601" s="48"/>
      <c r="E601" s="43"/>
      <c r="F601" s="40"/>
      <c r="G601" s="36"/>
      <c r="H601" s="36"/>
      <c r="I601" s="45"/>
      <c r="J601" s="38"/>
      <c r="K601" s="39"/>
    </row>
    <row r="602">
      <c r="A602" s="47"/>
      <c r="B602" s="48"/>
      <c r="C602" s="48"/>
      <c r="D602" s="48"/>
      <c r="E602" s="43"/>
      <c r="F602" s="40"/>
      <c r="G602" s="36"/>
      <c r="H602" s="36"/>
      <c r="I602" s="45"/>
      <c r="J602" s="38"/>
      <c r="K602" s="39"/>
    </row>
    <row r="603">
      <c r="A603" s="47"/>
      <c r="B603" s="48"/>
      <c r="C603" s="48"/>
      <c r="D603" s="48"/>
      <c r="E603" s="43"/>
      <c r="F603" s="40"/>
      <c r="G603" s="36"/>
      <c r="H603" s="36"/>
      <c r="I603" s="45"/>
      <c r="J603" s="38"/>
      <c r="K603" s="39"/>
    </row>
    <row r="604">
      <c r="A604" s="47"/>
      <c r="B604" s="48"/>
      <c r="C604" s="48"/>
      <c r="D604" s="48"/>
      <c r="E604" s="43"/>
      <c r="F604" s="40"/>
      <c r="G604" s="36"/>
      <c r="H604" s="36"/>
      <c r="I604" s="45"/>
      <c r="J604" s="38"/>
      <c r="K604" s="39"/>
    </row>
    <row r="605">
      <c r="A605" s="47"/>
      <c r="B605" s="48"/>
      <c r="C605" s="48"/>
      <c r="D605" s="48"/>
      <c r="E605" s="43"/>
      <c r="F605" s="40"/>
      <c r="G605" s="36"/>
      <c r="H605" s="36"/>
      <c r="I605" s="45"/>
      <c r="J605" s="38"/>
      <c r="K605" s="39"/>
    </row>
    <row r="606">
      <c r="A606" s="47"/>
      <c r="B606" s="48"/>
      <c r="C606" s="48"/>
      <c r="D606" s="48"/>
      <c r="E606" s="43"/>
      <c r="F606" s="40"/>
      <c r="G606" s="36"/>
      <c r="H606" s="36"/>
      <c r="I606" s="45"/>
      <c r="J606" s="38"/>
      <c r="K606" s="39"/>
    </row>
    <row r="607">
      <c r="A607" s="47"/>
      <c r="B607" s="48"/>
      <c r="C607" s="48"/>
      <c r="D607" s="48"/>
      <c r="E607" s="43"/>
      <c r="F607" s="40"/>
      <c r="G607" s="36"/>
      <c r="H607" s="36"/>
      <c r="I607" s="45"/>
      <c r="J607" s="38"/>
      <c r="K607" s="39"/>
    </row>
    <row r="608">
      <c r="A608" s="47"/>
      <c r="B608" s="48"/>
      <c r="C608" s="48"/>
      <c r="D608" s="48"/>
      <c r="E608" s="43"/>
      <c r="F608" s="40"/>
      <c r="G608" s="36"/>
      <c r="H608" s="36"/>
      <c r="I608" s="45"/>
      <c r="J608" s="38"/>
      <c r="K608" s="39"/>
    </row>
    <row r="609">
      <c r="A609" s="47"/>
      <c r="B609" s="48"/>
      <c r="C609" s="48"/>
      <c r="D609" s="48"/>
      <c r="E609" s="43"/>
      <c r="F609" s="40"/>
      <c r="G609" s="36"/>
      <c r="H609" s="36"/>
      <c r="I609" s="45"/>
      <c r="J609" s="38"/>
      <c r="K609" s="39"/>
    </row>
    <row r="610">
      <c r="A610" s="47"/>
      <c r="B610" s="48"/>
      <c r="C610" s="48"/>
      <c r="D610" s="48"/>
      <c r="E610" s="43"/>
      <c r="F610" s="40"/>
      <c r="G610" s="36"/>
      <c r="H610" s="36"/>
      <c r="I610" s="45"/>
      <c r="J610" s="38"/>
      <c r="K610" s="39"/>
    </row>
    <row r="611">
      <c r="A611" s="47"/>
      <c r="B611" s="48"/>
      <c r="C611" s="48"/>
      <c r="D611" s="48"/>
      <c r="E611" s="43"/>
      <c r="F611" s="40"/>
      <c r="G611" s="36"/>
      <c r="H611" s="36"/>
      <c r="I611" s="45"/>
      <c r="J611" s="38"/>
      <c r="K611" s="39"/>
    </row>
    <row r="612">
      <c r="A612" s="47"/>
      <c r="B612" s="48"/>
      <c r="C612" s="48"/>
      <c r="D612" s="48"/>
      <c r="E612" s="43"/>
      <c r="F612" s="40"/>
      <c r="G612" s="36"/>
      <c r="H612" s="36"/>
      <c r="I612" s="45"/>
      <c r="J612" s="38"/>
      <c r="K612" s="39"/>
    </row>
    <row r="613">
      <c r="A613" s="47"/>
      <c r="B613" s="48"/>
      <c r="C613" s="48"/>
      <c r="D613" s="48"/>
      <c r="E613" s="43"/>
      <c r="F613" s="40"/>
      <c r="G613" s="36"/>
      <c r="H613" s="36"/>
      <c r="I613" s="45"/>
      <c r="J613" s="38"/>
      <c r="K613" s="39"/>
    </row>
    <row r="614">
      <c r="A614" s="47"/>
      <c r="B614" s="48"/>
      <c r="C614" s="48"/>
      <c r="D614" s="48"/>
      <c r="E614" s="43"/>
      <c r="F614" s="40"/>
      <c r="G614" s="36"/>
      <c r="H614" s="36"/>
      <c r="I614" s="45"/>
      <c r="J614" s="38"/>
      <c r="K614" s="39"/>
    </row>
    <row r="615">
      <c r="A615" s="47"/>
      <c r="B615" s="48"/>
      <c r="C615" s="48"/>
      <c r="D615" s="48"/>
      <c r="E615" s="43"/>
      <c r="F615" s="40"/>
      <c r="G615" s="36"/>
      <c r="H615" s="36"/>
      <c r="I615" s="45"/>
      <c r="J615" s="38"/>
      <c r="K615" s="39"/>
    </row>
    <row r="616">
      <c r="A616" s="47"/>
      <c r="B616" s="48"/>
      <c r="C616" s="48"/>
      <c r="D616" s="48"/>
      <c r="E616" s="43"/>
      <c r="F616" s="40"/>
      <c r="G616" s="36"/>
      <c r="H616" s="36"/>
      <c r="I616" s="45"/>
      <c r="J616" s="38"/>
      <c r="K616" s="39"/>
    </row>
    <row r="617">
      <c r="A617" s="47"/>
      <c r="B617" s="48"/>
      <c r="C617" s="48"/>
      <c r="D617" s="48"/>
      <c r="E617" s="43"/>
      <c r="F617" s="40"/>
      <c r="G617" s="36"/>
      <c r="H617" s="36"/>
      <c r="I617" s="45"/>
      <c r="J617" s="38"/>
      <c r="K617" s="39"/>
    </row>
    <row r="618">
      <c r="A618" s="47"/>
      <c r="B618" s="48"/>
      <c r="C618" s="48"/>
      <c r="D618" s="48"/>
      <c r="E618" s="43"/>
      <c r="F618" s="40"/>
      <c r="G618" s="36"/>
      <c r="H618" s="36"/>
      <c r="I618" s="45"/>
      <c r="J618" s="38"/>
      <c r="K618" s="39"/>
    </row>
    <row r="619">
      <c r="A619" s="47"/>
      <c r="B619" s="48"/>
      <c r="C619" s="48"/>
      <c r="D619" s="48"/>
      <c r="E619" s="43"/>
      <c r="F619" s="40"/>
      <c r="G619" s="36"/>
      <c r="H619" s="36"/>
      <c r="I619" s="45"/>
      <c r="J619" s="38"/>
      <c r="K619" s="39"/>
    </row>
    <row r="620">
      <c r="A620" s="47"/>
      <c r="B620" s="48"/>
      <c r="C620" s="48"/>
      <c r="D620" s="48"/>
      <c r="E620" s="43"/>
      <c r="F620" s="40"/>
      <c r="G620" s="36"/>
      <c r="H620" s="36"/>
      <c r="I620" s="45"/>
      <c r="J620" s="38"/>
      <c r="K620" s="39"/>
    </row>
    <row r="621">
      <c r="A621" s="47"/>
      <c r="B621" s="48"/>
      <c r="C621" s="48"/>
      <c r="D621" s="48"/>
      <c r="E621" s="43"/>
      <c r="F621" s="40"/>
      <c r="G621" s="36"/>
      <c r="H621" s="36"/>
      <c r="I621" s="45"/>
      <c r="J621" s="38"/>
      <c r="K621" s="39"/>
    </row>
    <row r="622">
      <c r="A622" s="47"/>
      <c r="B622" s="48"/>
      <c r="C622" s="48"/>
      <c r="D622" s="48"/>
      <c r="E622" s="43"/>
      <c r="F622" s="40"/>
      <c r="G622" s="36"/>
      <c r="H622" s="36"/>
      <c r="I622" s="45"/>
      <c r="J622" s="38"/>
      <c r="K622" s="39"/>
    </row>
    <row r="623">
      <c r="A623" s="47"/>
      <c r="B623" s="48"/>
      <c r="C623" s="48"/>
      <c r="D623" s="48"/>
      <c r="E623" s="43"/>
      <c r="F623" s="40"/>
      <c r="G623" s="36"/>
      <c r="H623" s="36"/>
      <c r="I623" s="45"/>
      <c r="J623" s="38"/>
      <c r="K623" s="39"/>
    </row>
    <row r="624">
      <c r="A624" s="47"/>
      <c r="B624" s="48"/>
      <c r="C624" s="48"/>
      <c r="D624" s="48"/>
      <c r="E624" s="43"/>
      <c r="F624" s="40"/>
      <c r="G624" s="36"/>
      <c r="H624" s="36"/>
      <c r="I624" s="45"/>
      <c r="J624" s="38"/>
      <c r="K624" s="39"/>
    </row>
    <row r="625">
      <c r="A625" s="47"/>
      <c r="B625" s="48"/>
      <c r="C625" s="48"/>
      <c r="D625" s="48"/>
      <c r="E625" s="43"/>
      <c r="F625" s="40"/>
      <c r="G625" s="36"/>
      <c r="H625" s="36"/>
      <c r="I625" s="45"/>
      <c r="J625" s="38"/>
      <c r="K625" s="39"/>
    </row>
    <row r="626">
      <c r="A626" s="47"/>
      <c r="B626" s="48"/>
      <c r="C626" s="48"/>
      <c r="D626" s="48"/>
      <c r="E626" s="43"/>
      <c r="F626" s="40"/>
      <c r="G626" s="36"/>
      <c r="H626" s="36"/>
      <c r="I626" s="45"/>
      <c r="J626" s="38"/>
      <c r="K626" s="39"/>
    </row>
    <row r="627">
      <c r="A627" s="47"/>
      <c r="B627" s="48"/>
      <c r="C627" s="48"/>
      <c r="D627" s="48"/>
      <c r="E627" s="43"/>
      <c r="F627" s="40"/>
      <c r="G627" s="36"/>
      <c r="H627" s="36"/>
      <c r="I627" s="45"/>
      <c r="J627" s="38"/>
      <c r="K627" s="39"/>
    </row>
    <row r="628">
      <c r="A628" s="47"/>
      <c r="B628" s="48"/>
      <c r="C628" s="48"/>
      <c r="D628" s="48"/>
      <c r="E628" s="43"/>
      <c r="F628" s="40"/>
      <c r="G628" s="36"/>
      <c r="H628" s="36"/>
      <c r="I628" s="45"/>
      <c r="J628" s="38"/>
      <c r="K628" s="39"/>
    </row>
    <row r="629">
      <c r="A629" s="47"/>
      <c r="B629" s="48"/>
      <c r="C629" s="48"/>
      <c r="D629" s="48"/>
      <c r="E629" s="43"/>
      <c r="F629" s="40"/>
      <c r="G629" s="36"/>
      <c r="H629" s="36"/>
      <c r="I629" s="45"/>
      <c r="J629" s="38"/>
      <c r="K629" s="39"/>
    </row>
    <row r="630">
      <c r="A630" s="47"/>
      <c r="B630" s="48"/>
      <c r="C630" s="48"/>
      <c r="D630" s="48"/>
      <c r="E630" s="43"/>
      <c r="F630" s="40"/>
      <c r="G630" s="36"/>
      <c r="H630" s="36"/>
      <c r="I630" s="45"/>
      <c r="J630" s="38"/>
      <c r="K630" s="39"/>
    </row>
    <row r="631">
      <c r="A631" s="47"/>
      <c r="B631" s="48"/>
      <c r="C631" s="48"/>
      <c r="D631" s="48"/>
      <c r="E631" s="43"/>
      <c r="F631" s="40"/>
      <c r="G631" s="36"/>
      <c r="H631" s="36"/>
      <c r="I631" s="45"/>
      <c r="J631" s="38"/>
      <c r="K631" s="39"/>
    </row>
    <row r="632">
      <c r="A632" s="47"/>
      <c r="B632" s="48"/>
      <c r="C632" s="48"/>
      <c r="D632" s="48"/>
      <c r="E632" s="43"/>
      <c r="F632" s="40"/>
      <c r="G632" s="36"/>
      <c r="H632" s="36"/>
      <c r="I632" s="45"/>
      <c r="J632" s="38"/>
      <c r="K632" s="39"/>
    </row>
    <row r="633">
      <c r="A633" s="47"/>
      <c r="B633" s="48"/>
      <c r="C633" s="48"/>
      <c r="D633" s="48"/>
      <c r="E633" s="43"/>
      <c r="F633" s="40"/>
      <c r="G633" s="36"/>
      <c r="H633" s="36"/>
      <c r="I633" s="45"/>
      <c r="J633" s="38"/>
      <c r="K633" s="39"/>
    </row>
    <row r="634">
      <c r="A634" s="47"/>
      <c r="B634" s="48"/>
      <c r="C634" s="48"/>
      <c r="D634" s="48"/>
      <c r="E634" s="43"/>
      <c r="F634" s="40"/>
      <c r="G634" s="36"/>
      <c r="H634" s="36"/>
      <c r="I634" s="45"/>
      <c r="J634" s="38"/>
      <c r="K634" s="39"/>
    </row>
    <row r="635">
      <c r="A635" s="47"/>
      <c r="B635" s="48"/>
      <c r="C635" s="48"/>
      <c r="D635" s="48"/>
      <c r="E635" s="43"/>
      <c r="F635" s="40"/>
      <c r="G635" s="36"/>
      <c r="H635" s="36"/>
      <c r="I635" s="45"/>
      <c r="J635" s="38"/>
      <c r="K635" s="39"/>
    </row>
    <row r="636">
      <c r="A636" s="47"/>
      <c r="B636" s="48"/>
      <c r="C636" s="48"/>
      <c r="D636" s="48"/>
      <c r="E636" s="43"/>
      <c r="F636" s="40"/>
      <c r="G636" s="36"/>
      <c r="H636" s="36"/>
      <c r="I636" s="45"/>
      <c r="J636" s="38"/>
      <c r="K636" s="39"/>
    </row>
    <row r="637">
      <c r="A637" s="47"/>
      <c r="B637" s="48"/>
      <c r="C637" s="48"/>
      <c r="D637" s="48"/>
      <c r="E637" s="43"/>
      <c r="F637" s="40"/>
      <c r="G637" s="36"/>
      <c r="H637" s="36"/>
      <c r="I637" s="45"/>
      <c r="J637" s="38"/>
      <c r="K637" s="39"/>
    </row>
    <row r="638">
      <c r="A638" s="47"/>
      <c r="B638" s="48"/>
      <c r="C638" s="48"/>
      <c r="D638" s="48"/>
      <c r="E638" s="43"/>
      <c r="F638" s="40"/>
      <c r="G638" s="36"/>
      <c r="H638" s="36"/>
      <c r="I638" s="45"/>
      <c r="J638" s="38"/>
      <c r="K638" s="39"/>
    </row>
    <row r="639">
      <c r="A639" s="47"/>
      <c r="B639" s="48"/>
      <c r="C639" s="48"/>
      <c r="D639" s="48"/>
      <c r="E639" s="43"/>
      <c r="F639" s="40"/>
      <c r="G639" s="36"/>
      <c r="H639" s="36"/>
      <c r="I639" s="45"/>
      <c r="J639" s="38"/>
      <c r="K639" s="39"/>
    </row>
    <row r="640">
      <c r="A640" s="47"/>
      <c r="B640" s="48"/>
      <c r="C640" s="48"/>
      <c r="D640" s="48"/>
      <c r="E640" s="43"/>
      <c r="F640" s="40"/>
      <c r="G640" s="36"/>
      <c r="H640" s="36"/>
      <c r="I640" s="45"/>
      <c r="J640" s="38"/>
      <c r="K640" s="39"/>
    </row>
    <row r="641">
      <c r="A641" s="47"/>
      <c r="B641" s="48"/>
      <c r="C641" s="48"/>
      <c r="D641" s="48"/>
      <c r="E641" s="43"/>
      <c r="F641" s="40"/>
      <c r="G641" s="36"/>
      <c r="H641" s="36"/>
      <c r="I641" s="45"/>
      <c r="J641" s="38"/>
      <c r="K641" s="39"/>
    </row>
    <row r="642">
      <c r="A642" s="47"/>
      <c r="B642" s="48"/>
      <c r="C642" s="48"/>
      <c r="D642" s="48"/>
      <c r="E642" s="43"/>
      <c r="F642" s="40"/>
      <c r="G642" s="36"/>
      <c r="H642" s="36"/>
      <c r="I642" s="45"/>
      <c r="J642" s="38"/>
      <c r="K642" s="39"/>
    </row>
    <row r="643">
      <c r="A643" s="47"/>
      <c r="B643" s="48"/>
      <c r="C643" s="48"/>
      <c r="D643" s="48"/>
      <c r="E643" s="43"/>
      <c r="F643" s="40"/>
      <c r="G643" s="36"/>
      <c r="H643" s="36"/>
      <c r="I643" s="45"/>
      <c r="J643" s="38"/>
      <c r="K643" s="39"/>
    </row>
    <row r="644">
      <c r="A644" s="47"/>
      <c r="B644" s="48"/>
      <c r="C644" s="48"/>
      <c r="D644" s="48"/>
      <c r="E644" s="43"/>
      <c r="F644" s="40"/>
      <c r="G644" s="36"/>
      <c r="H644" s="36"/>
      <c r="I644" s="45"/>
      <c r="J644" s="38"/>
      <c r="K644" s="39"/>
    </row>
    <row r="645">
      <c r="A645" s="47"/>
      <c r="B645" s="48"/>
      <c r="C645" s="48"/>
      <c r="D645" s="48"/>
      <c r="E645" s="43"/>
      <c r="F645" s="40"/>
      <c r="G645" s="36"/>
      <c r="H645" s="36"/>
      <c r="I645" s="45"/>
      <c r="J645" s="38"/>
      <c r="K645" s="39"/>
    </row>
    <row r="646">
      <c r="A646" s="47"/>
      <c r="B646" s="48"/>
      <c r="C646" s="48"/>
      <c r="D646" s="48"/>
      <c r="E646" s="43"/>
      <c r="F646" s="40"/>
      <c r="G646" s="36"/>
      <c r="H646" s="36"/>
      <c r="I646" s="45"/>
      <c r="J646" s="38"/>
      <c r="K646" s="39"/>
    </row>
    <row r="647">
      <c r="A647" s="47"/>
      <c r="B647" s="48"/>
      <c r="C647" s="48"/>
      <c r="D647" s="48"/>
      <c r="E647" s="43"/>
      <c r="F647" s="40"/>
      <c r="G647" s="36"/>
      <c r="H647" s="36"/>
      <c r="I647" s="45"/>
      <c r="J647" s="38"/>
      <c r="K647" s="39"/>
    </row>
    <row r="648">
      <c r="A648" s="47"/>
      <c r="B648" s="48"/>
      <c r="C648" s="48"/>
      <c r="D648" s="48"/>
      <c r="E648" s="43"/>
      <c r="F648" s="40"/>
      <c r="G648" s="36"/>
      <c r="H648" s="36"/>
      <c r="I648" s="45"/>
      <c r="J648" s="38"/>
      <c r="K648" s="39"/>
    </row>
    <row r="649">
      <c r="A649" s="47"/>
      <c r="B649" s="48"/>
      <c r="C649" s="48"/>
      <c r="D649" s="48"/>
      <c r="E649" s="43"/>
      <c r="F649" s="40"/>
      <c r="G649" s="36"/>
      <c r="H649" s="36"/>
      <c r="I649" s="45"/>
      <c r="J649" s="38"/>
      <c r="K649" s="39"/>
    </row>
    <row r="650">
      <c r="A650" s="47"/>
      <c r="B650" s="48"/>
      <c r="C650" s="48"/>
      <c r="D650" s="48"/>
      <c r="E650" s="43"/>
      <c r="F650" s="40"/>
      <c r="G650" s="36"/>
      <c r="H650" s="36"/>
      <c r="I650" s="45"/>
      <c r="J650" s="38"/>
      <c r="K650" s="39"/>
    </row>
    <row r="651">
      <c r="A651" s="47"/>
      <c r="B651" s="48"/>
      <c r="C651" s="48"/>
      <c r="D651" s="48"/>
      <c r="E651" s="43"/>
      <c r="F651" s="40"/>
      <c r="G651" s="36"/>
      <c r="H651" s="36"/>
      <c r="I651" s="45"/>
      <c r="J651" s="38"/>
      <c r="K651" s="39"/>
    </row>
    <row r="652">
      <c r="A652" s="47"/>
      <c r="B652" s="48"/>
      <c r="C652" s="48"/>
      <c r="D652" s="48"/>
      <c r="E652" s="43"/>
      <c r="F652" s="40"/>
      <c r="G652" s="36"/>
      <c r="H652" s="36"/>
      <c r="I652" s="45"/>
      <c r="J652" s="38"/>
      <c r="K652" s="39"/>
    </row>
    <row r="653">
      <c r="A653" s="47"/>
      <c r="B653" s="48"/>
      <c r="C653" s="48"/>
      <c r="D653" s="48"/>
      <c r="E653" s="43"/>
      <c r="F653" s="40"/>
      <c r="G653" s="36"/>
      <c r="H653" s="36"/>
      <c r="I653" s="45"/>
      <c r="J653" s="38"/>
      <c r="K653" s="39"/>
    </row>
    <row r="654">
      <c r="A654" s="47"/>
      <c r="B654" s="48"/>
      <c r="C654" s="48"/>
      <c r="D654" s="48"/>
      <c r="E654" s="43"/>
      <c r="F654" s="40"/>
      <c r="G654" s="36"/>
      <c r="H654" s="36"/>
      <c r="I654" s="45"/>
      <c r="J654" s="38"/>
      <c r="K654" s="39"/>
    </row>
    <row r="655">
      <c r="A655" s="47"/>
      <c r="B655" s="48"/>
      <c r="C655" s="48"/>
      <c r="D655" s="48"/>
      <c r="E655" s="43"/>
      <c r="F655" s="40"/>
      <c r="G655" s="36"/>
      <c r="H655" s="36"/>
      <c r="I655" s="45"/>
      <c r="J655" s="38"/>
      <c r="K655" s="39"/>
    </row>
    <row r="656">
      <c r="A656" s="47"/>
      <c r="B656" s="48"/>
      <c r="C656" s="48"/>
      <c r="D656" s="48"/>
      <c r="E656" s="43"/>
      <c r="F656" s="40"/>
      <c r="G656" s="36"/>
      <c r="H656" s="36"/>
      <c r="I656" s="45"/>
      <c r="J656" s="38"/>
      <c r="K656" s="39"/>
    </row>
    <row r="657">
      <c r="A657" s="47"/>
      <c r="B657" s="48"/>
      <c r="C657" s="48"/>
      <c r="D657" s="48"/>
      <c r="E657" s="43"/>
      <c r="F657" s="40"/>
      <c r="G657" s="36"/>
      <c r="H657" s="36"/>
      <c r="I657" s="45"/>
      <c r="J657" s="38"/>
      <c r="K657" s="39"/>
    </row>
    <row r="658">
      <c r="A658" s="47"/>
      <c r="B658" s="48"/>
      <c r="C658" s="48"/>
      <c r="D658" s="48"/>
      <c r="E658" s="43"/>
      <c r="F658" s="40"/>
      <c r="G658" s="36"/>
      <c r="H658" s="36"/>
      <c r="I658" s="45"/>
      <c r="J658" s="38"/>
      <c r="K658" s="39"/>
    </row>
    <row r="659">
      <c r="A659" s="47"/>
      <c r="B659" s="48"/>
      <c r="C659" s="48"/>
      <c r="D659" s="48"/>
      <c r="E659" s="43"/>
      <c r="F659" s="40"/>
      <c r="G659" s="36"/>
      <c r="H659" s="36"/>
      <c r="I659" s="45"/>
      <c r="J659" s="38"/>
      <c r="K659" s="39"/>
    </row>
    <row r="660">
      <c r="A660" s="47"/>
      <c r="B660" s="48"/>
      <c r="C660" s="48"/>
      <c r="D660" s="48"/>
      <c r="E660" s="43"/>
      <c r="F660" s="40"/>
      <c r="G660" s="36"/>
      <c r="H660" s="36"/>
      <c r="I660" s="45"/>
      <c r="J660" s="38"/>
      <c r="K660" s="39"/>
    </row>
    <row r="661">
      <c r="A661" s="47"/>
      <c r="B661" s="48"/>
      <c r="C661" s="48"/>
      <c r="D661" s="48"/>
      <c r="E661" s="43"/>
      <c r="F661" s="40"/>
      <c r="G661" s="36"/>
      <c r="H661" s="36"/>
      <c r="I661" s="45"/>
      <c r="J661" s="38"/>
      <c r="K661" s="39"/>
    </row>
    <row r="662">
      <c r="A662" s="47"/>
      <c r="B662" s="48"/>
      <c r="C662" s="48"/>
      <c r="D662" s="48"/>
      <c r="E662" s="43"/>
      <c r="F662" s="40"/>
      <c r="G662" s="36"/>
      <c r="H662" s="36"/>
      <c r="I662" s="45"/>
      <c r="J662" s="38"/>
      <c r="K662" s="39"/>
    </row>
    <row r="663">
      <c r="A663" s="47"/>
      <c r="B663" s="48"/>
      <c r="C663" s="48"/>
      <c r="D663" s="48"/>
      <c r="E663" s="43"/>
      <c r="F663" s="40"/>
      <c r="G663" s="36"/>
      <c r="H663" s="36"/>
      <c r="I663" s="45"/>
      <c r="J663" s="38"/>
      <c r="K663" s="39"/>
    </row>
    <row r="664">
      <c r="A664" s="47"/>
      <c r="B664" s="48"/>
      <c r="C664" s="48"/>
      <c r="D664" s="48"/>
      <c r="E664" s="43"/>
      <c r="F664" s="40"/>
      <c r="G664" s="36"/>
      <c r="H664" s="36"/>
      <c r="I664" s="45"/>
      <c r="J664" s="38"/>
      <c r="K664" s="39"/>
    </row>
    <row r="665">
      <c r="A665" s="47"/>
      <c r="B665" s="48"/>
      <c r="C665" s="48"/>
      <c r="D665" s="48"/>
      <c r="E665" s="43"/>
      <c r="F665" s="40"/>
      <c r="G665" s="36"/>
      <c r="H665" s="36"/>
      <c r="I665" s="45"/>
      <c r="J665" s="38"/>
      <c r="K665" s="39"/>
    </row>
    <row r="666">
      <c r="A666" s="47"/>
      <c r="B666" s="48"/>
      <c r="C666" s="48"/>
      <c r="D666" s="48"/>
      <c r="E666" s="43"/>
      <c r="F666" s="40"/>
      <c r="G666" s="36"/>
      <c r="H666" s="36"/>
      <c r="I666" s="45"/>
      <c r="J666" s="38"/>
      <c r="K666" s="39"/>
    </row>
    <row r="667">
      <c r="A667" s="47"/>
      <c r="B667" s="48"/>
      <c r="C667" s="48"/>
      <c r="D667" s="48"/>
      <c r="E667" s="43"/>
      <c r="F667" s="40"/>
      <c r="G667" s="36"/>
      <c r="H667" s="36"/>
      <c r="I667" s="45"/>
      <c r="J667" s="38"/>
      <c r="K667" s="39"/>
    </row>
    <row r="668">
      <c r="A668" s="47"/>
      <c r="B668" s="48"/>
      <c r="C668" s="48"/>
      <c r="D668" s="48"/>
      <c r="E668" s="43"/>
      <c r="F668" s="40"/>
      <c r="G668" s="36"/>
      <c r="H668" s="36"/>
      <c r="I668" s="45"/>
      <c r="J668" s="38"/>
      <c r="K668" s="39"/>
    </row>
    <row r="669">
      <c r="A669" s="47"/>
      <c r="B669" s="48"/>
      <c r="C669" s="48"/>
      <c r="D669" s="48"/>
      <c r="E669" s="43"/>
      <c r="F669" s="40"/>
      <c r="G669" s="36"/>
      <c r="H669" s="36"/>
      <c r="I669" s="45"/>
      <c r="J669" s="38"/>
      <c r="K669" s="39"/>
    </row>
    <row r="670">
      <c r="A670" s="47"/>
      <c r="B670" s="48"/>
      <c r="C670" s="48"/>
      <c r="D670" s="48"/>
      <c r="E670" s="43"/>
      <c r="F670" s="40"/>
      <c r="G670" s="36"/>
      <c r="H670" s="36"/>
      <c r="I670" s="45"/>
      <c r="J670" s="38"/>
      <c r="K670" s="39"/>
    </row>
    <row r="671">
      <c r="A671" s="47"/>
      <c r="B671" s="48"/>
      <c r="C671" s="48"/>
      <c r="D671" s="48"/>
      <c r="E671" s="43"/>
      <c r="F671" s="40"/>
      <c r="G671" s="36"/>
      <c r="H671" s="36"/>
      <c r="I671" s="45"/>
      <c r="J671" s="38"/>
      <c r="K671" s="39"/>
    </row>
    <row r="672">
      <c r="A672" s="47"/>
      <c r="B672" s="48"/>
      <c r="C672" s="48"/>
      <c r="D672" s="48"/>
      <c r="E672" s="43"/>
      <c r="F672" s="40"/>
      <c r="G672" s="36"/>
      <c r="H672" s="36"/>
      <c r="I672" s="45"/>
      <c r="J672" s="38"/>
      <c r="K672" s="39"/>
    </row>
    <row r="673">
      <c r="A673" s="47"/>
      <c r="B673" s="48"/>
      <c r="C673" s="48"/>
      <c r="D673" s="48"/>
      <c r="E673" s="43"/>
      <c r="F673" s="40"/>
      <c r="G673" s="36"/>
      <c r="H673" s="36"/>
      <c r="I673" s="45"/>
      <c r="J673" s="38"/>
      <c r="K673" s="39"/>
    </row>
    <row r="674">
      <c r="A674" s="47"/>
      <c r="B674" s="48"/>
      <c r="C674" s="48"/>
      <c r="D674" s="48"/>
      <c r="E674" s="43"/>
      <c r="F674" s="40"/>
      <c r="G674" s="36"/>
      <c r="H674" s="36"/>
      <c r="I674" s="45"/>
      <c r="J674" s="38"/>
      <c r="K674" s="39"/>
    </row>
    <row r="675">
      <c r="A675" s="47"/>
      <c r="B675" s="48"/>
      <c r="C675" s="48"/>
      <c r="D675" s="48"/>
      <c r="E675" s="43"/>
      <c r="F675" s="40"/>
      <c r="G675" s="36"/>
      <c r="H675" s="36"/>
      <c r="I675" s="45"/>
      <c r="J675" s="38"/>
      <c r="K675" s="39"/>
    </row>
    <row r="676">
      <c r="A676" s="47"/>
      <c r="B676" s="48"/>
      <c r="C676" s="48"/>
      <c r="D676" s="48"/>
      <c r="E676" s="43"/>
      <c r="F676" s="40"/>
      <c r="G676" s="36"/>
      <c r="H676" s="36"/>
      <c r="I676" s="45"/>
      <c r="J676" s="38"/>
      <c r="K676" s="39"/>
    </row>
    <row r="677">
      <c r="A677" s="47"/>
      <c r="B677" s="48"/>
      <c r="C677" s="48"/>
      <c r="D677" s="48"/>
      <c r="E677" s="43"/>
      <c r="F677" s="40"/>
      <c r="G677" s="36"/>
      <c r="H677" s="36"/>
      <c r="I677" s="45"/>
      <c r="J677" s="38"/>
      <c r="K677" s="39"/>
    </row>
    <row r="678">
      <c r="A678" s="47"/>
      <c r="B678" s="48"/>
      <c r="C678" s="48"/>
      <c r="D678" s="48"/>
      <c r="E678" s="43"/>
      <c r="F678" s="40"/>
      <c r="G678" s="36"/>
      <c r="H678" s="36"/>
      <c r="I678" s="45"/>
      <c r="J678" s="38"/>
      <c r="K678" s="39"/>
    </row>
    <row r="679">
      <c r="A679" s="47"/>
      <c r="B679" s="48"/>
      <c r="C679" s="48"/>
      <c r="D679" s="48"/>
      <c r="E679" s="43"/>
      <c r="F679" s="40"/>
      <c r="G679" s="36"/>
      <c r="H679" s="36"/>
      <c r="I679" s="45"/>
      <c r="J679" s="38"/>
      <c r="K679" s="39"/>
    </row>
    <row r="680">
      <c r="A680" s="47"/>
      <c r="B680" s="48"/>
      <c r="C680" s="48"/>
      <c r="D680" s="48"/>
      <c r="E680" s="43"/>
      <c r="F680" s="40"/>
      <c r="G680" s="36"/>
      <c r="H680" s="36"/>
      <c r="I680" s="45"/>
      <c r="J680" s="38"/>
      <c r="K680" s="39"/>
    </row>
    <row r="681">
      <c r="A681" s="47"/>
      <c r="B681" s="48"/>
      <c r="C681" s="48"/>
      <c r="D681" s="48"/>
      <c r="E681" s="43"/>
      <c r="F681" s="40"/>
      <c r="G681" s="36"/>
      <c r="H681" s="36"/>
      <c r="I681" s="45"/>
      <c r="J681" s="38"/>
      <c r="K681" s="39"/>
    </row>
    <row r="682">
      <c r="A682" s="47"/>
      <c r="B682" s="48"/>
      <c r="C682" s="48"/>
      <c r="D682" s="48"/>
      <c r="E682" s="43"/>
      <c r="F682" s="40"/>
      <c r="G682" s="36"/>
      <c r="H682" s="36"/>
      <c r="I682" s="45"/>
      <c r="J682" s="38"/>
      <c r="K682" s="39"/>
    </row>
    <row r="683">
      <c r="A683" s="47"/>
      <c r="B683" s="48"/>
      <c r="C683" s="48"/>
      <c r="D683" s="48"/>
      <c r="E683" s="43"/>
      <c r="F683" s="40"/>
      <c r="G683" s="36"/>
      <c r="H683" s="36"/>
      <c r="I683" s="45"/>
      <c r="J683" s="38"/>
      <c r="K683" s="39"/>
    </row>
    <row r="684">
      <c r="A684" s="47"/>
      <c r="B684" s="48"/>
      <c r="C684" s="48"/>
      <c r="D684" s="48"/>
      <c r="E684" s="43"/>
      <c r="F684" s="40"/>
      <c r="G684" s="36"/>
      <c r="H684" s="36"/>
      <c r="I684" s="45"/>
      <c r="J684" s="38"/>
      <c r="K684" s="39"/>
    </row>
    <row r="685">
      <c r="A685" s="47"/>
      <c r="B685" s="48"/>
      <c r="C685" s="48"/>
      <c r="D685" s="48"/>
      <c r="E685" s="43"/>
      <c r="F685" s="40"/>
      <c r="G685" s="36"/>
      <c r="H685" s="36"/>
      <c r="I685" s="45"/>
      <c r="J685" s="38"/>
      <c r="K685" s="39"/>
    </row>
    <row r="686">
      <c r="A686" s="47"/>
      <c r="B686" s="48"/>
      <c r="C686" s="48"/>
      <c r="D686" s="48"/>
      <c r="E686" s="43"/>
      <c r="F686" s="40"/>
      <c r="G686" s="36"/>
      <c r="H686" s="36"/>
      <c r="I686" s="45"/>
      <c r="J686" s="38"/>
      <c r="K686" s="39"/>
    </row>
    <row r="687">
      <c r="A687" s="47"/>
      <c r="B687" s="48"/>
      <c r="C687" s="48"/>
      <c r="D687" s="48"/>
      <c r="E687" s="43"/>
      <c r="F687" s="40"/>
      <c r="G687" s="36"/>
      <c r="H687" s="36"/>
      <c r="I687" s="45"/>
      <c r="J687" s="38"/>
      <c r="K687" s="39"/>
    </row>
    <row r="688">
      <c r="A688" s="47"/>
      <c r="B688" s="48"/>
      <c r="C688" s="48"/>
      <c r="D688" s="48"/>
      <c r="E688" s="43"/>
      <c r="F688" s="40"/>
      <c r="G688" s="36"/>
      <c r="H688" s="36"/>
      <c r="I688" s="45"/>
      <c r="J688" s="38"/>
      <c r="K688" s="39"/>
    </row>
    <row r="689">
      <c r="A689" s="47"/>
      <c r="B689" s="48"/>
      <c r="C689" s="48"/>
      <c r="D689" s="48"/>
      <c r="E689" s="43"/>
      <c r="F689" s="40"/>
      <c r="G689" s="36"/>
      <c r="H689" s="36"/>
      <c r="I689" s="45"/>
      <c r="J689" s="38"/>
      <c r="K689" s="39"/>
    </row>
    <row r="690">
      <c r="A690" s="47"/>
      <c r="B690" s="48"/>
      <c r="C690" s="48"/>
      <c r="D690" s="48"/>
      <c r="E690" s="43"/>
      <c r="F690" s="40"/>
      <c r="G690" s="36"/>
      <c r="H690" s="36"/>
      <c r="I690" s="45"/>
      <c r="J690" s="38"/>
      <c r="K690" s="39"/>
    </row>
    <row r="691">
      <c r="A691" s="47"/>
      <c r="B691" s="48"/>
      <c r="C691" s="48"/>
      <c r="D691" s="48"/>
      <c r="E691" s="43"/>
      <c r="F691" s="40"/>
      <c r="G691" s="36"/>
      <c r="H691" s="36"/>
      <c r="I691" s="45"/>
      <c r="J691" s="38"/>
      <c r="K691" s="39"/>
    </row>
    <row r="692">
      <c r="A692" s="47"/>
      <c r="B692" s="48"/>
      <c r="C692" s="48"/>
      <c r="D692" s="48"/>
      <c r="E692" s="43"/>
      <c r="F692" s="40"/>
      <c r="G692" s="36"/>
      <c r="H692" s="36"/>
      <c r="I692" s="45"/>
      <c r="J692" s="38"/>
      <c r="K692" s="39"/>
    </row>
    <row r="693">
      <c r="A693" s="47"/>
      <c r="B693" s="48"/>
      <c r="C693" s="48"/>
      <c r="D693" s="48"/>
      <c r="E693" s="43"/>
      <c r="F693" s="40"/>
      <c r="G693" s="36"/>
      <c r="H693" s="36"/>
      <c r="I693" s="45"/>
      <c r="J693" s="38"/>
      <c r="K693" s="39"/>
    </row>
    <row r="694">
      <c r="A694" s="47"/>
      <c r="B694" s="48"/>
      <c r="C694" s="48"/>
      <c r="D694" s="48"/>
      <c r="E694" s="43"/>
      <c r="F694" s="40"/>
      <c r="G694" s="36"/>
      <c r="H694" s="36"/>
      <c r="I694" s="45"/>
      <c r="J694" s="38"/>
      <c r="K694" s="39"/>
    </row>
    <row r="695">
      <c r="A695" s="47"/>
      <c r="B695" s="48"/>
      <c r="C695" s="48"/>
      <c r="D695" s="48"/>
      <c r="E695" s="43"/>
      <c r="F695" s="40"/>
      <c r="G695" s="36"/>
      <c r="H695" s="36"/>
      <c r="I695" s="45"/>
      <c r="J695" s="38"/>
      <c r="K695" s="39"/>
    </row>
    <row r="696">
      <c r="A696" s="47"/>
      <c r="B696" s="48"/>
      <c r="C696" s="48"/>
      <c r="D696" s="48"/>
      <c r="E696" s="43"/>
      <c r="F696" s="40"/>
      <c r="G696" s="36"/>
      <c r="H696" s="36"/>
      <c r="I696" s="45"/>
      <c r="J696" s="38"/>
      <c r="K696" s="39"/>
    </row>
    <row r="697">
      <c r="A697" s="47"/>
      <c r="B697" s="48"/>
      <c r="C697" s="48"/>
      <c r="D697" s="48"/>
      <c r="E697" s="43"/>
      <c r="F697" s="40"/>
      <c r="G697" s="36"/>
      <c r="H697" s="36"/>
      <c r="I697" s="45"/>
      <c r="J697" s="38"/>
      <c r="K697" s="39"/>
    </row>
    <row r="698">
      <c r="A698" s="47"/>
      <c r="B698" s="48"/>
      <c r="C698" s="48"/>
      <c r="D698" s="48"/>
      <c r="E698" s="43"/>
      <c r="F698" s="40"/>
      <c r="G698" s="36"/>
      <c r="H698" s="36"/>
      <c r="I698" s="45"/>
      <c r="J698" s="38"/>
      <c r="K698" s="39"/>
    </row>
    <row r="699">
      <c r="A699" s="47"/>
      <c r="B699" s="48"/>
      <c r="C699" s="48"/>
      <c r="D699" s="48"/>
      <c r="E699" s="43"/>
      <c r="F699" s="40"/>
      <c r="G699" s="36"/>
      <c r="H699" s="36"/>
      <c r="I699" s="45"/>
      <c r="J699" s="38"/>
      <c r="K699" s="39"/>
    </row>
    <row r="700">
      <c r="A700" s="47"/>
      <c r="B700" s="48"/>
      <c r="C700" s="48"/>
      <c r="D700" s="48"/>
      <c r="E700" s="43"/>
      <c r="F700" s="40"/>
      <c r="G700" s="36"/>
      <c r="H700" s="36"/>
      <c r="I700" s="45"/>
      <c r="J700" s="38"/>
      <c r="K700" s="39"/>
    </row>
    <row r="701">
      <c r="A701" s="47"/>
      <c r="B701" s="48"/>
      <c r="C701" s="48"/>
      <c r="D701" s="48"/>
      <c r="E701" s="43"/>
      <c r="F701" s="40"/>
      <c r="G701" s="36"/>
      <c r="H701" s="36"/>
      <c r="I701" s="45"/>
      <c r="J701" s="38"/>
      <c r="K701" s="39"/>
    </row>
    <row r="702">
      <c r="A702" s="47"/>
      <c r="B702" s="48"/>
      <c r="C702" s="48"/>
      <c r="D702" s="48"/>
      <c r="E702" s="43"/>
      <c r="F702" s="40"/>
      <c r="G702" s="36"/>
      <c r="H702" s="36"/>
      <c r="I702" s="45"/>
      <c r="J702" s="38"/>
      <c r="K702" s="39"/>
    </row>
    <row r="703">
      <c r="A703" s="47"/>
      <c r="B703" s="48"/>
      <c r="C703" s="48"/>
      <c r="D703" s="48"/>
      <c r="E703" s="43"/>
      <c r="F703" s="40"/>
      <c r="G703" s="36"/>
      <c r="H703" s="36"/>
      <c r="I703" s="45"/>
      <c r="J703" s="38"/>
      <c r="K703" s="39"/>
    </row>
    <row r="704">
      <c r="A704" s="47"/>
      <c r="B704" s="48"/>
      <c r="C704" s="48"/>
      <c r="D704" s="48"/>
      <c r="E704" s="43"/>
      <c r="F704" s="40"/>
      <c r="G704" s="36"/>
      <c r="H704" s="36"/>
      <c r="I704" s="45"/>
      <c r="J704" s="38"/>
      <c r="K704" s="39"/>
    </row>
    <row r="705">
      <c r="A705" s="47"/>
      <c r="B705" s="48"/>
      <c r="C705" s="48"/>
      <c r="D705" s="48"/>
      <c r="E705" s="43"/>
      <c r="F705" s="40"/>
      <c r="G705" s="36"/>
      <c r="H705" s="36"/>
      <c r="I705" s="45"/>
      <c r="J705" s="38"/>
      <c r="K705" s="39"/>
    </row>
    <row r="706">
      <c r="A706" s="47"/>
      <c r="B706" s="48"/>
      <c r="C706" s="48"/>
      <c r="D706" s="48"/>
      <c r="E706" s="43"/>
      <c r="F706" s="40"/>
      <c r="G706" s="36"/>
      <c r="H706" s="36"/>
      <c r="I706" s="45"/>
      <c r="J706" s="38"/>
      <c r="K706" s="39"/>
    </row>
    <row r="707">
      <c r="A707" s="47"/>
      <c r="B707" s="48"/>
      <c r="C707" s="48"/>
      <c r="D707" s="48"/>
      <c r="E707" s="43"/>
      <c r="F707" s="40"/>
      <c r="G707" s="36"/>
      <c r="H707" s="36"/>
      <c r="I707" s="45"/>
      <c r="J707" s="38"/>
      <c r="K707" s="39"/>
    </row>
    <row r="708">
      <c r="A708" s="47"/>
      <c r="B708" s="48"/>
      <c r="C708" s="48"/>
      <c r="D708" s="48"/>
      <c r="E708" s="43"/>
      <c r="F708" s="40"/>
      <c r="G708" s="36"/>
      <c r="H708" s="36"/>
      <c r="I708" s="45"/>
      <c r="J708" s="38"/>
      <c r="K708" s="39"/>
    </row>
    <row r="709">
      <c r="A709" s="47"/>
      <c r="B709" s="48"/>
      <c r="C709" s="48"/>
      <c r="D709" s="48"/>
      <c r="E709" s="43"/>
      <c r="F709" s="40"/>
      <c r="G709" s="36"/>
      <c r="H709" s="36"/>
      <c r="I709" s="45"/>
      <c r="J709" s="38"/>
      <c r="K709" s="39"/>
    </row>
    <row r="710">
      <c r="A710" s="47"/>
      <c r="B710" s="48"/>
      <c r="C710" s="48"/>
      <c r="D710" s="48"/>
      <c r="E710" s="43"/>
      <c r="F710" s="40"/>
      <c r="G710" s="36"/>
      <c r="H710" s="36"/>
      <c r="I710" s="45"/>
      <c r="J710" s="38"/>
      <c r="K710" s="39"/>
    </row>
    <row r="711">
      <c r="A711" s="47"/>
      <c r="B711" s="48"/>
      <c r="C711" s="48"/>
      <c r="D711" s="48"/>
      <c r="E711" s="43"/>
      <c r="F711" s="40"/>
      <c r="G711" s="36"/>
      <c r="H711" s="36"/>
      <c r="I711" s="45"/>
      <c r="J711" s="38"/>
      <c r="K711" s="39"/>
    </row>
    <row r="712">
      <c r="A712" s="47"/>
      <c r="B712" s="48"/>
      <c r="C712" s="48"/>
      <c r="D712" s="48"/>
      <c r="E712" s="43"/>
      <c r="F712" s="40"/>
      <c r="G712" s="36"/>
      <c r="H712" s="36"/>
      <c r="I712" s="45"/>
      <c r="J712" s="38"/>
      <c r="K712" s="39"/>
    </row>
    <row r="713">
      <c r="A713" s="47"/>
      <c r="B713" s="48"/>
      <c r="C713" s="48"/>
      <c r="D713" s="48"/>
      <c r="E713" s="43"/>
      <c r="F713" s="40"/>
      <c r="G713" s="36"/>
      <c r="H713" s="36"/>
      <c r="I713" s="45"/>
      <c r="J713" s="38"/>
      <c r="K713" s="39"/>
    </row>
    <row r="714">
      <c r="A714" s="47"/>
      <c r="B714" s="48"/>
      <c r="C714" s="48"/>
      <c r="D714" s="48"/>
      <c r="E714" s="43"/>
      <c r="F714" s="40"/>
      <c r="G714" s="36"/>
      <c r="H714" s="36"/>
      <c r="I714" s="45"/>
      <c r="J714" s="38"/>
      <c r="K714" s="39"/>
    </row>
    <row r="715">
      <c r="A715" s="47"/>
      <c r="B715" s="48"/>
      <c r="C715" s="48"/>
      <c r="D715" s="48"/>
      <c r="E715" s="43"/>
      <c r="F715" s="40"/>
      <c r="G715" s="36"/>
      <c r="H715" s="36"/>
      <c r="I715" s="45"/>
      <c r="J715" s="38"/>
      <c r="K715" s="39"/>
    </row>
    <row r="716">
      <c r="A716" s="47"/>
      <c r="B716" s="48"/>
      <c r="C716" s="48"/>
      <c r="D716" s="48"/>
      <c r="E716" s="43"/>
      <c r="F716" s="40"/>
      <c r="G716" s="36"/>
      <c r="H716" s="36"/>
      <c r="I716" s="45"/>
      <c r="J716" s="38"/>
      <c r="K716" s="39"/>
    </row>
    <row r="717">
      <c r="A717" s="47"/>
      <c r="B717" s="48"/>
      <c r="C717" s="48"/>
      <c r="D717" s="48"/>
      <c r="E717" s="43"/>
      <c r="F717" s="40"/>
      <c r="G717" s="36"/>
      <c r="H717" s="36"/>
      <c r="I717" s="45"/>
      <c r="J717" s="38"/>
      <c r="K717" s="39"/>
    </row>
    <row r="718">
      <c r="A718" s="47"/>
      <c r="B718" s="48"/>
      <c r="C718" s="48"/>
      <c r="D718" s="48"/>
      <c r="E718" s="43"/>
      <c r="F718" s="40"/>
      <c r="G718" s="36"/>
      <c r="H718" s="36"/>
      <c r="I718" s="45"/>
      <c r="J718" s="38"/>
      <c r="K718" s="39"/>
    </row>
    <row r="719">
      <c r="A719" s="47"/>
      <c r="B719" s="48"/>
      <c r="C719" s="48"/>
      <c r="D719" s="48"/>
      <c r="E719" s="43"/>
      <c r="F719" s="40"/>
      <c r="G719" s="36"/>
      <c r="H719" s="36"/>
      <c r="I719" s="45"/>
      <c r="J719" s="38"/>
      <c r="K719" s="39"/>
    </row>
    <row r="720">
      <c r="A720" s="47"/>
      <c r="B720" s="48"/>
      <c r="C720" s="48"/>
      <c r="D720" s="48"/>
      <c r="E720" s="43"/>
      <c r="F720" s="40"/>
      <c r="G720" s="36"/>
      <c r="H720" s="36"/>
      <c r="I720" s="45"/>
      <c r="J720" s="38"/>
      <c r="K720" s="39"/>
    </row>
    <row r="721">
      <c r="A721" s="47"/>
      <c r="B721" s="48"/>
      <c r="C721" s="48"/>
      <c r="D721" s="48"/>
      <c r="E721" s="43"/>
      <c r="F721" s="40"/>
      <c r="G721" s="36"/>
      <c r="H721" s="36"/>
      <c r="I721" s="45"/>
      <c r="J721" s="38"/>
      <c r="K721" s="39"/>
    </row>
    <row r="722">
      <c r="A722" s="47"/>
      <c r="B722" s="48"/>
      <c r="C722" s="48"/>
      <c r="D722" s="48"/>
      <c r="E722" s="43"/>
      <c r="F722" s="40"/>
      <c r="G722" s="36"/>
      <c r="H722" s="36"/>
      <c r="I722" s="45"/>
      <c r="J722" s="38"/>
      <c r="K722" s="39"/>
    </row>
    <row r="723">
      <c r="A723" s="47"/>
      <c r="B723" s="48"/>
      <c r="C723" s="48"/>
      <c r="D723" s="48"/>
      <c r="E723" s="43"/>
      <c r="F723" s="40"/>
      <c r="G723" s="36"/>
      <c r="H723" s="36"/>
      <c r="I723" s="45"/>
      <c r="J723" s="38"/>
      <c r="K723" s="39"/>
    </row>
    <row r="724">
      <c r="A724" s="47"/>
      <c r="B724" s="48"/>
      <c r="C724" s="48"/>
      <c r="D724" s="48"/>
      <c r="E724" s="43"/>
      <c r="F724" s="40"/>
      <c r="G724" s="36"/>
      <c r="H724" s="36"/>
      <c r="I724" s="45"/>
      <c r="J724" s="38"/>
      <c r="K724" s="39"/>
    </row>
    <row r="725">
      <c r="A725" s="47"/>
      <c r="B725" s="48"/>
      <c r="C725" s="48"/>
      <c r="D725" s="48"/>
      <c r="E725" s="43"/>
      <c r="F725" s="40"/>
      <c r="G725" s="36"/>
      <c r="H725" s="36"/>
      <c r="I725" s="45"/>
      <c r="J725" s="38"/>
      <c r="K725" s="39"/>
    </row>
    <row r="726">
      <c r="A726" s="47"/>
      <c r="B726" s="48"/>
      <c r="C726" s="48"/>
      <c r="D726" s="48"/>
      <c r="E726" s="43"/>
      <c r="F726" s="40"/>
      <c r="G726" s="36"/>
      <c r="H726" s="36"/>
      <c r="I726" s="45"/>
      <c r="J726" s="38"/>
      <c r="K726" s="39"/>
    </row>
    <row r="727">
      <c r="A727" s="47"/>
      <c r="B727" s="48"/>
      <c r="C727" s="48"/>
      <c r="D727" s="48"/>
      <c r="E727" s="43"/>
      <c r="F727" s="40"/>
      <c r="G727" s="36"/>
      <c r="H727" s="36"/>
      <c r="I727" s="45"/>
      <c r="J727" s="38"/>
      <c r="K727" s="39"/>
    </row>
    <row r="728">
      <c r="A728" s="47"/>
      <c r="B728" s="48"/>
      <c r="C728" s="48"/>
      <c r="D728" s="48"/>
      <c r="E728" s="43"/>
      <c r="F728" s="40"/>
      <c r="G728" s="36"/>
      <c r="H728" s="36"/>
      <c r="I728" s="45"/>
      <c r="J728" s="38"/>
      <c r="K728" s="39"/>
    </row>
    <row r="729">
      <c r="A729" s="47"/>
      <c r="B729" s="48"/>
      <c r="C729" s="48"/>
      <c r="D729" s="48"/>
      <c r="E729" s="43"/>
      <c r="F729" s="40"/>
      <c r="G729" s="36"/>
      <c r="H729" s="36"/>
      <c r="I729" s="45"/>
      <c r="J729" s="38"/>
      <c r="K729" s="39"/>
    </row>
    <row r="730">
      <c r="A730" s="47"/>
      <c r="B730" s="48"/>
      <c r="C730" s="48"/>
      <c r="D730" s="48"/>
      <c r="E730" s="43"/>
      <c r="F730" s="40"/>
      <c r="G730" s="36"/>
      <c r="H730" s="36"/>
      <c r="I730" s="45"/>
      <c r="J730" s="38"/>
      <c r="K730" s="39"/>
    </row>
    <row r="731">
      <c r="A731" s="47"/>
      <c r="B731" s="48"/>
      <c r="C731" s="48"/>
      <c r="D731" s="48"/>
      <c r="E731" s="43"/>
      <c r="F731" s="40"/>
      <c r="G731" s="36"/>
      <c r="H731" s="36"/>
      <c r="I731" s="45"/>
      <c r="J731" s="38"/>
      <c r="K731" s="39"/>
    </row>
    <row r="732">
      <c r="A732" s="47"/>
      <c r="B732" s="48"/>
      <c r="C732" s="48"/>
      <c r="D732" s="48"/>
      <c r="E732" s="43"/>
      <c r="F732" s="40"/>
      <c r="G732" s="36"/>
      <c r="H732" s="36"/>
      <c r="I732" s="45"/>
      <c r="J732" s="38"/>
      <c r="K732" s="39"/>
    </row>
    <row r="733">
      <c r="A733" s="47"/>
      <c r="B733" s="48"/>
      <c r="C733" s="48"/>
      <c r="D733" s="48"/>
      <c r="E733" s="43"/>
      <c r="F733" s="40"/>
      <c r="G733" s="36"/>
      <c r="H733" s="36"/>
      <c r="I733" s="45"/>
      <c r="J733" s="38"/>
      <c r="K733" s="39"/>
    </row>
    <row r="734">
      <c r="A734" s="47"/>
      <c r="B734" s="48"/>
      <c r="C734" s="48"/>
      <c r="D734" s="48"/>
      <c r="E734" s="43"/>
      <c r="F734" s="40"/>
      <c r="G734" s="36"/>
      <c r="H734" s="36"/>
      <c r="I734" s="45"/>
      <c r="J734" s="38"/>
      <c r="K734" s="39"/>
    </row>
    <row r="735">
      <c r="A735" s="47"/>
      <c r="B735" s="48"/>
      <c r="C735" s="48"/>
      <c r="D735" s="48"/>
      <c r="E735" s="43"/>
      <c r="F735" s="40"/>
      <c r="G735" s="36"/>
      <c r="H735" s="36"/>
      <c r="I735" s="45"/>
      <c r="J735" s="38"/>
      <c r="K735" s="39"/>
    </row>
    <row r="736">
      <c r="A736" s="47"/>
      <c r="B736" s="48"/>
      <c r="C736" s="48"/>
      <c r="D736" s="48"/>
      <c r="E736" s="43"/>
      <c r="F736" s="40"/>
      <c r="G736" s="36"/>
      <c r="H736" s="36"/>
      <c r="I736" s="45"/>
      <c r="J736" s="38"/>
      <c r="K736" s="39"/>
    </row>
    <row r="737">
      <c r="A737" s="47"/>
      <c r="B737" s="48"/>
      <c r="C737" s="48"/>
      <c r="D737" s="48"/>
      <c r="E737" s="43"/>
      <c r="F737" s="40"/>
      <c r="G737" s="36"/>
      <c r="H737" s="36"/>
      <c r="I737" s="45"/>
      <c r="J737" s="38"/>
      <c r="K737" s="39"/>
    </row>
    <row r="738">
      <c r="A738" s="47"/>
      <c r="B738" s="48"/>
      <c r="C738" s="48"/>
      <c r="D738" s="48"/>
      <c r="E738" s="43"/>
      <c r="F738" s="40"/>
      <c r="G738" s="36"/>
      <c r="H738" s="36"/>
      <c r="I738" s="45"/>
      <c r="J738" s="38"/>
      <c r="K738" s="39"/>
    </row>
    <row r="739">
      <c r="A739" s="47"/>
      <c r="B739" s="48"/>
      <c r="C739" s="48"/>
      <c r="D739" s="48"/>
      <c r="E739" s="43"/>
      <c r="F739" s="40"/>
      <c r="G739" s="36"/>
      <c r="H739" s="36"/>
      <c r="I739" s="45"/>
      <c r="J739" s="38"/>
      <c r="K739" s="39"/>
    </row>
    <row r="740">
      <c r="A740" s="47"/>
      <c r="B740" s="48"/>
      <c r="C740" s="48"/>
      <c r="D740" s="48"/>
      <c r="E740" s="43"/>
      <c r="F740" s="40"/>
      <c r="G740" s="36"/>
      <c r="H740" s="36"/>
      <c r="I740" s="45"/>
      <c r="J740" s="38"/>
      <c r="K740" s="39"/>
    </row>
    <row r="741">
      <c r="A741" s="47"/>
      <c r="B741" s="48"/>
      <c r="C741" s="48"/>
      <c r="D741" s="48"/>
      <c r="E741" s="43"/>
      <c r="F741" s="40"/>
      <c r="G741" s="36"/>
      <c r="H741" s="36"/>
      <c r="I741" s="45"/>
      <c r="J741" s="38"/>
      <c r="K741" s="39"/>
    </row>
    <row r="742">
      <c r="A742" s="47"/>
      <c r="B742" s="48"/>
      <c r="C742" s="48"/>
      <c r="D742" s="48"/>
      <c r="E742" s="43"/>
      <c r="F742" s="40"/>
      <c r="G742" s="36"/>
      <c r="H742" s="36"/>
      <c r="I742" s="45"/>
      <c r="J742" s="38"/>
      <c r="K742" s="39"/>
    </row>
    <row r="743">
      <c r="A743" s="47"/>
      <c r="B743" s="48"/>
      <c r="C743" s="48"/>
      <c r="D743" s="48"/>
      <c r="E743" s="43"/>
      <c r="F743" s="40"/>
      <c r="G743" s="36"/>
      <c r="H743" s="36"/>
      <c r="I743" s="45"/>
      <c r="J743" s="38"/>
      <c r="K743" s="39"/>
    </row>
    <row r="744">
      <c r="A744" s="47"/>
      <c r="B744" s="48"/>
      <c r="C744" s="48"/>
      <c r="D744" s="48"/>
      <c r="E744" s="43"/>
      <c r="F744" s="40"/>
      <c r="G744" s="36"/>
      <c r="H744" s="36"/>
      <c r="I744" s="45"/>
      <c r="J744" s="38"/>
      <c r="K744" s="39"/>
    </row>
    <row r="745">
      <c r="A745" s="47"/>
      <c r="B745" s="48"/>
      <c r="C745" s="48"/>
      <c r="D745" s="48"/>
      <c r="E745" s="43"/>
      <c r="F745" s="40"/>
      <c r="G745" s="36"/>
      <c r="H745" s="36"/>
      <c r="I745" s="45"/>
      <c r="J745" s="38"/>
      <c r="K745" s="39"/>
    </row>
    <row r="746">
      <c r="A746" s="47"/>
      <c r="B746" s="48"/>
      <c r="C746" s="48"/>
      <c r="D746" s="48"/>
      <c r="E746" s="43"/>
      <c r="F746" s="40"/>
      <c r="G746" s="36"/>
      <c r="H746" s="36"/>
      <c r="I746" s="45"/>
      <c r="J746" s="38"/>
      <c r="K746" s="39"/>
    </row>
    <row r="747">
      <c r="A747" s="47"/>
      <c r="B747" s="48"/>
      <c r="C747" s="48"/>
      <c r="D747" s="48"/>
      <c r="E747" s="43"/>
      <c r="F747" s="40"/>
      <c r="G747" s="36"/>
      <c r="H747" s="36"/>
      <c r="I747" s="45"/>
      <c r="J747" s="38"/>
      <c r="K747" s="39"/>
    </row>
    <row r="748">
      <c r="A748" s="47"/>
      <c r="B748" s="48"/>
      <c r="C748" s="48"/>
      <c r="D748" s="48"/>
      <c r="E748" s="43"/>
      <c r="F748" s="40"/>
      <c r="G748" s="36"/>
      <c r="H748" s="36"/>
      <c r="I748" s="45"/>
      <c r="J748" s="38"/>
      <c r="K748" s="39"/>
    </row>
    <row r="749">
      <c r="A749" s="47"/>
      <c r="B749" s="48"/>
      <c r="C749" s="48"/>
      <c r="D749" s="48"/>
      <c r="E749" s="43"/>
      <c r="F749" s="40"/>
      <c r="G749" s="36"/>
      <c r="H749" s="36"/>
      <c r="I749" s="45"/>
      <c r="J749" s="38"/>
      <c r="K749" s="39"/>
    </row>
    <row r="750">
      <c r="A750" s="47"/>
      <c r="B750" s="48"/>
      <c r="C750" s="48"/>
      <c r="D750" s="48"/>
      <c r="E750" s="43"/>
      <c r="F750" s="40"/>
      <c r="G750" s="36"/>
      <c r="H750" s="36"/>
      <c r="I750" s="45"/>
      <c r="J750" s="38"/>
      <c r="K750" s="39"/>
    </row>
    <row r="751">
      <c r="A751" s="47"/>
      <c r="B751" s="48"/>
      <c r="C751" s="48"/>
      <c r="D751" s="48"/>
      <c r="E751" s="43"/>
      <c r="F751" s="40"/>
      <c r="G751" s="36"/>
      <c r="H751" s="36"/>
      <c r="I751" s="45"/>
      <c r="J751" s="38"/>
      <c r="K751" s="39"/>
    </row>
    <row r="752">
      <c r="A752" s="47"/>
      <c r="B752" s="48"/>
      <c r="C752" s="48"/>
      <c r="D752" s="48"/>
      <c r="E752" s="43"/>
      <c r="F752" s="40"/>
      <c r="G752" s="36"/>
      <c r="H752" s="36"/>
      <c r="I752" s="45"/>
      <c r="J752" s="38"/>
      <c r="K752" s="39"/>
    </row>
    <row r="753">
      <c r="A753" s="47"/>
      <c r="B753" s="48"/>
      <c r="C753" s="48"/>
      <c r="D753" s="48"/>
      <c r="E753" s="43"/>
      <c r="F753" s="40"/>
      <c r="G753" s="36"/>
      <c r="H753" s="36"/>
      <c r="I753" s="45"/>
      <c r="J753" s="38"/>
      <c r="K753" s="39"/>
    </row>
    <row r="754">
      <c r="A754" s="47"/>
      <c r="B754" s="48"/>
      <c r="C754" s="48"/>
      <c r="D754" s="48"/>
      <c r="E754" s="43"/>
      <c r="F754" s="40"/>
      <c r="G754" s="36"/>
      <c r="H754" s="36"/>
      <c r="I754" s="45"/>
      <c r="J754" s="38"/>
      <c r="K754" s="39"/>
    </row>
    <row r="755">
      <c r="A755" s="47"/>
      <c r="B755" s="48"/>
      <c r="C755" s="48"/>
      <c r="D755" s="48"/>
      <c r="E755" s="43"/>
      <c r="F755" s="40"/>
      <c r="G755" s="36"/>
      <c r="H755" s="36"/>
      <c r="I755" s="45"/>
      <c r="J755" s="38"/>
      <c r="K755" s="39"/>
    </row>
    <row r="756">
      <c r="A756" s="47"/>
      <c r="B756" s="48"/>
      <c r="C756" s="48"/>
      <c r="D756" s="48"/>
      <c r="E756" s="43"/>
      <c r="F756" s="40"/>
      <c r="G756" s="36"/>
      <c r="H756" s="36"/>
      <c r="I756" s="45"/>
      <c r="J756" s="38"/>
      <c r="K756" s="39"/>
    </row>
    <row r="757">
      <c r="A757" s="47"/>
      <c r="B757" s="48"/>
      <c r="C757" s="48"/>
      <c r="D757" s="48"/>
      <c r="E757" s="43"/>
      <c r="F757" s="40"/>
      <c r="G757" s="36"/>
      <c r="H757" s="36"/>
      <c r="I757" s="45"/>
      <c r="J757" s="38"/>
      <c r="K757" s="39"/>
    </row>
    <row r="758">
      <c r="A758" s="47"/>
      <c r="B758" s="48"/>
      <c r="C758" s="48"/>
      <c r="D758" s="48"/>
      <c r="E758" s="43"/>
      <c r="F758" s="40"/>
      <c r="G758" s="36"/>
      <c r="H758" s="36"/>
      <c r="I758" s="45"/>
      <c r="J758" s="38"/>
      <c r="K758" s="39"/>
    </row>
    <row r="759">
      <c r="A759" s="47"/>
      <c r="B759" s="48"/>
      <c r="C759" s="48"/>
      <c r="D759" s="48"/>
      <c r="E759" s="43"/>
      <c r="F759" s="40"/>
      <c r="G759" s="36"/>
      <c r="H759" s="36"/>
      <c r="I759" s="45"/>
      <c r="J759" s="38"/>
      <c r="K759" s="39"/>
    </row>
    <row r="760">
      <c r="A760" s="47"/>
      <c r="B760" s="48"/>
      <c r="C760" s="48"/>
      <c r="D760" s="48"/>
      <c r="E760" s="43"/>
      <c r="F760" s="40"/>
      <c r="G760" s="36"/>
      <c r="H760" s="36"/>
      <c r="I760" s="45"/>
      <c r="J760" s="38"/>
      <c r="K760" s="39"/>
    </row>
    <row r="761">
      <c r="A761" s="47"/>
      <c r="B761" s="48"/>
      <c r="C761" s="48"/>
      <c r="D761" s="48"/>
      <c r="E761" s="43"/>
      <c r="F761" s="40"/>
      <c r="G761" s="36"/>
      <c r="H761" s="36"/>
      <c r="I761" s="45"/>
      <c r="J761" s="38"/>
      <c r="K761" s="39"/>
    </row>
    <row r="762">
      <c r="A762" s="47"/>
      <c r="B762" s="48"/>
      <c r="C762" s="48"/>
      <c r="D762" s="48"/>
      <c r="E762" s="43"/>
      <c r="F762" s="40"/>
      <c r="G762" s="36"/>
      <c r="H762" s="36"/>
      <c r="I762" s="45"/>
      <c r="J762" s="38"/>
      <c r="K762" s="39"/>
    </row>
    <row r="763">
      <c r="A763" s="47"/>
      <c r="B763" s="48"/>
      <c r="C763" s="48"/>
      <c r="D763" s="48"/>
      <c r="E763" s="43"/>
      <c r="F763" s="40"/>
      <c r="G763" s="36"/>
      <c r="H763" s="36"/>
      <c r="I763" s="45"/>
      <c r="J763" s="38"/>
      <c r="K763" s="39"/>
    </row>
    <row r="764">
      <c r="A764" s="47"/>
      <c r="B764" s="48"/>
      <c r="C764" s="48"/>
      <c r="D764" s="48"/>
      <c r="E764" s="43"/>
      <c r="F764" s="40"/>
      <c r="G764" s="36"/>
      <c r="H764" s="36"/>
      <c r="I764" s="45"/>
      <c r="J764" s="38"/>
      <c r="K764" s="39"/>
    </row>
    <row r="765">
      <c r="A765" s="47"/>
      <c r="B765" s="48"/>
      <c r="C765" s="48"/>
      <c r="D765" s="48"/>
      <c r="E765" s="43"/>
      <c r="F765" s="40"/>
      <c r="G765" s="36"/>
      <c r="H765" s="36"/>
      <c r="I765" s="45"/>
      <c r="J765" s="38"/>
      <c r="K765" s="39"/>
    </row>
    <row r="766">
      <c r="A766" s="47"/>
      <c r="B766" s="48"/>
      <c r="C766" s="48"/>
      <c r="D766" s="48"/>
      <c r="E766" s="43"/>
      <c r="F766" s="40"/>
      <c r="G766" s="36"/>
      <c r="H766" s="36"/>
      <c r="I766" s="45"/>
      <c r="J766" s="38"/>
      <c r="K766" s="39"/>
    </row>
    <row r="767">
      <c r="A767" s="47"/>
      <c r="B767" s="48"/>
      <c r="C767" s="48"/>
      <c r="D767" s="48"/>
      <c r="E767" s="43"/>
      <c r="F767" s="40"/>
      <c r="G767" s="36"/>
      <c r="H767" s="36"/>
      <c r="I767" s="45"/>
      <c r="J767" s="38"/>
      <c r="K767" s="39"/>
    </row>
    <row r="768">
      <c r="A768" s="47"/>
      <c r="B768" s="48"/>
      <c r="C768" s="48"/>
      <c r="D768" s="48"/>
      <c r="E768" s="43"/>
      <c r="F768" s="40"/>
      <c r="G768" s="36"/>
      <c r="H768" s="36"/>
      <c r="I768" s="45"/>
      <c r="J768" s="38"/>
      <c r="K768" s="39"/>
    </row>
    <row r="769">
      <c r="A769" s="47"/>
      <c r="B769" s="48"/>
      <c r="C769" s="48"/>
      <c r="D769" s="48"/>
      <c r="E769" s="43"/>
      <c r="F769" s="40"/>
      <c r="G769" s="36"/>
      <c r="H769" s="36"/>
      <c r="I769" s="45"/>
      <c r="J769" s="38"/>
      <c r="K769" s="39"/>
    </row>
    <row r="770">
      <c r="A770" s="47"/>
      <c r="B770" s="48"/>
      <c r="C770" s="48"/>
      <c r="D770" s="48"/>
      <c r="E770" s="43"/>
      <c r="F770" s="40"/>
      <c r="G770" s="36"/>
      <c r="H770" s="36"/>
      <c r="I770" s="45"/>
      <c r="J770" s="38"/>
      <c r="K770" s="39"/>
    </row>
    <row r="771">
      <c r="A771" s="47"/>
      <c r="B771" s="48"/>
      <c r="C771" s="48"/>
      <c r="D771" s="48"/>
      <c r="E771" s="43"/>
      <c r="F771" s="40"/>
      <c r="G771" s="36"/>
      <c r="H771" s="36"/>
      <c r="I771" s="45"/>
      <c r="J771" s="38"/>
      <c r="K771" s="39"/>
    </row>
    <row r="772">
      <c r="A772" s="47"/>
      <c r="B772" s="48"/>
      <c r="C772" s="48"/>
      <c r="D772" s="48"/>
      <c r="E772" s="43"/>
      <c r="F772" s="40"/>
      <c r="G772" s="36"/>
      <c r="H772" s="36"/>
      <c r="I772" s="45"/>
      <c r="J772" s="38"/>
      <c r="K772" s="39"/>
    </row>
    <row r="773">
      <c r="A773" s="47"/>
      <c r="B773" s="48"/>
      <c r="C773" s="48"/>
      <c r="D773" s="48"/>
      <c r="E773" s="43"/>
      <c r="F773" s="40"/>
      <c r="G773" s="36"/>
      <c r="H773" s="36"/>
      <c r="I773" s="45"/>
      <c r="J773" s="38"/>
      <c r="K773" s="39"/>
    </row>
    <row r="774">
      <c r="A774" s="47"/>
      <c r="B774" s="48"/>
      <c r="C774" s="48"/>
      <c r="D774" s="48"/>
      <c r="E774" s="43"/>
      <c r="F774" s="40"/>
      <c r="G774" s="36"/>
      <c r="H774" s="36"/>
      <c r="I774" s="45"/>
      <c r="J774" s="38"/>
      <c r="K774" s="39"/>
    </row>
    <row r="775">
      <c r="A775" s="47"/>
      <c r="B775" s="48"/>
      <c r="C775" s="48"/>
      <c r="D775" s="48"/>
      <c r="E775" s="43"/>
      <c r="F775" s="40"/>
      <c r="G775" s="36"/>
      <c r="H775" s="36"/>
      <c r="I775" s="45"/>
      <c r="J775" s="38"/>
      <c r="K775" s="39"/>
    </row>
    <row r="776">
      <c r="A776" s="47"/>
      <c r="B776" s="48"/>
      <c r="C776" s="48"/>
      <c r="D776" s="48"/>
      <c r="E776" s="43"/>
      <c r="F776" s="40"/>
      <c r="G776" s="36"/>
      <c r="H776" s="36"/>
      <c r="I776" s="45"/>
      <c r="J776" s="38"/>
      <c r="K776" s="39"/>
    </row>
    <row r="777">
      <c r="A777" s="47"/>
      <c r="B777" s="48"/>
      <c r="C777" s="48"/>
      <c r="D777" s="48"/>
      <c r="E777" s="43"/>
      <c r="F777" s="40"/>
      <c r="G777" s="36"/>
      <c r="H777" s="36"/>
      <c r="I777" s="45"/>
      <c r="J777" s="38"/>
      <c r="K777" s="39"/>
    </row>
    <row r="778">
      <c r="A778" s="47"/>
      <c r="B778" s="48"/>
      <c r="C778" s="48"/>
      <c r="D778" s="48"/>
      <c r="E778" s="43"/>
      <c r="F778" s="40"/>
      <c r="G778" s="36"/>
      <c r="H778" s="36"/>
      <c r="I778" s="45"/>
      <c r="J778" s="38"/>
      <c r="K778" s="39"/>
    </row>
    <row r="779">
      <c r="A779" s="47"/>
      <c r="B779" s="48"/>
      <c r="C779" s="48"/>
      <c r="D779" s="48"/>
      <c r="E779" s="43"/>
      <c r="F779" s="40"/>
      <c r="G779" s="36"/>
      <c r="H779" s="36"/>
      <c r="I779" s="45"/>
      <c r="J779" s="38"/>
      <c r="K779" s="39"/>
    </row>
    <row r="780">
      <c r="A780" s="47"/>
      <c r="B780" s="48"/>
      <c r="C780" s="48"/>
      <c r="D780" s="48"/>
      <c r="E780" s="43"/>
      <c r="F780" s="40"/>
      <c r="G780" s="36"/>
      <c r="H780" s="36"/>
      <c r="I780" s="45"/>
      <c r="J780" s="38"/>
      <c r="K780" s="39"/>
    </row>
    <row r="781">
      <c r="A781" s="47"/>
      <c r="B781" s="48"/>
      <c r="C781" s="48"/>
      <c r="D781" s="48"/>
      <c r="E781" s="43"/>
      <c r="F781" s="40"/>
      <c r="G781" s="36"/>
      <c r="H781" s="36"/>
      <c r="I781" s="45"/>
      <c r="J781" s="38"/>
      <c r="K781" s="39"/>
    </row>
    <row r="782">
      <c r="A782" s="47"/>
      <c r="B782" s="48"/>
      <c r="C782" s="48"/>
      <c r="D782" s="48"/>
      <c r="E782" s="43"/>
      <c r="F782" s="40"/>
      <c r="G782" s="36"/>
      <c r="H782" s="36"/>
      <c r="I782" s="45"/>
      <c r="J782" s="38"/>
      <c r="K782" s="39"/>
    </row>
    <row r="783">
      <c r="A783" s="47"/>
      <c r="B783" s="48"/>
      <c r="C783" s="48"/>
      <c r="D783" s="48"/>
      <c r="E783" s="43"/>
      <c r="F783" s="40"/>
      <c r="G783" s="36"/>
      <c r="H783" s="36"/>
      <c r="I783" s="45"/>
      <c r="J783" s="38"/>
      <c r="K783" s="39"/>
    </row>
    <row r="784">
      <c r="A784" s="47"/>
      <c r="B784" s="48"/>
      <c r="C784" s="48"/>
      <c r="D784" s="48"/>
      <c r="E784" s="43"/>
      <c r="F784" s="40"/>
      <c r="G784" s="36"/>
      <c r="H784" s="36"/>
      <c r="I784" s="45"/>
      <c r="J784" s="38"/>
      <c r="K784" s="39"/>
    </row>
    <row r="785">
      <c r="A785" s="47"/>
      <c r="B785" s="48"/>
      <c r="C785" s="48"/>
      <c r="D785" s="48"/>
      <c r="E785" s="43"/>
      <c r="F785" s="40"/>
      <c r="G785" s="36"/>
      <c r="H785" s="36"/>
      <c r="I785" s="45"/>
      <c r="J785" s="38"/>
      <c r="K785" s="39"/>
    </row>
    <row r="786">
      <c r="A786" s="47"/>
      <c r="B786" s="48"/>
      <c r="C786" s="48"/>
      <c r="D786" s="48"/>
      <c r="E786" s="43"/>
      <c r="F786" s="40"/>
      <c r="G786" s="36"/>
      <c r="H786" s="36"/>
      <c r="I786" s="45"/>
      <c r="J786" s="38"/>
      <c r="K786" s="39"/>
    </row>
    <row r="787">
      <c r="A787" s="47"/>
      <c r="B787" s="48"/>
      <c r="C787" s="48"/>
      <c r="D787" s="48"/>
      <c r="E787" s="43"/>
      <c r="F787" s="40"/>
      <c r="G787" s="36"/>
      <c r="H787" s="36"/>
      <c r="I787" s="45"/>
      <c r="J787" s="38"/>
      <c r="K787" s="39"/>
    </row>
    <row r="788">
      <c r="A788" s="47"/>
      <c r="B788" s="48"/>
      <c r="C788" s="48"/>
      <c r="D788" s="48"/>
      <c r="E788" s="43"/>
      <c r="F788" s="40"/>
      <c r="G788" s="36"/>
      <c r="H788" s="36"/>
      <c r="I788" s="45"/>
      <c r="J788" s="38"/>
      <c r="K788" s="39"/>
    </row>
    <row r="789">
      <c r="A789" s="47"/>
      <c r="B789" s="48"/>
      <c r="C789" s="48"/>
      <c r="D789" s="48"/>
      <c r="E789" s="43"/>
      <c r="F789" s="40"/>
      <c r="G789" s="36"/>
      <c r="H789" s="36"/>
      <c r="I789" s="45"/>
      <c r="J789" s="38"/>
      <c r="K789" s="39"/>
    </row>
    <row r="790">
      <c r="A790" s="47"/>
      <c r="B790" s="48"/>
      <c r="C790" s="48"/>
      <c r="D790" s="48"/>
      <c r="E790" s="43"/>
      <c r="F790" s="40"/>
      <c r="G790" s="36"/>
      <c r="H790" s="36"/>
      <c r="I790" s="45"/>
      <c r="J790" s="38"/>
      <c r="K790" s="39"/>
    </row>
    <row r="791">
      <c r="A791" s="47"/>
      <c r="B791" s="48"/>
      <c r="C791" s="48"/>
      <c r="D791" s="48"/>
      <c r="E791" s="43"/>
      <c r="F791" s="40"/>
      <c r="G791" s="36"/>
      <c r="H791" s="36"/>
      <c r="I791" s="45"/>
      <c r="J791" s="38"/>
      <c r="K791" s="39"/>
    </row>
    <row r="792">
      <c r="A792" s="47"/>
      <c r="B792" s="48"/>
      <c r="C792" s="48"/>
      <c r="D792" s="48"/>
      <c r="E792" s="43"/>
      <c r="F792" s="40"/>
      <c r="G792" s="36"/>
      <c r="H792" s="36"/>
      <c r="I792" s="45"/>
      <c r="J792" s="38"/>
      <c r="K792" s="39"/>
    </row>
    <row r="793">
      <c r="A793" s="47"/>
      <c r="B793" s="48"/>
      <c r="C793" s="48"/>
      <c r="D793" s="48"/>
      <c r="E793" s="43"/>
      <c r="F793" s="40"/>
      <c r="G793" s="36"/>
      <c r="H793" s="36"/>
      <c r="I793" s="45"/>
      <c r="J793" s="38"/>
      <c r="K793" s="39"/>
    </row>
    <row r="794">
      <c r="A794" s="47"/>
      <c r="B794" s="48"/>
      <c r="C794" s="48"/>
      <c r="D794" s="48"/>
      <c r="E794" s="43"/>
      <c r="F794" s="40"/>
      <c r="G794" s="36"/>
      <c r="H794" s="36"/>
      <c r="I794" s="45"/>
      <c r="J794" s="38"/>
      <c r="K794" s="39"/>
    </row>
    <row r="795">
      <c r="A795" s="47"/>
      <c r="B795" s="48"/>
      <c r="C795" s="48"/>
      <c r="D795" s="48"/>
      <c r="E795" s="43"/>
      <c r="F795" s="40"/>
      <c r="G795" s="36"/>
      <c r="H795" s="36"/>
      <c r="I795" s="45"/>
      <c r="J795" s="38"/>
      <c r="K795" s="39"/>
    </row>
    <row r="796">
      <c r="A796" s="47"/>
      <c r="B796" s="48"/>
      <c r="C796" s="48"/>
      <c r="D796" s="48"/>
      <c r="E796" s="43"/>
      <c r="F796" s="40"/>
      <c r="G796" s="36"/>
      <c r="H796" s="36"/>
      <c r="I796" s="45"/>
      <c r="J796" s="38"/>
      <c r="K796" s="39"/>
    </row>
    <row r="797">
      <c r="A797" s="47"/>
      <c r="B797" s="48"/>
      <c r="C797" s="48"/>
      <c r="D797" s="48"/>
      <c r="E797" s="43"/>
      <c r="F797" s="40"/>
      <c r="G797" s="36"/>
      <c r="H797" s="36"/>
      <c r="I797" s="45"/>
      <c r="J797" s="38"/>
      <c r="K797" s="39"/>
    </row>
    <row r="798">
      <c r="A798" s="47"/>
      <c r="B798" s="48"/>
      <c r="C798" s="48"/>
      <c r="D798" s="48"/>
      <c r="E798" s="43"/>
      <c r="F798" s="40"/>
      <c r="G798" s="36"/>
      <c r="H798" s="36"/>
      <c r="I798" s="45"/>
      <c r="J798" s="38"/>
      <c r="K798" s="39"/>
    </row>
    <row r="799">
      <c r="A799" s="47"/>
      <c r="B799" s="48"/>
      <c r="C799" s="48"/>
      <c r="D799" s="48"/>
      <c r="E799" s="43"/>
      <c r="F799" s="40"/>
      <c r="G799" s="36"/>
      <c r="H799" s="36"/>
      <c r="I799" s="45"/>
      <c r="J799" s="38"/>
      <c r="K799" s="39"/>
    </row>
    <row r="800">
      <c r="A800" s="47"/>
      <c r="B800" s="48"/>
      <c r="C800" s="48"/>
      <c r="D800" s="48"/>
      <c r="E800" s="43"/>
      <c r="F800" s="40"/>
      <c r="G800" s="36"/>
      <c r="H800" s="36"/>
      <c r="I800" s="45"/>
      <c r="J800" s="38"/>
      <c r="K800" s="39"/>
    </row>
    <row r="801">
      <c r="A801" s="47"/>
      <c r="B801" s="48"/>
      <c r="C801" s="48"/>
      <c r="D801" s="48"/>
      <c r="E801" s="43"/>
      <c r="F801" s="40"/>
      <c r="G801" s="36"/>
      <c r="H801" s="36"/>
      <c r="I801" s="45"/>
      <c r="J801" s="38"/>
      <c r="K801" s="39"/>
    </row>
    <row r="802">
      <c r="A802" s="47"/>
      <c r="B802" s="48"/>
      <c r="C802" s="48"/>
      <c r="D802" s="48"/>
      <c r="E802" s="43"/>
      <c r="F802" s="40"/>
      <c r="G802" s="36"/>
      <c r="H802" s="36"/>
      <c r="I802" s="45"/>
      <c r="J802" s="38"/>
      <c r="K802" s="39"/>
    </row>
    <row r="803">
      <c r="A803" s="47"/>
      <c r="B803" s="48"/>
      <c r="C803" s="48"/>
      <c r="D803" s="48"/>
      <c r="E803" s="43"/>
      <c r="F803" s="40"/>
      <c r="G803" s="36"/>
      <c r="H803" s="36"/>
      <c r="I803" s="45"/>
      <c r="J803" s="38"/>
      <c r="K803" s="39"/>
    </row>
    <row r="804">
      <c r="A804" s="47"/>
      <c r="B804" s="48"/>
      <c r="C804" s="48"/>
      <c r="D804" s="48"/>
      <c r="E804" s="43"/>
      <c r="F804" s="40"/>
      <c r="G804" s="36"/>
      <c r="H804" s="36"/>
      <c r="I804" s="45"/>
      <c r="J804" s="38"/>
      <c r="K804" s="39"/>
    </row>
    <row r="805">
      <c r="A805" s="47"/>
      <c r="B805" s="48"/>
      <c r="C805" s="48"/>
      <c r="D805" s="48"/>
      <c r="E805" s="43"/>
      <c r="F805" s="40"/>
      <c r="G805" s="36"/>
      <c r="H805" s="36"/>
      <c r="I805" s="45"/>
      <c r="J805" s="38"/>
      <c r="K805" s="39"/>
    </row>
    <row r="806">
      <c r="A806" s="47"/>
      <c r="B806" s="48"/>
      <c r="C806" s="48"/>
      <c r="D806" s="48"/>
      <c r="E806" s="43"/>
      <c r="F806" s="40"/>
      <c r="G806" s="36"/>
      <c r="H806" s="36"/>
      <c r="I806" s="45"/>
      <c r="J806" s="38"/>
      <c r="K806" s="39"/>
    </row>
    <row r="807">
      <c r="A807" s="47"/>
      <c r="B807" s="48"/>
      <c r="C807" s="48"/>
      <c r="D807" s="48"/>
      <c r="E807" s="43"/>
      <c r="F807" s="40"/>
      <c r="G807" s="36"/>
      <c r="H807" s="36"/>
      <c r="I807" s="45"/>
      <c r="J807" s="38"/>
      <c r="K807" s="39"/>
    </row>
    <row r="808">
      <c r="A808" s="47"/>
      <c r="B808" s="48"/>
      <c r="C808" s="48"/>
      <c r="D808" s="48"/>
      <c r="E808" s="43"/>
      <c r="F808" s="40"/>
      <c r="G808" s="36"/>
      <c r="H808" s="36"/>
      <c r="I808" s="45"/>
      <c r="J808" s="38"/>
      <c r="K808" s="39"/>
    </row>
    <row r="809">
      <c r="A809" s="47"/>
      <c r="B809" s="48"/>
      <c r="C809" s="48"/>
      <c r="D809" s="48"/>
      <c r="E809" s="43"/>
      <c r="F809" s="40"/>
      <c r="G809" s="36"/>
      <c r="H809" s="36"/>
      <c r="I809" s="45"/>
      <c r="J809" s="38"/>
      <c r="K809" s="39"/>
    </row>
    <row r="810">
      <c r="A810" s="47"/>
      <c r="B810" s="48"/>
      <c r="C810" s="48"/>
      <c r="D810" s="48"/>
      <c r="E810" s="43"/>
      <c r="F810" s="40"/>
      <c r="G810" s="36"/>
      <c r="H810" s="36"/>
      <c r="I810" s="45"/>
      <c r="J810" s="38"/>
      <c r="K810" s="39"/>
    </row>
    <row r="811">
      <c r="A811" s="47"/>
      <c r="B811" s="48"/>
      <c r="C811" s="48"/>
      <c r="D811" s="48"/>
      <c r="E811" s="43"/>
      <c r="F811" s="40"/>
      <c r="G811" s="36"/>
      <c r="H811" s="36"/>
      <c r="I811" s="45"/>
      <c r="J811" s="38"/>
      <c r="K811" s="39"/>
    </row>
    <row r="812">
      <c r="A812" s="47"/>
      <c r="B812" s="48"/>
      <c r="C812" s="48"/>
      <c r="D812" s="48"/>
      <c r="E812" s="43"/>
      <c r="F812" s="40"/>
      <c r="G812" s="36"/>
      <c r="H812" s="36"/>
      <c r="I812" s="45"/>
      <c r="J812" s="38"/>
      <c r="K812" s="39"/>
    </row>
    <row r="813">
      <c r="A813" s="47"/>
      <c r="B813" s="48"/>
      <c r="C813" s="48"/>
      <c r="D813" s="48"/>
      <c r="E813" s="43"/>
      <c r="F813" s="40"/>
      <c r="G813" s="36"/>
      <c r="H813" s="36"/>
      <c r="I813" s="45"/>
      <c r="J813" s="38"/>
      <c r="K813" s="39"/>
    </row>
    <row r="814">
      <c r="A814" s="47"/>
      <c r="B814" s="48"/>
      <c r="C814" s="48"/>
      <c r="D814" s="48"/>
      <c r="E814" s="43"/>
      <c r="F814" s="40"/>
      <c r="G814" s="36"/>
      <c r="H814" s="36"/>
      <c r="I814" s="45"/>
      <c r="J814" s="38"/>
      <c r="K814" s="39"/>
    </row>
    <row r="815">
      <c r="A815" s="47"/>
      <c r="B815" s="48"/>
      <c r="C815" s="48"/>
      <c r="D815" s="48"/>
      <c r="E815" s="43"/>
      <c r="F815" s="40"/>
      <c r="G815" s="36"/>
      <c r="H815" s="36"/>
      <c r="I815" s="45"/>
      <c r="J815" s="38"/>
      <c r="K815" s="39"/>
    </row>
    <row r="816">
      <c r="A816" s="47"/>
      <c r="B816" s="48"/>
      <c r="C816" s="48"/>
      <c r="D816" s="48"/>
      <c r="E816" s="43"/>
      <c r="F816" s="40"/>
      <c r="G816" s="36"/>
      <c r="H816" s="36"/>
      <c r="I816" s="45"/>
      <c r="J816" s="38"/>
      <c r="K816" s="39"/>
    </row>
    <row r="817">
      <c r="A817" s="47"/>
      <c r="B817" s="48"/>
      <c r="C817" s="48"/>
      <c r="D817" s="48"/>
      <c r="E817" s="43"/>
      <c r="F817" s="40"/>
      <c r="G817" s="36"/>
      <c r="H817" s="36"/>
      <c r="I817" s="45"/>
      <c r="J817" s="38"/>
      <c r="K817" s="39"/>
    </row>
    <row r="818">
      <c r="A818" s="47"/>
      <c r="B818" s="48"/>
      <c r="C818" s="48"/>
      <c r="D818" s="48"/>
      <c r="E818" s="43"/>
      <c r="F818" s="40"/>
      <c r="G818" s="36"/>
      <c r="H818" s="36"/>
      <c r="I818" s="45"/>
      <c r="J818" s="38"/>
      <c r="K818" s="39"/>
    </row>
    <row r="819">
      <c r="A819" s="47"/>
      <c r="B819" s="48"/>
      <c r="C819" s="48"/>
      <c r="D819" s="48"/>
      <c r="E819" s="43"/>
      <c r="F819" s="40"/>
      <c r="G819" s="36"/>
      <c r="H819" s="36"/>
      <c r="I819" s="45"/>
      <c r="J819" s="38"/>
      <c r="K819" s="39"/>
    </row>
    <row r="820">
      <c r="A820" s="47"/>
      <c r="B820" s="48"/>
      <c r="C820" s="48"/>
      <c r="D820" s="48"/>
      <c r="E820" s="43"/>
      <c r="F820" s="40"/>
      <c r="G820" s="36"/>
      <c r="H820" s="36"/>
      <c r="I820" s="45"/>
      <c r="J820" s="38"/>
      <c r="K820" s="39"/>
    </row>
    <row r="821">
      <c r="A821" s="47"/>
      <c r="B821" s="48"/>
      <c r="C821" s="48"/>
      <c r="D821" s="48"/>
      <c r="E821" s="43"/>
      <c r="F821" s="40"/>
      <c r="G821" s="36"/>
      <c r="H821" s="36"/>
      <c r="I821" s="45"/>
      <c r="J821" s="38"/>
      <c r="K821" s="39"/>
    </row>
    <row r="822">
      <c r="A822" s="47"/>
      <c r="B822" s="48"/>
      <c r="C822" s="48"/>
      <c r="D822" s="48"/>
      <c r="E822" s="43"/>
      <c r="F822" s="40"/>
      <c r="G822" s="36"/>
      <c r="H822" s="36"/>
      <c r="I822" s="45"/>
      <c r="J822" s="38"/>
      <c r="K822" s="39"/>
    </row>
    <row r="823">
      <c r="A823" s="47"/>
      <c r="B823" s="48"/>
      <c r="C823" s="48"/>
      <c r="D823" s="48"/>
      <c r="E823" s="43"/>
      <c r="F823" s="40"/>
      <c r="G823" s="36"/>
      <c r="H823" s="36"/>
      <c r="I823" s="45"/>
      <c r="J823" s="38"/>
      <c r="K823" s="39"/>
    </row>
    <row r="824">
      <c r="A824" s="47"/>
      <c r="B824" s="48"/>
      <c r="C824" s="48"/>
      <c r="D824" s="48"/>
      <c r="E824" s="43"/>
      <c r="F824" s="40"/>
      <c r="G824" s="36"/>
      <c r="H824" s="36"/>
      <c r="I824" s="45"/>
      <c r="J824" s="38"/>
      <c r="K824" s="39"/>
    </row>
    <row r="825">
      <c r="A825" s="47"/>
      <c r="B825" s="48"/>
      <c r="C825" s="48"/>
      <c r="D825" s="48"/>
      <c r="E825" s="43"/>
      <c r="F825" s="40"/>
      <c r="G825" s="36"/>
      <c r="H825" s="36"/>
      <c r="I825" s="45"/>
      <c r="J825" s="38"/>
      <c r="K825" s="39"/>
    </row>
    <row r="826">
      <c r="A826" s="47"/>
      <c r="B826" s="48"/>
      <c r="C826" s="48"/>
      <c r="D826" s="48"/>
      <c r="E826" s="43"/>
      <c r="F826" s="40"/>
      <c r="G826" s="36"/>
      <c r="H826" s="36"/>
      <c r="I826" s="45"/>
      <c r="J826" s="38"/>
      <c r="K826" s="39"/>
    </row>
    <row r="827">
      <c r="A827" s="47"/>
      <c r="B827" s="48"/>
      <c r="C827" s="48"/>
      <c r="D827" s="48"/>
      <c r="E827" s="43"/>
      <c r="F827" s="40"/>
      <c r="G827" s="36"/>
      <c r="H827" s="36"/>
      <c r="I827" s="45"/>
      <c r="J827" s="38"/>
      <c r="K827" s="39"/>
    </row>
    <row r="828">
      <c r="A828" s="47"/>
      <c r="B828" s="48"/>
      <c r="C828" s="48"/>
      <c r="D828" s="48"/>
      <c r="E828" s="43"/>
      <c r="F828" s="40"/>
      <c r="G828" s="36"/>
      <c r="H828" s="36"/>
      <c r="I828" s="45"/>
      <c r="J828" s="38"/>
      <c r="K828" s="39"/>
    </row>
    <row r="829">
      <c r="A829" s="47"/>
      <c r="B829" s="48"/>
      <c r="C829" s="48"/>
      <c r="D829" s="48"/>
      <c r="E829" s="43"/>
      <c r="F829" s="40"/>
      <c r="G829" s="36"/>
      <c r="H829" s="36"/>
      <c r="I829" s="45"/>
      <c r="J829" s="38"/>
      <c r="K829" s="39"/>
    </row>
    <row r="830">
      <c r="A830" s="47"/>
      <c r="B830" s="48"/>
      <c r="C830" s="48"/>
      <c r="D830" s="48"/>
      <c r="E830" s="43"/>
      <c r="F830" s="40"/>
      <c r="G830" s="36"/>
      <c r="H830" s="36"/>
      <c r="I830" s="45"/>
      <c r="J830" s="38"/>
      <c r="K830" s="39"/>
    </row>
    <row r="831">
      <c r="A831" s="47"/>
      <c r="B831" s="48"/>
      <c r="C831" s="48"/>
      <c r="D831" s="48"/>
      <c r="E831" s="43"/>
      <c r="F831" s="40"/>
      <c r="G831" s="36"/>
      <c r="H831" s="36"/>
      <c r="I831" s="45"/>
      <c r="J831" s="38"/>
      <c r="K831" s="39"/>
    </row>
    <row r="832">
      <c r="A832" s="47"/>
      <c r="B832" s="48"/>
      <c r="C832" s="48"/>
      <c r="D832" s="48"/>
      <c r="E832" s="43"/>
      <c r="F832" s="40"/>
      <c r="G832" s="36"/>
      <c r="H832" s="36"/>
      <c r="I832" s="45"/>
      <c r="J832" s="38"/>
      <c r="K832" s="39"/>
    </row>
    <row r="833">
      <c r="A833" s="47"/>
      <c r="B833" s="48"/>
      <c r="C833" s="48"/>
      <c r="D833" s="48"/>
      <c r="E833" s="43"/>
      <c r="F833" s="40"/>
      <c r="G833" s="36"/>
      <c r="H833" s="36"/>
      <c r="I833" s="45"/>
      <c r="J833" s="38"/>
      <c r="K833" s="39"/>
    </row>
    <row r="834">
      <c r="A834" s="47"/>
      <c r="B834" s="48"/>
      <c r="C834" s="48"/>
      <c r="D834" s="48"/>
      <c r="E834" s="43"/>
      <c r="F834" s="40"/>
      <c r="G834" s="36"/>
      <c r="H834" s="36"/>
      <c r="I834" s="45"/>
      <c r="J834" s="38"/>
      <c r="K834" s="39"/>
    </row>
    <row r="835">
      <c r="A835" s="47"/>
      <c r="B835" s="48"/>
      <c r="C835" s="48"/>
      <c r="D835" s="48"/>
      <c r="E835" s="43"/>
      <c r="F835" s="40"/>
      <c r="G835" s="36"/>
      <c r="H835" s="36"/>
      <c r="I835" s="45"/>
      <c r="J835" s="38"/>
      <c r="K835" s="39"/>
    </row>
    <row r="836">
      <c r="A836" s="47"/>
      <c r="B836" s="48"/>
      <c r="C836" s="48"/>
      <c r="D836" s="48"/>
      <c r="E836" s="43"/>
      <c r="F836" s="40"/>
      <c r="G836" s="36"/>
      <c r="H836" s="36"/>
      <c r="I836" s="45"/>
      <c r="J836" s="38"/>
      <c r="K836" s="39"/>
    </row>
    <row r="837">
      <c r="A837" s="47"/>
      <c r="B837" s="48"/>
      <c r="C837" s="48"/>
      <c r="D837" s="48"/>
      <c r="E837" s="43"/>
      <c r="F837" s="40"/>
      <c r="G837" s="36"/>
      <c r="H837" s="36"/>
      <c r="I837" s="45"/>
      <c r="J837" s="38"/>
      <c r="K837" s="39"/>
    </row>
    <row r="838">
      <c r="A838" s="47"/>
      <c r="B838" s="48"/>
      <c r="C838" s="48"/>
      <c r="D838" s="48"/>
      <c r="E838" s="43"/>
      <c r="F838" s="40"/>
      <c r="G838" s="36"/>
      <c r="H838" s="36"/>
      <c r="I838" s="45"/>
      <c r="J838" s="38"/>
      <c r="K838" s="39"/>
    </row>
    <row r="839">
      <c r="A839" s="47"/>
      <c r="B839" s="48"/>
      <c r="C839" s="48"/>
      <c r="D839" s="48"/>
      <c r="E839" s="43"/>
      <c r="F839" s="40"/>
      <c r="G839" s="36"/>
      <c r="H839" s="36"/>
      <c r="I839" s="45"/>
      <c r="J839" s="38"/>
      <c r="K839" s="39"/>
    </row>
    <row r="840">
      <c r="A840" s="47"/>
      <c r="B840" s="48"/>
      <c r="C840" s="48"/>
      <c r="D840" s="48"/>
      <c r="E840" s="43"/>
      <c r="F840" s="40"/>
      <c r="G840" s="36"/>
      <c r="H840" s="36"/>
      <c r="I840" s="45"/>
      <c r="J840" s="38"/>
      <c r="K840" s="39"/>
    </row>
    <row r="841">
      <c r="A841" s="47"/>
      <c r="B841" s="48"/>
      <c r="C841" s="48"/>
      <c r="D841" s="48"/>
      <c r="E841" s="43"/>
      <c r="F841" s="40"/>
      <c r="G841" s="36"/>
      <c r="H841" s="36"/>
      <c r="I841" s="45"/>
      <c r="J841" s="38"/>
      <c r="K841" s="39"/>
    </row>
    <row r="842">
      <c r="A842" s="47"/>
      <c r="B842" s="48"/>
      <c r="C842" s="48"/>
      <c r="D842" s="48"/>
      <c r="E842" s="43"/>
      <c r="F842" s="40"/>
      <c r="G842" s="36"/>
      <c r="H842" s="36"/>
      <c r="I842" s="45"/>
      <c r="J842" s="38"/>
      <c r="K842" s="39"/>
    </row>
    <row r="843">
      <c r="A843" s="47"/>
      <c r="B843" s="48"/>
      <c r="C843" s="48"/>
      <c r="D843" s="48"/>
      <c r="E843" s="43"/>
      <c r="F843" s="40"/>
      <c r="G843" s="36"/>
      <c r="H843" s="36"/>
      <c r="I843" s="45"/>
      <c r="J843" s="38"/>
      <c r="K843" s="39"/>
    </row>
    <row r="844">
      <c r="A844" s="47"/>
      <c r="B844" s="48"/>
      <c r="C844" s="48"/>
      <c r="D844" s="48"/>
      <c r="E844" s="43"/>
      <c r="F844" s="40"/>
      <c r="G844" s="36"/>
      <c r="H844" s="36"/>
      <c r="I844" s="45"/>
      <c r="J844" s="38"/>
      <c r="K844" s="39"/>
    </row>
    <row r="845">
      <c r="A845" s="47"/>
      <c r="B845" s="48"/>
      <c r="C845" s="48"/>
      <c r="D845" s="48"/>
      <c r="E845" s="43"/>
      <c r="F845" s="40"/>
      <c r="G845" s="36"/>
      <c r="H845" s="36"/>
      <c r="I845" s="45"/>
      <c r="J845" s="38"/>
      <c r="K845" s="39"/>
    </row>
    <row r="846">
      <c r="A846" s="47"/>
      <c r="B846" s="48"/>
      <c r="C846" s="48"/>
      <c r="D846" s="48"/>
      <c r="E846" s="43"/>
      <c r="F846" s="40"/>
      <c r="G846" s="36"/>
      <c r="H846" s="36"/>
      <c r="I846" s="45"/>
      <c r="J846" s="38"/>
      <c r="K846" s="39"/>
    </row>
    <row r="847">
      <c r="A847" s="47"/>
      <c r="B847" s="48"/>
      <c r="C847" s="48"/>
      <c r="D847" s="48"/>
      <c r="E847" s="43"/>
      <c r="F847" s="40"/>
      <c r="G847" s="36"/>
      <c r="H847" s="36"/>
      <c r="I847" s="45"/>
      <c r="J847" s="38"/>
      <c r="K847" s="39"/>
    </row>
    <row r="848">
      <c r="A848" s="47"/>
      <c r="B848" s="48"/>
      <c r="C848" s="48"/>
      <c r="D848" s="48"/>
      <c r="E848" s="43"/>
      <c r="F848" s="40"/>
      <c r="G848" s="36"/>
      <c r="H848" s="36"/>
      <c r="I848" s="45"/>
      <c r="J848" s="38"/>
      <c r="K848" s="39"/>
    </row>
    <row r="849">
      <c r="A849" s="47"/>
      <c r="B849" s="48"/>
      <c r="C849" s="48"/>
      <c r="D849" s="48"/>
      <c r="E849" s="43"/>
      <c r="F849" s="40"/>
      <c r="G849" s="36"/>
      <c r="H849" s="36"/>
      <c r="I849" s="45"/>
      <c r="J849" s="38"/>
      <c r="K849" s="39"/>
    </row>
    <row r="850">
      <c r="A850" s="47"/>
      <c r="B850" s="48"/>
      <c r="C850" s="48"/>
      <c r="D850" s="48"/>
      <c r="E850" s="43"/>
      <c r="F850" s="40"/>
      <c r="G850" s="36"/>
      <c r="H850" s="36"/>
      <c r="I850" s="45"/>
      <c r="J850" s="38"/>
      <c r="K850" s="39"/>
    </row>
    <row r="851">
      <c r="A851" s="47"/>
      <c r="B851" s="48"/>
      <c r="C851" s="48"/>
      <c r="D851" s="48"/>
      <c r="E851" s="43"/>
      <c r="F851" s="40"/>
      <c r="G851" s="36"/>
      <c r="H851" s="36"/>
      <c r="I851" s="45"/>
      <c r="J851" s="38"/>
      <c r="K851" s="39"/>
    </row>
    <row r="852">
      <c r="A852" s="47"/>
      <c r="B852" s="48"/>
      <c r="C852" s="48"/>
      <c r="D852" s="48"/>
      <c r="E852" s="43"/>
      <c r="F852" s="40"/>
      <c r="G852" s="36"/>
      <c r="H852" s="36"/>
      <c r="I852" s="45"/>
      <c r="J852" s="38"/>
      <c r="K852" s="39"/>
    </row>
    <row r="853">
      <c r="A853" s="47"/>
      <c r="B853" s="48"/>
      <c r="C853" s="48"/>
      <c r="D853" s="48"/>
      <c r="E853" s="43"/>
      <c r="F853" s="40"/>
      <c r="G853" s="36"/>
      <c r="H853" s="36"/>
      <c r="I853" s="45"/>
      <c r="J853" s="38"/>
      <c r="K853" s="39"/>
    </row>
    <row r="854">
      <c r="A854" s="47"/>
      <c r="B854" s="48"/>
      <c r="C854" s="48"/>
      <c r="D854" s="48"/>
      <c r="E854" s="43"/>
      <c r="F854" s="40"/>
      <c r="G854" s="36"/>
      <c r="H854" s="36"/>
      <c r="I854" s="45"/>
      <c r="J854" s="38"/>
      <c r="K854" s="39"/>
    </row>
    <row r="855">
      <c r="A855" s="47"/>
      <c r="B855" s="48"/>
      <c r="C855" s="48"/>
      <c r="D855" s="48"/>
      <c r="E855" s="43"/>
      <c r="F855" s="40"/>
      <c r="G855" s="36"/>
      <c r="H855" s="36"/>
      <c r="I855" s="45"/>
      <c r="J855" s="38"/>
      <c r="K855" s="39"/>
    </row>
    <row r="856">
      <c r="A856" s="47"/>
      <c r="B856" s="48"/>
      <c r="C856" s="48"/>
      <c r="D856" s="48"/>
      <c r="E856" s="43"/>
      <c r="F856" s="40"/>
      <c r="G856" s="36"/>
      <c r="H856" s="36"/>
      <c r="I856" s="45"/>
      <c r="J856" s="38"/>
      <c r="K856" s="39"/>
    </row>
    <row r="857">
      <c r="A857" s="47"/>
      <c r="B857" s="48"/>
      <c r="C857" s="48"/>
      <c r="D857" s="48"/>
      <c r="E857" s="43"/>
      <c r="F857" s="40"/>
      <c r="G857" s="36"/>
      <c r="H857" s="36"/>
      <c r="I857" s="45"/>
      <c r="J857" s="38"/>
      <c r="K857" s="39"/>
    </row>
    <row r="858">
      <c r="A858" s="47"/>
      <c r="B858" s="48"/>
      <c r="C858" s="48"/>
      <c r="D858" s="48"/>
      <c r="E858" s="43"/>
      <c r="F858" s="40"/>
      <c r="G858" s="36"/>
      <c r="H858" s="36"/>
      <c r="I858" s="45"/>
      <c r="J858" s="38"/>
      <c r="K858" s="39"/>
    </row>
    <row r="859">
      <c r="A859" s="47"/>
      <c r="B859" s="48"/>
      <c r="C859" s="48"/>
      <c r="D859" s="48"/>
      <c r="E859" s="43"/>
      <c r="F859" s="40"/>
      <c r="G859" s="36"/>
      <c r="H859" s="36"/>
      <c r="I859" s="45"/>
      <c r="J859" s="38"/>
      <c r="K859" s="39"/>
    </row>
    <row r="860">
      <c r="A860" s="47"/>
      <c r="B860" s="48"/>
      <c r="C860" s="48"/>
      <c r="D860" s="48"/>
      <c r="E860" s="43"/>
      <c r="F860" s="40"/>
      <c r="G860" s="36"/>
      <c r="H860" s="36"/>
      <c r="I860" s="45"/>
      <c r="J860" s="38"/>
      <c r="K860" s="39"/>
    </row>
    <row r="861">
      <c r="A861" s="47"/>
      <c r="B861" s="48"/>
      <c r="C861" s="48"/>
      <c r="D861" s="48"/>
      <c r="E861" s="43"/>
      <c r="F861" s="40"/>
      <c r="G861" s="36"/>
      <c r="H861" s="36"/>
      <c r="I861" s="45"/>
      <c r="J861" s="38"/>
      <c r="K861" s="39"/>
    </row>
    <row r="862">
      <c r="A862" s="47"/>
      <c r="B862" s="48"/>
      <c r="C862" s="48"/>
      <c r="D862" s="48"/>
      <c r="E862" s="43"/>
      <c r="F862" s="40"/>
      <c r="G862" s="36"/>
      <c r="H862" s="36"/>
      <c r="I862" s="45"/>
      <c r="J862" s="38"/>
      <c r="K862" s="39"/>
    </row>
    <row r="863">
      <c r="A863" s="47"/>
      <c r="B863" s="48"/>
      <c r="C863" s="48"/>
      <c r="D863" s="48"/>
      <c r="E863" s="43"/>
      <c r="F863" s="40"/>
      <c r="G863" s="36"/>
      <c r="H863" s="36"/>
      <c r="I863" s="45"/>
      <c r="J863" s="38"/>
      <c r="K863" s="39"/>
    </row>
    <row r="864">
      <c r="A864" s="47"/>
      <c r="B864" s="48"/>
      <c r="C864" s="48"/>
      <c r="D864" s="48"/>
      <c r="E864" s="43"/>
      <c r="F864" s="40"/>
      <c r="G864" s="36"/>
      <c r="H864" s="36"/>
      <c r="I864" s="45"/>
      <c r="J864" s="38"/>
      <c r="K864" s="39"/>
    </row>
    <row r="865">
      <c r="A865" s="47"/>
      <c r="B865" s="48"/>
      <c r="C865" s="48"/>
      <c r="D865" s="48"/>
      <c r="E865" s="43"/>
      <c r="F865" s="40"/>
      <c r="G865" s="36"/>
      <c r="H865" s="36"/>
      <c r="I865" s="45"/>
      <c r="J865" s="38"/>
      <c r="K865" s="39"/>
    </row>
    <row r="866">
      <c r="A866" s="47"/>
      <c r="B866" s="48"/>
      <c r="C866" s="48"/>
      <c r="D866" s="48"/>
      <c r="E866" s="43"/>
      <c r="F866" s="40"/>
      <c r="G866" s="36"/>
      <c r="H866" s="36"/>
      <c r="I866" s="45"/>
      <c r="J866" s="38"/>
      <c r="K866" s="39"/>
    </row>
    <row r="867">
      <c r="A867" s="47"/>
      <c r="B867" s="48"/>
      <c r="C867" s="48"/>
      <c r="D867" s="48"/>
      <c r="E867" s="43"/>
      <c r="F867" s="40"/>
      <c r="G867" s="36"/>
      <c r="H867" s="36"/>
      <c r="I867" s="45"/>
      <c r="J867" s="38"/>
      <c r="K867" s="39"/>
    </row>
    <row r="868">
      <c r="A868" s="47"/>
      <c r="B868" s="48"/>
      <c r="C868" s="48"/>
      <c r="D868" s="48"/>
      <c r="E868" s="43"/>
      <c r="F868" s="40"/>
      <c r="G868" s="36"/>
      <c r="H868" s="36"/>
      <c r="I868" s="45"/>
      <c r="J868" s="38"/>
      <c r="K868" s="39"/>
    </row>
    <row r="869">
      <c r="A869" s="47"/>
      <c r="B869" s="48"/>
      <c r="C869" s="48"/>
      <c r="D869" s="48"/>
      <c r="E869" s="43"/>
      <c r="F869" s="40"/>
      <c r="G869" s="36"/>
      <c r="H869" s="36"/>
      <c r="I869" s="45"/>
      <c r="J869" s="38"/>
      <c r="K869" s="39"/>
    </row>
    <row r="870">
      <c r="A870" s="47"/>
      <c r="B870" s="48"/>
      <c r="C870" s="48"/>
      <c r="D870" s="48"/>
      <c r="E870" s="43"/>
      <c r="F870" s="40"/>
      <c r="G870" s="36"/>
      <c r="H870" s="36"/>
      <c r="I870" s="45"/>
      <c r="J870" s="38"/>
      <c r="K870" s="39"/>
    </row>
    <row r="871">
      <c r="A871" s="47"/>
      <c r="B871" s="48"/>
      <c r="C871" s="48"/>
      <c r="D871" s="48"/>
      <c r="E871" s="43"/>
      <c r="F871" s="40"/>
      <c r="G871" s="36"/>
      <c r="H871" s="36"/>
      <c r="I871" s="45"/>
      <c r="J871" s="38"/>
      <c r="K871" s="39"/>
    </row>
    <row r="872">
      <c r="A872" s="47"/>
      <c r="B872" s="48"/>
      <c r="C872" s="48"/>
      <c r="D872" s="48"/>
      <c r="E872" s="43"/>
      <c r="F872" s="40"/>
      <c r="G872" s="36"/>
      <c r="H872" s="36"/>
      <c r="I872" s="45"/>
      <c r="J872" s="38"/>
      <c r="K872" s="39"/>
    </row>
    <row r="873">
      <c r="A873" s="47"/>
      <c r="B873" s="48"/>
      <c r="C873" s="48"/>
      <c r="D873" s="48"/>
      <c r="E873" s="43"/>
      <c r="F873" s="40"/>
      <c r="G873" s="36"/>
      <c r="H873" s="36"/>
      <c r="I873" s="45"/>
      <c r="J873" s="38"/>
      <c r="K873" s="39"/>
    </row>
    <row r="874">
      <c r="A874" s="47"/>
      <c r="B874" s="48"/>
      <c r="C874" s="48"/>
      <c r="D874" s="48"/>
      <c r="E874" s="43"/>
      <c r="F874" s="40"/>
      <c r="G874" s="36"/>
      <c r="H874" s="36"/>
      <c r="I874" s="45"/>
      <c r="J874" s="38"/>
      <c r="K874" s="39"/>
    </row>
    <row r="875">
      <c r="A875" s="47"/>
      <c r="B875" s="48"/>
      <c r="C875" s="48"/>
      <c r="D875" s="48"/>
      <c r="E875" s="43"/>
      <c r="F875" s="40"/>
      <c r="G875" s="36"/>
      <c r="H875" s="36"/>
      <c r="I875" s="45"/>
      <c r="J875" s="38"/>
      <c r="K875" s="39"/>
    </row>
    <row r="876">
      <c r="A876" s="47"/>
      <c r="B876" s="48"/>
      <c r="C876" s="48"/>
      <c r="D876" s="48"/>
      <c r="E876" s="43"/>
      <c r="F876" s="40"/>
      <c r="G876" s="36"/>
      <c r="H876" s="36"/>
      <c r="I876" s="45"/>
      <c r="J876" s="38"/>
      <c r="K876" s="39"/>
    </row>
    <row r="877">
      <c r="A877" s="47"/>
      <c r="B877" s="48"/>
      <c r="C877" s="48"/>
      <c r="D877" s="48"/>
      <c r="E877" s="43"/>
      <c r="F877" s="40"/>
      <c r="G877" s="36"/>
      <c r="H877" s="36"/>
      <c r="I877" s="45"/>
      <c r="J877" s="38"/>
      <c r="K877" s="39"/>
    </row>
    <row r="878">
      <c r="A878" s="47"/>
      <c r="B878" s="48"/>
      <c r="C878" s="48"/>
      <c r="D878" s="48"/>
      <c r="E878" s="43"/>
      <c r="F878" s="40"/>
      <c r="G878" s="36"/>
      <c r="H878" s="36"/>
      <c r="I878" s="45"/>
      <c r="J878" s="38"/>
      <c r="K878" s="39"/>
    </row>
    <row r="879">
      <c r="A879" s="47"/>
      <c r="B879" s="48"/>
      <c r="C879" s="48"/>
      <c r="D879" s="48"/>
      <c r="E879" s="43"/>
      <c r="F879" s="40"/>
      <c r="G879" s="36"/>
      <c r="H879" s="36"/>
      <c r="I879" s="45"/>
      <c r="J879" s="38"/>
      <c r="K879" s="39"/>
    </row>
    <row r="880">
      <c r="A880" s="47"/>
      <c r="B880" s="48"/>
      <c r="C880" s="48"/>
      <c r="D880" s="48"/>
      <c r="E880" s="43"/>
      <c r="F880" s="40"/>
      <c r="G880" s="36"/>
      <c r="H880" s="36"/>
      <c r="I880" s="45"/>
      <c r="J880" s="38"/>
      <c r="K880" s="39"/>
    </row>
    <row r="881">
      <c r="A881" s="47"/>
      <c r="B881" s="48"/>
      <c r="C881" s="48"/>
      <c r="D881" s="48"/>
      <c r="E881" s="43"/>
      <c r="F881" s="40"/>
      <c r="G881" s="36"/>
      <c r="H881" s="36"/>
      <c r="I881" s="45"/>
      <c r="J881" s="38"/>
      <c r="K881" s="39"/>
    </row>
    <row r="882">
      <c r="A882" s="47"/>
      <c r="B882" s="48"/>
      <c r="C882" s="48"/>
      <c r="D882" s="48"/>
      <c r="E882" s="43"/>
      <c r="F882" s="40"/>
      <c r="G882" s="36"/>
      <c r="H882" s="36"/>
      <c r="I882" s="45"/>
      <c r="J882" s="38"/>
      <c r="K882" s="39"/>
    </row>
    <row r="883">
      <c r="A883" s="47"/>
      <c r="B883" s="48"/>
      <c r="C883" s="48"/>
      <c r="D883" s="48"/>
      <c r="E883" s="43"/>
      <c r="F883" s="40"/>
      <c r="G883" s="36"/>
      <c r="H883" s="36"/>
      <c r="I883" s="45"/>
      <c r="J883" s="38"/>
      <c r="K883" s="39"/>
    </row>
    <row r="884">
      <c r="A884" s="47"/>
      <c r="B884" s="48"/>
      <c r="C884" s="48"/>
      <c r="D884" s="48"/>
      <c r="E884" s="43"/>
      <c r="F884" s="40"/>
      <c r="G884" s="36"/>
      <c r="H884" s="36"/>
      <c r="I884" s="45"/>
      <c r="J884" s="38"/>
      <c r="K884" s="39"/>
    </row>
    <row r="885">
      <c r="A885" s="47"/>
      <c r="B885" s="48"/>
      <c r="C885" s="48"/>
      <c r="D885" s="48"/>
      <c r="E885" s="43"/>
      <c r="F885" s="40"/>
      <c r="G885" s="36"/>
      <c r="H885" s="36"/>
      <c r="I885" s="45"/>
      <c r="J885" s="38"/>
      <c r="K885" s="39"/>
    </row>
    <row r="886">
      <c r="A886" s="47"/>
      <c r="B886" s="48"/>
      <c r="C886" s="48"/>
      <c r="D886" s="48"/>
      <c r="E886" s="43"/>
      <c r="F886" s="40"/>
      <c r="G886" s="36"/>
      <c r="H886" s="36"/>
      <c r="I886" s="45"/>
      <c r="J886" s="38"/>
      <c r="K886" s="39"/>
    </row>
    <row r="887">
      <c r="A887" s="47"/>
      <c r="B887" s="48"/>
      <c r="C887" s="48"/>
      <c r="D887" s="48"/>
      <c r="E887" s="43"/>
      <c r="F887" s="40"/>
      <c r="G887" s="36"/>
      <c r="H887" s="36"/>
      <c r="I887" s="45"/>
      <c r="J887" s="38"/>
      <c r="K887" s="39"/>
    </row>
    <row r="888">
      <c r="A888" s="47"/>
      <c r="B888" s="48"/>
      <c r="C888" s="48"/>
      <c r="D888" s="48"/>
      <c r="E888" s="43"/>
      <c r="F888" s="40"/>
      <c r="G888" s="36"/>
      <c r="H888" s="36"/>
      <c r="I888" s="45"/>
      <c r="J888" s="38"/>
      <c r="K888" s="39"/>
    </row>
    <row r="889">
      <c r="A889" s="47"/>
      <c r="B889" s="48"/>
      <c r="C889" s="48"/>
      <c r="D889" s="48"/>
      <c r="E889" s="43"/>
      <c r="F889" s="40"/>
      <c r="G889" s="36"/>
      <c r="H889" s="36"/>
      <c r="I889" s="45"/>
      <c r="J889" s="38"/>
      <c r="K889" s="39"/>
    </row>
    <row r="890">
      <c r="A890" s="47"/>
      <c r="B890" s="48"/>
      <c r="C890" s="48"/>
      <c r="D890" s="48"/>
      <c r="E890" s="43"/>
      <c r="F890" s="40"/>
      <c r="G890" s="36"/>
      <c r="H890" s="36"/>
      <c r="I890" s="45"/>
      <c r="J890" s="38"/>
      <c r="K890" s="39"/>
    </row>
    <row r="891">
      <c r="A891" s="47"/>
      <c r="B891" s="48"/>
      <c r="C891" s="48"/>
      <c r="D891" s="48"/>
      <c r="E891" s="43"/>
      <c r="F891" s="40"/>
      <c r="G891" s="36"/>
      <c r="H891" s="36"/>
      <c r="I891" s="45"/>
      <c r="J891" s="38"/>
      <c r="K891" s="39"/>
    </row>
    <row r="892">
      <c r="A892" s="47"/>
      <c r="B892" s="48"/>
      <c r="C892" s="48"/>
      <c r="D892" s="48"/>
      <c r="E892" s="43"/>
      <c r="F892" s="40"/>
      <c r="G892" s="36"/>
      <c r="H892" s="36"/>
      <c r="I892" s="45"/>
      <c r="J892" s="38"/>
      <c r="K892" s="39"/>
    </row>
    <row r="893">
      <c r="A893" s="47"/>
      <c r="B893" s="48"/>
      <c r="C893" s="48"/>
      <c r="D893" s="48"/>
      <c r="E893" s="43"/>
      <c r="F893" s="40"/>
      <c r="G893" s="36"/>
      <c r="H893" s="36"/>
      <c r="I893" s="45"/>
      <c r="J893" s="38"/>
      <c r="K893" s="39"/>
    </row>
    <row r="894">
      <c r="A894" s="47"/>
      <c r="B894" s="48"/>
      <c r="C894" s="48"/>
      <c r="D894" s="48"/>
      <c r="E894" s="43"/>
      <c r="F894" s="40"/>
      <c r="G894" s="36"/>
      <c r="H894" s="36"/>
      <c r="I894" s="45"/>
      <c r="J894" s="38"/>
      <c r="K894" s="39"/>
    </row>
    <row r="895">
      <c r="A895" s="47"/>
      <c r="B895" s="48"/>
      <c r="C895" s="48"/>
      <c r="D895" s="48"/>
      <c r="E895" s="43"/>
      <c r="F895" s="40"/>
      <c r="G895" s="36"/>
      <c r="H895" s="36"/>
      <c r="I895" s="45"/>
      <c r="J895" s="38"/>
      <c r="K895" s="39"/>
    </row>
    <row r="896">
      <c r="A896" s="47"/>
      <c r="B896" s="48"/>
      <c r="C896" s="48"/>
      <c r="D896" s="48"/>
      <c r="E896" s="43"/>
      <c r="F896" s="40"/>
      <c r="G896" s="36"/>
      <c r="H896" s="36"/>
      <c r="I896" s="45"/>
      <c r="J896" s="38"/>
      <c r="K896" s="39"/>
    </row>
    <row r="897">
      <c r="A897" s="47"/>
      <c r="B897" s="48"/>
      <c r="C897" s="48"/>
      <c r="D897" s="48"/>
      <c r="E897" s="43"/>
      <c r="F897" s="40"/>
      <c r="G897" s="36"/>
      <c r="H897" s="36"/>
      <c r="I897" s="45"/>
      <c r="J897" s="38"/>
      <c r="K897" s="39"/>
    </row>
    <row r="898">
      <c r="A898" s="47"/>
      <c r="B898" s="48"/>
      <c r="C898" s="48"/>
      <c r="D898" s="48"/>
      <c r="E898" s="43"/>
      <c r="F898" s="40"/>
      <c r="G898" s="36"/>
      <c r="H898" s="36"/>
      <c r="I898" s="45"/>
      <c r="J898" s="38"/>
      <c r="K898" s="39"/>
    </row>
    <row r="899">
      <c r="A899" s="47"/>
      <c r="B899" s="48"/>
      <c r="C899" s="48"/>
      <c r="D899" s="48"/>
      <c r="E899" s="43"/>
      <c r="F899" s="40"/>
      <c r="G899" s="36"/>
      <c r="H899" s="36"/>
      <c r="I899" s="45"/>
      <c r="J899" s="38"/>
      <c r="K899" s="39"/>
    </row>
    <row r="900">
      <c r="A900" s="47"/>
      <c r="B900" s="48"/>
      <c r="C900" s="48"/>
      <c r="D900" s="48"/>
      <c r="E900" s="43"/>
      <c r="F900" s="40"/>
      <c r="G900" s="36"/>
      <c r="H900" s="36"/>
      <c r="I900" s="45"/>
      <c r="J900" s="38"/>
      <c r="K900" s="39"/>
    </row>
    <row r="901">
      <c r="A901" s="47"/>
      <c r="B901" s="48"/>
      <c r="C901" s="48"/>
      <c r="D901" s="48"/>
      <c r="E901" s="43"/>
      <c r="F901" s="40"/>
      <c r="G901" s="36"/>
      <c r="H901" s="36"/>
      <c r="I901" s="45"/>
      <c r="J901" s="38"/>
      <c r="K901" s="39"/>
    </row>
    <row r="902">
      <c r="A902" s="47"/>
      <c r="B902" s="48"/>
      <c r="C902" s="48"/>
      <c r="D902" s="48"/>
      <c r="E902" s="43"/>
      <c r="F902" s="40"/>
      <c r="G902" s="36"/>
      <c r="H902" s="36"/>
      <c r="I902" s="45"/>
      <c r="J902" s="38"/>
      <c r="K902" s="39"/>
    </row>
    <row r="903">
      <c r="A903" s="47"/>
      <c r="B903" s="48"/>
      <c r="C903" s="48"/>
      <c r="D903" s="48"/>
      <c r="E903" s="43"/>
      <c r="F903" s="40"/>
      <c r="G903" s="36"/>
      <c r="H903" s="36"/>
      <c r="I903" s="45"/>
      <c r="J903" s="38"/>
      <c r="K903" s="39"/>
    </row>
    <row r="904">
      <c r="A904" s="47"/>
      <c r="B904" s="48"/>
      <c r="C904" s="48"/>
      <c r="D904" s="48"/>
      <c r="E904" s="43"/>
      <c r="F904" s="40"/>
      <c r="G904" s="36"/>
      <c r="H904" s="36"/>
      <c r="I904" s="45"/>
      <c r="J904" s="38"/>
      <c r="K904" s="39"/>
    </row>
    <row r="905">
      <c r="A905" s="47"/>
      <c r="B905" s="48"/>
      <c r="C905" s="48"/>
      <c r="D905" s="48"/>
      <c r="E905" s="43"/>
      <c r="F905" s="40"/>
      <c r="G905" s="36"/>
      <c r="H905" s="36"/>
      <c r="I905" s="45"/>
      <c r="J905" s="38"/>
      <c r="K905" s="39"/>
    </row>
    <row r="906">
      <c r="A906" s="47"/>
      <c r="B906" s="48"/>
      <c r="C906" s="48"/>
      <c r="D906" s="48"/>
      <c r="E906" s="43"/>
      <c r="F906" s="40"/>
      <c r="G906" s="36"/>
      <c r="H906" s="36"/>
      <c r="I906" s="45"/>
      <c r="J906" s="38"/>
      <c r="K906" s="39"/>
    </row>
    <row r="907">
      <c r="A907" s="47"/>
      <c r="B907" s="48"/>
      <c r="C907" s="48"/>
      <c r="D907" s="48"/>
      <c r="E907" s="43"/>
      <c r="F907" s="40"/>
      <c r="G907" s="36"/>
      <c r="H907" s="36"/>
      <c r="I907" s="45"/>
      <c r="J907" s="38"/>
      <c r="K907" s="39"/>
    </row>
    <row r="908">
      <c r="A908" s="47"/>
      <c r="B908" s="48"/>
      <c r="C908" s="48"/>
      <c r="D908" s="48"/>
      <c r="E908" s="43"/>
      <c r="F908" s="40"/>
      <c r="G908" s="36"/>
      <c r="H908" s="36"/>
      <c r="I908" s="45"/>
      <c r="J908" s="38"/>
      <c r="K908" s="39"/>
    </row>
    <row r="909">
      <c r="A909" s="47"/>
      <c r="B909" s="48"/>
      <c r="C909" s="48"/>
      <c r="D909" s="48"/>
      <c r="E909" s="43"/>
      <c r="F909" s="40"/>
      <c r="G909" s="36"/>
      <c r="H909" s="36"/>
      <c r="I909" s="45"/>
      <c r="J909" s="38"/>
      <c r="K909" s="39"/>
    </row>
    <row r="910">
      <c r="A910" s="47"/>
      <c r="B910" s="48"/>
      <c r="C910" s="48"/>
      <c r="D910" s="48"/>
      <c r="E910" s="43"/>
      <c r="F910" s="40"/>
      <c r="G910" s="36"/>
      <c r="H910" s="36"/>
      <c r="I910" s="45"/>
      <c r="J910" s="38"/>
      <c r="K910" s="39"/>
    </row>
    <row r="911">
      <c r="A911" s="47"/>
      <c r="B911" s="48"/>
      <c r="C911" s="48"/>
      <c r="D911" s="48"/>
      <c r="E911" s="43"/>
      <c r="F911" s="40"/>
      <c r="G911" s="36"/>
      <c r="H911" s="36"/>
      <c r="I911" s="45"/>
      <c r="J911" s="38"/>
      <c r="K911" s="39"/>
    </row>
    <row r="912">
      <c r="A912" s="47"/>
      <c r="B912" s="48"/>
      <c r="C912" s="48"/>
      <c r="D912" s="48"/>
      <c r="E912" s="43"/>
      <c r="F912" s="40"/>
      <c r="G912" s="36"/>
      <c r="H912" s="36"/>
      <c r="I912" s="45"/>
      <c r="J912" s="38"/>
      <c r="K912" s="39"/>
    </row>
    <row r="913">
      <c r="A913" s="47"/>
      <c r="B913" s="48"/>
      <c r="C913" s="48"/>
      <c r="D913" s="48"/>
      <c r="E913" s="43"/>
      <c r="F913" s="40"/>
      <c r="G913" s="36"/>
      <c r="H913" s="36"/>
      <c r="I913" s="45"/>
      <c r="J913" s="38"/>
      <c r="K913" s="39"/>
    </row>
    <row r="914">
      <c r="A914" s="47"/>
      <c r="B914" s="48"/>
      <c r="C914" s="48"/>
      <c r="D914" s="48"/>
      <c r="E914" s="43"/>
      <c r="F914" s="40"/>
      <c r="G914" s="36"/>
      <c r="H914" s="36"/>
      <c r="I914" s="45"/>
      <c r="J914" s="38"/>
      <c r="K914" s="39"/>
    </row>
    <row r="915">
      <c r="A915" s="47"/>
      <c r="B915" s="48"/>
      <c r="C915" s="48"/>
      <c r="D915" s="48"/>
      <c r="E915" s="43"/>
      <c r="F915" s="40"/>
      <c r="G915" s="36"/>
      <c r="H915" s="36"/>
      <c r="I915" s="45"/>
      <c r="J915" s="38"/>
      <c r="K915" s="39"/>
    </row>
    <row r="916">
      <c r="A916" s="47"/>
      <c r="B916" s="48"/>
      <c r="C916" s="48"/>
      <c r="D916" s="48"/>
      <c r="E916" s="43"/>
      <c r="F916" s="40"/>
      <c r="G916" s="36"/>
      <c r="H916" s="36"/>
      <c r="I916" s="45"/>
      <c r="J916" s="38"/>
      <c r="K916" s="39"/>
    </row>
    <row r="917">
      <c r="A917" s="47"/>
      <c r="B917" s="48"/>
      <c r="C917" s="48"/>
      <c r="D917" s="48"/>
      <c r="E917" s="43"/>
      <c r="F917" s="40"/>
      <c r="G917" s="36"/>
      <c r="H917" s="36"/>
      <c r="I917" s="45"/>
      <c r="J917" s="38"/>
      <c r="K917" s="39"/>
    </row>
    <row r="918">
      <c r="A918" s="47"/>
      <c r="B918" s="48"/>
      <c r="C918" s="48"/>
      <c r="D918" s="48"/>
      <c r="E918" s="43"/>
      <c r="F918" s="40"/>
      <c r="G918" s="36"/>
      <c r="H918" s="36"/>
      <c r="I918" s="45"/>
      <c r="J918" s="38"/>
      <c r="K918" s="39"/>
    </row>
    <row r="919">
      <c r="A919" s="47"/>
      <c r="B919" s="48"/>
      <c r="C919" s="48"/>
      <c r="D919" s="48"/>
      <c r="E919" s="43"/>
      <c r="F919" s="40"/>
      <c r="G919" s="36"/>
      <c r="H919" s="36"/>
      <c r="I919" s="45"/>
      <c r="J919" s="38"/>
      <c r="K919" s="39"/>
    </row>
    <row r="920">
      <c r="A920" s="47"/>
      <c r="B920" s="48"/>
      <c r="C920" s="48"/>
      <c r="D920" s="48"/>
      <c r="E920" s="43"/>
      <c r="F920" s="40"/>
      <c r="G920" s="36"/>
      <c r="H920" s="36"/>
      <c r="I920" s="45"/>
      <c r="J920" s="38"/>
      <c r="K920" s="39"/>
    </row>
    <row r="921">
      <c r="A921" s="47"/>
      <c r="B921" s="48"/>
      <c r="C921" s="48"/>
      <c r="D921" s="48"/>
      <c r="E921" s="43"/>
      <c r="F921" s="40"/>
      <c r="G921" s="36"/>
      <c r="H921" s="36"/>
      <c r="I921" s="45"/>
      <c r="J921" s="38"/>
      <c r="K921" s="39"/>
    </row>
    <row r="922">
      <c r="A922" s="47"/>
      <c r="B922" s="48"/>
      <c r="C922" s="48"/>
      <c r="D922" s="48"/>
      <c r="E922" s="43"/>
      <c r="F922" s="40"/>
      <c r="G922" s="36"/>
      <c r="H922" s="36"/>
      <c r="I922" s="45"/>
      <c r="J922" s="38"/>
      <c r="K922" s="39"/>
    </row>
    <row r="923">
      <c r="A923" s="47"/>
      <c r="B923" s="48"/>
      <c r="C923" s="48"/>
      <c r="D923" s="48"/>
      <c r="E923" s="43"/>
      <c r="F923" s="40"/>
      <c r="G923" s="36"/>
      <c r="H923" s="36"/>
      <c r="I923" s="45"/>
      <c r="J923" s="38"/>
      <c r="K923" s="39"/>
    </row>
    <row r="924">
      <c r="A924" s="47"/>
      <c r="B924" s="48"/>
      <c r="C924" s="48"/>
      <c r="D924" s="48"/>
      <c r="E924" s="43"/>
      <c r="F924" s="40"/>
      <c r="G924" s="36"/>
      <c r="H924" s="36"/>
      <c r="I924" s="45"/>
      <c r="J924" s="38"/>
      <c r="K924" s="39"/>
    </row>
    <row r="925">
      <c r="A925" s="47"/>
      <c r="B925" s="48"/>
      <c r="C925" s="48"/>
      <c r="D925" s="48"/>
      <c r="E925" s="43"/>
      <c r="F925" s="40"/>
      <c r="G925" s="36"/>
      <c r="H925" s="36"/>
      <c r="I925" s="45"/>
      <c r="J925" s="38"/>
      <c r="K925" s="39"/>
    </row>
    <row r="926">
      <c r="A926" s="47"/>
      <c r="B926" s="48"/>
      <c r="C926" s="48"/>
      <c r="D926" s="48"/>
      <c r="E926" s="43"/>
      <c r="F926" s="40"/>
      <c r="G926" s="36"/>
      <c r="H926" s="36"/>
      <c r="I926" s="45"/>
      <c r="J926" s="38"/>
      <c r="K926" s="39"/>
    </row>
    <row r="927">
      <c r="A927" s="47"/>
      <c r="B927" s="48"/>
      <c r="C927" s="48"/>
      <c r="D927" s="48"/>
      <c r="E927" s="43"/>
      <c r="F927" s="40"/>
      <c r="G927" s="36"/>
      <c r="H927" s="36"/>
      <c r="I927" s="45"/>
      <c r="J927" s="38"/>
      <c r="K927" s="39"/>
    </row>
    <row r="928">
      <c r="A928" s="47"/>
      <c r="B928" s="48"/>
      <c r="C928" s="48"/>
      <c r="D928" s="48"/>
      <c r="E928" s="43"/>
      <c r="F928" s="40"/>
      <c r="G928" s="36"/>
      <c r="H928" s="36"/>
      <c r="I928" s="45"/>
      <c r="J928" s="38"/>
      <c r="K928" s="39"/>
    </row>
    <row r="929">
      <c r="A929" s="47"/>
      <c r="B929" s="48"/>
      <c r="C929" s="48"/>
      <c r="D929" s="48"/>
      <c r="E929" s="43"/>
      <c r="F929" s="40"/>
      <c r="G929" s="36"/>
      <c r="H929" s="36"/>
      <c r="I929" s="45"/>
      <c r="J929" s="38"/>
      <c r="K929" s="39"/>
    </row>
    <row r="930">
      <c r="A930" s="47"/>
      <c r="B930" s="48"/>
      <c r="C930" s="48"/>
      <c r="D930" s="48"/>
      <c r="E930" s="43"/>
      <c r="F930" s="40"/>
      <c r="G930" s="36"/>
      <c r="H930" s="36"/>
      <c r="I930" s="45"/>
      <c r="J930" s="38"/>
      <c r="K930" s="39"/>
    </row>
    <row r="931">
      <c r="A931" s="47"/>
      <c r="B931" s="48"/>
      <c r="C931" s="48"/>
      <c r="D931" s="48"/>
      <c r="E931" s="43"/>
      <c r="F931" s="40"/>
      <c r="G931" s="36"/>
      <c r="H931" s="36"/>
      <c r="I931" s="45"/>
      <c r="J931" s="38"/>
      <c r="K931" s="39"/>
    </row>
    <row r="932">
      <c r="A932" s="47"/>
      <c r="B932" s="48"/>
      <c r="C932" s="48"/>
      <c r="D932" s="48"/>
      <c r="E932" s="43"/>
      <c r="F932" s="40"/>
      <c r="G932" s="36"/>
      <c r="H932" s="36"/>
      <c r="I932" s="45"/>
      <c r="J932" s="38"/>
      <c r="K932" s="39"/>
    </row>
    <row r="933">
      <c r="A933" s="47"/>
      <c r="B933" s="48"/>
      <c r="C933" s="48"/>
      <c r="D933" s="48"/>
      <c r="E933" s="43"/>
      <c r="F933" s="40"/>
      <c r="G933" s="36"/>
      <c r="H933" s="36"/>
      <c r="I933" s="45"/>
      <c r="J933" s="38"/>
      <c r="K933" s="39"/>
    </row>
    <row r="934">
      <c r="A934" s="47"/>
      <c r="B934" s="48"/>
      <c r="C934" s="48"/>
      <c r="D934" s="48"/>
      <c r="E934" s="43"/>
      <c r="F934" s="40"/>
      <c r="G934" s="36"/>
      <c r="H934" s="36"/>
      <c r="I934" s="45"/>
      <c r="J934" s="38"/>
      <c r="K934" s="39"/>
    </row>
    <row r="935">
      <c r="A935" s="47"/>
      <c r="B935" s="48"/>
      <c r="C935" s="48"/>
      <c r="D935" s="48"/>
      <c r="E935" s="43"/>
      <c r="F935" s="40"/>
      <c r="G935" s="36"/>
      <c r="H935" s="36"/>
      <c r="I935" s="45"/>
      <c r="J935" s="38"/>
      <c r="K935" s="39"/>
    </row>
    <row r="936">
      <c r="A936" s="47"/>
      <c r="B936" s="48"/>
      <c r="C936" s="48"/>
      <c r="D936" s="48"/>
      <c r="E936" s="43"/>
      <c r="F936" s="40"/>
      <c r="G936" s="36"/>
      <c r="H936" s="36"/>
      <c r="I936" s="45"/>
      <c r="J936" s="38"/>
      <c r="K936" s="39"/>
    </row>
    <row r="937">
      <c r="A937" s="47"/>
      <c r="B937" s="48"/>
      <c r="C937" s="48"/>
      <c r="D937" s="48"/>
      <c r="E937" s="43"/>
      <c r="F937" s="40"/>
      <c r="G937" s="36"/>
      <c r="H937" s="36"/>
      <c r="I937" s="45"/>
      <c r="J937" s="38"/>
      <c r="K937" s="39"/>
    </row>
    <row r="938">
      <c r="A938" s="47"/>
      <c r="B938" s="48"/>
      <c r="C938" s="48"/>
      <c r="D938" s="48"/>
      <c r="E938" s="43"/>
      <c r="F938" s="40"/>
      <c r="G938" s="36"/>
      <c r="H938" s="36"/>
      <c r="I938" s="45"/>
      <c r="J938" s="38"/>
      <c r="K938" s="39"/>
    </row>
    <row r="939">
      <c r="A939" s="47"/>
      <c r="B939" s="48"/>
      <c r="C939" s="48"/>
      <c r="D939" s="48"/>
      <c r="E939" s="43"/>
      <c r="F939" s="40"/>
      <c r="G939" s="36"/>
      <c r="H939" s="36"/>
      <c r="I939" s="45"/>
      <c r="J939" s="38"/>
      <c r="K939" s="39"/>
    </row>
    <row r="940">
      <c r="A940" s="47"/>
      <c r="B940" s="48"/>
      <c r="C940" s="48"/>
      <c r="D940" s="48"/>
      <c r="E940" s="43"/>
      <c r="F940" s="40"/>
      <c r="G940" s="36"/>
      <c r="H940" s="36"/>
      <c r="I940" s="45"/>
      <c r="J940" s="38"/>
      <c r="K940" s="39"/>
    </row>
    <row r="941">
      <c r="A941" s="47"/>
      <c r="B941" s="48"/>
      <c r="C941" s="48"/>
      <c r="D941" s="48"/>
      <c r="E941" s="43"/>
      <c r="F941" s="40"/>
      <c r="G941" s="36"/>
      <c r="H941" s="36"/>
      <c r="I941" s="45"/>
      <c r="J941" s="38"/>
      <c r="K941" s="39"/>
    </row>
    <row r="942">
      <c r="A942" s="47"/>
      <c r="B942" s="48"/>
      <c r="C942" s="48"/>
      <c r="D942" s="48"/>
      <c r="E942" s="43"/>
      <c r="F942" s="40"/>
      <c r="G942" s="36"/>
      <c r="H942" s="36"/>
      <c r="I942" s="45"/>
      <c r="J942" s="38"/>
      <c r="K942" s="39"/>
    </row>
    <row r="943">
      <c r="A943" s="47"/>
      <c r="B943" s="48"/>
      <c r="C943" s="48"/>
      <c r="D943" s="48"/>
      <c r="E943" s="43"/>
      <c r="F943" s="40"/>
      <c r="G943" s="36"/>
      <c r="H943" s="36"/>
      <c r="I943" s="45"/>
      <c r="J943" s="38"/>
      <c r="K943" s="39"/>
    </row>
    <row r="944">
      <c r="A944" s="47"/>
      <c r="B944" s="48"/>
      <c r="C944" s="48"/>
      <c r="D944" s="48"/>
      <c r="E944" s="43"/>
      <c r="F944" s="40"/>
      <c r="G944" s="36"/>
      <c r="H944" s="36"/>
      <c r="I944" s="45"/>
      <c r="J944" s="38"/>
      <c r="K944" s="39"/>
    </row>
    <row r="945">
      <c r="A945" s="47"/>
      <c r="B945" s="48"/>
      <c r="C945" s="48"/>
      <c r="D945" s="48"/>
      <c r="E945" s="43"/>
      <c r="F945" s="40"/>
      <c r="G945" s="36"/>
      <c r="H945" s="36"/>
      <c r="I945" s="45"/>
      <c r="J945" s="38"/>
      <c r="K945" s="39"/>
    </row>
    <row r="946">
      <c r="A946" s="47"/>
      <c r="B946" s="48"/>
      <c r="C946" s="48"/>
      <c r="D946" s="48"/>
      <c r="E946" s="43"/>
      <c r="F946" s="40"/>
      <c r="G946" s="36"/>
      <c r="H946" s="36"/>
      <c r="I946" s="45"/>
      <c r="J946" s="38"/>
      <c r="K946" s="39"/>
    </row>
    <row r="947">
      <c r="A947" s="47"/>
      <c r="B947" s="48"/>
      <c r="C947" s="48"/>
      <c r="D947" s="48"/>
      <c r="E947" s="43"/>
      <c r="F947" s="40"/>
      <c r="G947" s="36"/>
      <c r="H947" s="36"/>
      <c r="I947" s="45"/>
      <c r="J947" s="38"/>
      <c r="K947" s="39"/>
    </row>
    <row r="948">
      <c r="A948" s="47"/>
      <c r="B948" s="48"/>
      <c r="C948" s="48"/>
      <c r="D948" s="48"/>
      <c r="E948" s="43"/>
      <c r="F948" s="40"/>
      <c r="G948" s="36"/>
      <c r="H948" s="36"/>
      <c r="I948" s="45"/>
      <c r="J948" s="38"/>
      <c r="K948" s="39"/>
    </row>
    <row r="949">
      <c r="A949" s="47"/>
      <c r="B949" s="48"/>
      <c r="C949" s="48"/>
      <c r="D949" s="48"/>
      <c r="E949" s="43"/>
      <c r="F949" s="40"/>
      <c r="G949" s="36"/>
      <c r="H949" s="36"/>
      <c r="I949" s="45"/>
      <c r="J949" s="38"/>
      <c r="K949" s="39"/>
    </row>
    <row r="950">
      <c r="A950" s="47"/>
      <c r="B950" s="48"/>
      <c r="C950" s="48"/>
      <c r="D950" s="48"/>
      <c r="E950" s="43"/>
      <c r="F950" s="40"/>
      <c r="G950" s="36"/>
      <c r="H950" s="36"/>
      <c r="I950" s="45"/>
      <c r="J950" s="38"/>
      <c r="K950" s="39"/>
    </row>
    <row r="951">
      <c r="A951" s="47"/>
      <c r="B951" s="48"/>
      <c r="C951" s="48"/>
      <c r="D951" s="48"/>
      <c r="E951" s="43"/>
      <c r="F951" s="40"/>
      <c r="G951" s="36"/>
      <c r="H951" s="36"/>
      <c r="I951" s="45"/>
      <c r="J951" s="38"/>
      <c r="K951" s="39"/>
    </row>
    <row r="952">
      <c r="A952" s="47"/>
      <c r="B952" s="48"/>
      <c r="C952" s="48"/>
      <c r="D952" s="48"/>
      <c r="E952" s="43"/>
      <c r="F952" s="40"/>
      <c r="G952" s="36"/>
      <c r="H952" s="36"/>
      <c r="I952" s="45"/>
      <c r="J952" s="38"/>
      <c r="K952" s="39"/>
    </row>
    <row r="953">
      <c r="A953" s="47"/>
      <c r="B953" s="48"/>
      <c r="C953" s="48"/>
      <c r="D953" s="48"/>
      <c r="E953" s="43"/>
      <c r="F953" s="40"/>
      <c r="G953" s="36"/>
      <c r="H953" s="36"/>
      <c r="I953" s="45"/>
      <c r="J953" s="38"/>
      <c r="K953" s="39"/>
    </row>
    <row r="954">
      <c r="A954" s="47"/>
      <c r="B954" s="48"/>
      <c r="C954" s="48"/>
      <c r="D954" s="48"/>
      <c r="E954" s="43"/>
      <c r="F954" s="40"/>
      <c r="G954" s="36"/>
      <c r="H954" s="36"/>
      <c r="I954" s="45"/>
      <c r="J954" s="38"/>
      <c r="K954" s="39"/>
    </row>
    <row r="955">
      <c r="A955" s="47"/>
      <c r="B955" s="48"/>
      <c r="C955" s="48"/>
      <c r="D955" s="48"/>
      <c r="E955" s="43"/>
      <c r="F955" s="40"/>
      <c r="G955" s="36"/>
      <c r="H955" s="36"/>
      <c r="I955" s="45"/>
      <c r="J955" s="38"/>
      <c r="K955" s="39"/>
    </row>
    <row r="956">
      <c r="A956" s="47"/>
      <c r="B956" s="48"/>
      <c r="C956" s="48"/>
      <c r="D956" s="48"/>
      <c r="E956" s="43"/>
      <c r="F956" s="40"/>
      <c r="G956" s="36"/>
      <c r="H956" s="36"/>
      <c r="I956" s="45"/>
      <c r="J956" s="38"/>
      <c r="K956" s="39"/>
    </row>
    <row r="957">
      <c r="A957" s="47"/>
      <c r="B957" s="48"/>
      <c r="C957" s="48"/>
      <c r="D957" s="48"/>
      <c r="E957" s="43"/>
      <c r="F957" s="40"/>
      <c r="G957" s="36"/>
      <c r="H957" s="36"/>
      <c r="I957" s="45"/>
      <c r="J957" s="38"/>
      <c r="K957" s="39"/>
    </row>
    <row r="958">
      <c r="A958" s="47"/>
      <c r="B958" s="48"/>
      <c r="C958" s="48"/>
      <c r="D958" s="48"/>
      <c r="E958" s="43"/>
      <c r="F958" s="40"/>
      <c r="G958" s="36"/>
      <c r="H958" s="36"/>
      <c r="I958" s="45"/>
      <c r="J958" s="38"/>
      <c r="K958" s="39"/>
    </row>
    <row r="959">
      <c r="A959" s="49"/>
      <c r="B959" s="50"/>
      <c r="C959" s="50"/>
      <c r="D959" s="50"/>
      <c r="E959" s="51"/>
      <c r="F959" s="52"/>
      <c r="G959" s="53"/>
      <c r="H959" s="53"/>
      <c r="I959" s="54"/>
      <c r="J959" s="55"/>
      <c r="K959" s="56"/>
    </row>
  </sheetData>
  <mergeCells count="2">
    <mergeCell ref="A1:C1"/>
    <mergeCell ref="F1:I1"/>
  </mergeCells>
  <dataValidations>
    <dataValidation type="custom" allowBlank="1" showDropDown="1" showErrorMessage="1" sqref="A5:A959">
      <formula1>OR(NOT(ISERROR(DATEVALUE(A5))), AND(ISNUMBER(A5), LEFT(CELL("format", A5))="D"))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7" t="s">
        <v>591</v>
      </c>
      <c r="B1" s="298" t="s">
        <v>592</v>
      </c>
      <c r="C1" s="298" t="s">
        <v>573</v>
      </c>
      <c r="D1" s="298" t="s">
        <v>593</v>
      </c>
      <c r="E1" s="298" t="s">
        <v>594</v>
      </c>
      <c r="F1" s="298" t="s">
        <v>595</v>
      </c>
      <c r="G1" s="298" t="s">
        <v>596</v>
      </c>
      <c r="H1" s="298" t="s">
        <v>597</v>
      </c>
      <c r="I1" s="298" t="s">
        <v>598</v>
      </c>
      <c r="J1" s="298" t="s">
        <v>599</v>
      </c>
      <c r="K1" s="298" t="s">
        <v>600</v>
      </c>
      <c r="L1" s="298" t="s">
        <v>601</v>
      </c>
      <c r="M1" s="298" t="s">
        <v>602</v>
      </c>
      <c r="N1" s="298" t="s">
        <v>603</v>
      </c>
      <c r="O1" s="298" t="s">
        <v>8</v>
      </c>
      <c r="P1" s="298" t="s">
        <v>604</v>
      </c>
      <c r="Q1" s="298" t="s">
        <v>605</v>
      </c>
      <c r="R1" s="298" t="s">
        <v>606</v>
      </c>
      <c r="S1" s="299" t="s">
        <v>607</v>
      </c>
    </row>
    <row r="2">
      <c r="A2" s="300">
        <v>1.0</v>
      </c>
      <c r="B2" s="301">
        <v>43743.0</v>
      </c>
      <c r="C2" s="302" t="s">
        <v>125</v>
      </c>
      <c r="D2" s="302" t="s">
        <v>608</v>
      </c>
      <c r="E2" s="303"/>
      <c r="F2" s="303"/>
      <c r="G2" s="303"/>
      <c r="H2" s="303"/>
      <c r="I2" s="303"/>
      <c r="J2" s="303"/>
      <c r="K2" s="302">
        <v>1517570.0</v>
      </c>
      <c r="L2" s="304">
        <v>1517570.0</v>
      </c>
      <c r="M2" s="303"/>
      <c r="N2" s="302">
        <v>0.0</v>
      </c>
      <c r="O2" s="302">
        <v>0.0</v>
      </c>
      <c r="P2" s="302">
        <v>0.0</v>
      </c>
      <c r="Q2" s="305">
        <v>0.0</v>
      </c>
      <c r="R2" s="303"/>
      <c r="S2" s="306">
        <v>1517570.0</v>
      </c>
    </row>
    <row r="3">
      <c r="A3" s="300">
        <v>2.0</v>
      </c>
      <c r="B3" s="301">
        <v>44032.0</v>
      </c>
      <c r="C3" s="302" t="s">
        <v>125</v>
      </c>
      <c r="D3" s="302" t="s">
        <v>609</v>
      </c>
      <c r="E3" s="302">
        <v>644.0</v>
      </c>
      <c r="F3" s="302">
        <v>92.5</v>
      </c>
      <c r="G3" s="303"/>
      <c r="H3" s="302">
        <v>10.0</v>
      </c>
      <c r="I3" s="303"/>
      <c r="J3" s="302">
        <v>783.74</v>
      </c>
      <c r="K3" s="303"/>
      <c r="L3" s="304">
        <v>-490620.0</v>
      </c>
      <c r="M3" s="302">
        <v>9.25</v>
      </c>
      <c r="N3" s="302">
        <v>8.0</v>
      </c>
      <c r="O3" s="302">
        <v>9.0</v>
      </c>
      <c r="P3" s="302">
        <v>59.0</v>
      </c>
      <c r="Q3" s="305">
        <v>626.0</v>
      </c>
      <c r="R3" s="304">
        <v>490620.0</v>
      </c>
      <c r="S3" s="306">
        <v>1026950.0</v>
      </c>
    </row>
    <row r="4">
      <c r="A4" s="300">
        <v>3.0</v>
      </c>
      <c r="B4" s="301">
        <v>44032.0</v>
      </c>
      <c r="C4" s="302" t="s">
        <v>125</v>
      </c>
      <c r="D4" s="302" t="s">
        <v>610</v>
      </c>
      <c r="E4" s="303"/>
      <c r="F4" s="303"/>
      <c r="G4" s="303"/>
      <c r="H4" s="303"/>
      <c r="I4" s="303"/>
      <c r="J4" s="303"/>
      <c r="K4" s="302">
        <v>300000.0</v>
      </c>
      <c r="L4" s="304">
        <v>300000.0</v>
      </c>
      <c r="M4" s="303"/>
      <c r="N4" s="302">
        <v>0.0</v>
      </c>
      <c r="O4" s="302">
        <v>0.0</v>
      </c>
      <c r="P4" s="302">
        <v>0.0</v>
      </c>
      <c r="Q4" s="305">
        <v>0.0</v>
      </c>
      <c r="R4" s="303"/>
      <c r="S4" s="306">
        <v>1326950.0</v>
      </c>
    </row>
    <row r="5">
      <c r="A5" s="300">
        <v>4.0</v>
      </c>
      <c r="B5" s="301">
        <v>44034.0</v>
      </c>
      <c r="C5" s="302" t="s">
        <v>125</v>
      </c>
      <c r="D5" s="302" t="s">
        <v>611</v>
      </c>
      <c r="E5" s="303"/>
      <c r="F5" s="303"/>
      <c r="G5" s="303"/>
      <c r="H5" s="303"/>
      <c r="I5" s="303"/>
      <c r="J5" s="303"/>
      <c r="K5" s="302">
        <v>200000.0</v>
      </c>
      <c r="L5" s="304">
        <v>200000.0</v>
      </c>
      <c r="M5" s="303"/>
      <c r="N5" s="302">
        <v>0.0</v>
      </c>
      <c r="O5" s="302">
        <v>0.0</v>
      </c>
      <c r="P5" s="302">
        <v>0.0</v>
      </c>
      <c r="Q5" s="305">
        <v>0.0</v>
      </c>
      <c r="R5" s="303"/>
      <c r="S5" s="306">
        <v>1526950.0</v>
      </c>
    </row>
    <row r="6">
      <c r="A6" s="300">
        <v>5.0</v>
      </c>
      <c r="B6" s="301">
        <v>44057.0</v>
      </c>
      <c r="C6" s="302" t="s">
        <v>125</v>
      </c>
      <c r="D6" s="302" t="s">
        <v>612</v>
      </c>
      <c r="E6" s="303"/>
      <c r="F6" s="303"/>
      <c r="G6" s="303"/>
      <c r="H6" s="303"/>
      <c r="I6" s="303"/>
      <c r="J6" s="303"/>
      <c r="K6" s="302">
        <v>30000.0</v>
      </c>
      <c r="L6" s="304">
        <v>30000.0</v>
      </c>
      <c r="M6" s="303"/>
      <c r="N6" s="302">
        <v>0.0</v>
      </c>
      <c r="O6" s="302">
        <v>0.0</v>
      </c>
      <c r="P6" s="302">
        <v>0.0</v>
      </c>
      <c r="Q6" s="305">
        <v>0.0</v>
      </c>
      <c r="R6" s="303"/>
      <c r="S6" s="306">
        <v>1556950.0</v>
      </c>
    </row>
    <row r="7">
      <c r="A7" s="300">
        <v>6.0</v>
      </c>
      <c r="B7" s="301">
        <v>44057.0</v>
      </c>
      <c r="C7" s="302" t="s">
        <v>125</v>
      </c>
      <c r="D7" s="302" t="s">
        <v>613</v>
      </c>
      <c r="E7" s="302">
        <v>447.0</v>
      </c>
      <c r="F7" s="302">
        <v>67.5</v>
      </c>
      <c r="G7" s="303"/>
      <c r="H7" s="302">
        <v>7.0</v>
      </c>
      <c r="I7" s="302">
        <v>1.0</v>
      </c>
      <c r="J7" s="302">
        <v>820.0</v>
      </c>
      <c r="K7" s="303"/>
      <c r="L7" s="304">
        <v>-355880.0</v>
      </c>
      <c r="M7" s="302">
        <v>9.64</v>
      </c>
      <c r="N7" s="302">
        <v>7.0</v>
      </c>
      <c r="O7" s="302">
        <v>6.0</v>
      </c>
      <c r="P7" s="302">
        <v>56.0</v>
      </c>
      <c r="Q7" s="305">
        <v>434.0</v>
      </c>
      <c r="R7" s="304">
        <v>355880.0</v>
      </c>
      <c r="S7" s="306">
        <v>1201070.0</v>
      </c>
    </row>
    <row r="8">
      <c r="A8" s="300">
        <v>7.0</v>
      </c>
      <c r="B8" s="301">
        <v>44058.0</v>
      </c>
      <c r="C8" s="302" t="s">
        <v>125</v>
      </c>
      <c r="D8" s="302" t="s">
        <v>614</v>
      </c>
      <c r="E8" s="303"/>
      <c r="F8" s="303"/>
      <c r="G8" s="303"/>
      <c r="H8" s="303"/>
      <c r="I8" s="303"/>
      <c r="J8" s="303"/>
      <c r="K8" s="302">
        <v>355880.0</v>
      </c>
      <c r="L8" s="304">
        <v>355880.0</v>
      </c>
      <c r="M8" s="303"/>
      <c r="N8" s="302">
        <v>0.0</v>
      </c>
      <c r="O8" s="302">
        <v>0.0</v>
      </c>
      <c r="P8" s="302">
        <v>0.0</v>
      </c>
      <c r="Q8" s="305">
        <v>0.0</v>
      </c>
      <c r="R8" s="303"/>
      <c r="S8" s="306">
        <v>1556950.0</v>
      </c>
    </row>
    <row r="9">
      <c r="A9" s="300">
        <v>8.0</v>
      </c>
      <c r="B9" s="301">
        <v>44069.0</v>
      </c>
      <c r="C9" s="302" t="s">
        <v>125</v>
      </c>
      <c r="D9" s="302" t="s">
        <v>615</v>
      </c>
      <c r="E9" s="303"/>
      <c r="F9" s="303"/>
      <c r="G9" s="303"/>
      <c r="H9" s="303"/>
      <c r="I9" s="303"/>
      <c r="J9" s="303"/>
      <c r="K9" s="302">
        <v>200000.0</v>
      </c>
      <c r="L9" s="304">
        <v>200000.0</v>
      </c>
      <c r="M9" s="303"/>
      <c r="N9" s="302">
        <v>0.0</v>
      </c>
      <c r="O9" s="302">
        <v>0.0</v>
      </c>
      <c r="P9" s="302">
        <v>0.0</v>
      </c>
      <c r="Q9" s="305">
        <v>0.0</v>
      </c>
      <c r="R9" s="303"/>
      <c r="S9" s="306">
        <v>1756950.0</v>
      </c>
    </row>
    <row r="10">
      <c r="A10" s="300">
        <v>9.0</v>
      </c>
      <c r="B10" s="301">
        <v>44083.0</v>
      </c>
      <c r="C10" s="302" t="s">
        <v>125</v>
      </c>
      <c r="D10" s="302" t="s">
        <v>616</v>
      </c>
      <c r="E10" s="303"/>
      <c r="F10" s="303"/>
      <c r="G10" s="303"/>
      <c r="H10" s="303"/>
      <c r="I10" s="303"/>
      <c r="J10" s="303"/>
      <c r="K10" s="302">
        <v>700000.0</v>
      </c>
      <c r="L10" s="304">
        <v>700000.0</v>
      </c>
      <c r="M10" s="303"/>
      <c r="N10" s="302">
        <v>0.0</v>
      </c>
      <c r="O10" s="302">
        <v>0.0</v>
      </c>
      <c r="P10" s="302">
        <v>0.0</v>
      </c>
      <c r="Q10" s="305">
        <v>0.0</v>
      </c>
      <c r="R10" s="303"/>
      <c r="S10" s="306">
        <v>2456950.0</v>
      </c>
    </row>
    <row r="11">
      <c r="A11" s="300">
        <v>10.0</v>
      </c>
      <c r="B11" s="301">
        <v>44091.0</v>
      </c>
      <c r="C11" s="302" t="s">
        <v>125</v>
      </c>
      <c r="D11" s="302" t="s">
        <v>617</v>
      </c>
      <c r="E11" s="302">
        <v>1458.0</v>
      </c>
      <c r="F11" s="302">
        <v>228.5</v>
      </c>
      <c r="G11" s="303"/>
      <c r="H11" s="302">
        <v>19.0</v>
      </c>
      <c r="I11" s="303"/>
      <c r="J11" s="302">
        <v>890.0</v>
      </c>
      <c r="K11" s="303"/>
      <c r="L11" s="304">
        <v>-1229090.0</v>
      </c>
      <c r="M11" s="302">
        <v>12.03</v>
      </c>
      <c r="N11" s="302">
        <v>58.0</v>
      </c>
      <c r="O11" s="302">
        <v>21.0</v>
      </c>
      <c r="P11" s="302">
        <v>58.0</v>
      </c>
      <c r="Q11" s="305">
        <v>1381.0</v>
      </c>
      <c r="R11" s="304">
        <v>1229090.0</v>
      </c>
      <c r="S11" s="306">
        <v>1227860.0</v>
      </c>
    </row>
    <row r="12">
      <c r="A12" s="300">
        <v>11.0</v>
      </c>
      <c r="B12" s="301">
        <v>44091.0</v>
      </c>
      <c r="C12" s="302" t="s">
        <v>125</v>
      </c>
      <c r="D12" s="302" t="s">
        <v>618</v>
      </c>
      <c r="E12" s="303"/>
      <c r="F12" s="303"/>
      <c r="G12" s="303"/>
      <c r="H12" s="303"/>
      <c r="I12" s="303"/>
      <c r="J12" s="303"/>
      <c r="K12" s="302">
        <v>1229000.0</v>
      </c>
      <c r="L12" s="304">
        <v>1229000.0</v>
      </c>
      <c r="M12" s="303"/>
      <c r="N12" s="302">
        <v>0.0</v>
      </c>
      <c r="O12" s="302">
        <v>0.0</v>
      </c>
      <c r="P12" s="302">
        <v>0.0</v>
      </c>
      <c r="Q12" s="305">
        <v>0.0</v>
      </c>
      <c r="R12" s="303"/>
      <c r="S12" s="306">
        <v>2456860.0</v>
      </c>
    </row>
    <row r="13">
      <c r="A13" s="300">
        <v>12.0</v>
      </c>
      <c r="B13" s="301">
        <v>44102.0</v>
      </c>
      <c r="C13" s="302" t="s">
        <v>125</v>
      </c>
      <c r="D13" s="302" t="s">
        <v>619</v>
      </c>
      <c r="E13" s="302">
        <v>1689.0</v>
      </c>
      <c r="F13" s="302">
        <v>164.0</v>
      </c>
      <c r="G13" s="303"/>
      <c r="H13" s="302">
        <v>16.0</v>
      </c>
      <c r="I13" s="303"/>
      <c r="J13" s="302">
        <v>950.0</v>
      </c>
      <c r="K13" s="303"/>
      <c r="L13" s="304">
        <v>-1553250.0</v>
      </c>
      <c r="M13" s="302">
        <v>10.25</v>
      </c>
      <c r="N13" s="302">
        <v>38.0</v>
      </c>
      <c r="O13" s="302">
        <v>25.0</v>
      </c>
      <c r="P13" s="302">
        <v>60.0</v>
      </c>
      <c r="Q13" s="305">
        <v>1635.0</v>
      </c>
      <c r="R13" s="304">
        <v>1553250.0</v>
      </c>
      <c r="S13" s="306">
        <v>903610.0</v>
      </c>
    </row>
    <row r="14">
      <c r="A14" s="300">
        <v>13.0</v>
      </c>
      <c r="B14" s="301">
        <v>44102.0</v>
      </c>
      <c r="C14" s="302" t="s">
        <v>125</v>
      </c>
      <c r="D14" s="302" t="s">
        <v>620</v>
      </c>
      <c r="E14" s="303"/>
      <c r="F14" s="303"/>
      <c r="G14" s="303"/>
      <c r="H14" s="303"/>
      <c r="I14" s="303"/>
      <c r="J14" s="303"/>
      <c r="K14" s="302">
        <v>1050000.0</v>
      </c>
      <c r="L14" s="304">
        <v>1050000.0</v>
      </c>
      <c r="M14" s="303"/>
      <c r="N14" s="302">
        <v>0.0</v>
      </c>
      <c r="O14" s="302">
        <v>0.0</v>
      </c>
      <c r="P14" s="302">
        <v>0.0</v>
      </c>
      <c r="Q14" s="305">
        <v>0.0</v>
      </c>
      <c r="R14" s="303"/>
      <c r="S14" s="306">
        <v>1953610.0</v>
      </c>
    </row>
    <row r="15">
      <c r="A15" s="300">
        <v>14.0</v>
      </c>
      <c r="B15" s="301">
        <v>44102.0</v>
      </c>
      <c r="C15" s="302" t="s">
        <v>125</v>
      </c>
      <c r="D15" s="302" t="s">
        <v>621</v>
      </c>
      <c r="E15" s="303"/>
      <c r="F15" s="303"/>
      <c r="G15" s="303"/>
      <c r="H15" s="303"/>
      <c r="I15" s="303"/>
      <c r="J15" s="303"/>
      <c r="K15" s="302">
        <v>1553250.0</v>
      </c>
      <c r="L15" s="304">
        <v>1553250.0</v>
      </c>
      <c r="M15" s="303"/>
      <c r="N15" s="302">
        <v>0.0</v>
      </c>
      <c r="O15" s="302">
        <v>0.0</v>
      </c>
      <c r="P15" s="302">
        <v>0.0</v>
      </c>
      <c r="Q15" s="305">
        <v>0.0</v>
      </c>
      <c r="R15" s="303"/>
      <c r="S15" s="306">
        <v>3506860.0</v>
      </c>
    </row>
    <row r="16">
      <c r="A16" s="300">
        <v>15.0</v>
      </c>
      <c r="B16" s="301">
        <v>44109.0</v>
      </c>
      <c r="C16" s="302" t="s">
        <v>125</v>
      </c>
      <c r="D16" s="302" t="s">
        <v>622</v>
      </c>
      <c r="E16" s="303"/>
      <c r="F16" s="303"/>
      <c r="G16" s="303"/>
      <c r="H16" s="303"/>
      <c r="I16" s="303"/>
      <c r="J16" s="303"/>
      <c r="K16" s="302">
        <v>200000.0</v>
      </c>
      <c r="L16" s="304">
        <v>200000.0</v>
      </c>
      <c r="M16" s="303"/>
      <c r="N16" s="302">
        <v>0.0</v>
      </c>
      <c r="O16" s="302">
        <v>0.0</v>
      </c>
      <c r="P16" s="302">
        <v>0.0</v>
      </c>
      <c r="Q16" s="305">
        <v>0.0</v>
      </c>
      <c r="R16" s="303"/>
      <c r="S16" s="306">
        <v>3706860.0</v>
      </c>
    </row>
  </sheetData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7" t="s">
        <v>591</v>
      </c>
      <c r="B1" s="298" t="s">
        <v>592</v>
      </c>
      <c r="C1" s="298" t="s">
        <v>573</v>
      </c>
      <c r="D1" s="298" t="s">
        <v>593</v>
      </c>
      <c r="E1" s="298" t="s">
        <v>623</v>
      </c>
      <c r="F1" s="298" t="s">
        <v>595</v>
      </c>
      <c r="G1" s="298" t="s">
        <v>596</v>
      </c>
      <c r="H1" s="298" t="s">
        <v>597</v>
      </c>
      <c r="I1" s="298" t="s">
        <v>598</v>
      </c>
      <c r="J1" s="298" t="s">
        <v>599</v>
      </c>
      <c r="K1" s="298" t="s">
        <v>600</v>
      </c>
      <c r="L1" s="298" t="s">
        <v>601</v>
      </c>
      <c r="M1" s="298" t="s">
        <v>602</v>
      </c>
      <c r="N1" s="298" t="s">
        <v>603</v>
      </c>
      <c r="O1" s="298" t="s">
        <v>8</v>
      </c>
      <c r="P1" s="298" t="s">
        <v>604</v>
      </c>
      <c r="Q1" s="298" t="s">
        <v>605</v>
      </c>
      <c r="R1" s="298" t="s">
        <v>606</v>
      </c>
      <c r="S1" s="299" t="s">
        <v>607</v>
      </c>
    </row>
    <row r="2">
      <c r="A2" s="300">
        <v>1.0</v>
      </c>
      <c r="B2" s="301">
        <v>43743.0</v>
      </c>
      <c r="C2" s="302" t="s">
        <v>125</v>
      </c>
      <c r="D2" s="302" t="s">
        <v>608</v>
      </c>
      <c r="E2" s="303"/>
      <c r="F2" s="303"/>
      <c r="G2" s="303"/>
      <c r="H2" s="303"/>
      <c r="I2" s="303"/>
      <c r="J2" s="303"/>
      <c r="K2" s="302">
        <v>1517570.0</v>
      </c>
      <c r="L2" s="304">
        <v>1517570.0</v>
      </c>
      <c r="M2" s="303"/>
      <c r="N2" s="302">
        <v>0.0</v>
      </c>
      <c r="O2" s="302">
        <v>0.0</v>
      </c>
      <c r="P2" s="302">
        <v>0.0</v>
      </c>
      <c r="Q2" s="305">
        <v>0.0</v>
      </c>
      <c r="R2" s="303"/>
      <c r="S2" s="306">
        <v>1517570.0</v>
      </c>
    </row>
    <row r="3">
      <c r="A3" s="300">
        <v>2.0</v>
      </c>
      <c r="B3" s="301">
        <v>44032.0</v>
      </c>
      <c r="C3" s="302" t="s">
        <v>125</v>
      </c>
      <c r="D3" s="302" t="s">
        <v>609</v>
      </c>
      <c r="E3" s="302">
        <v>644.0</v>
      </c>
      <c r="F3" s="302">
        <v>92.5</v>
      </c>
      <c r="G3" s="303"/>
      <c r="H3" s="302">
        <v>10.0</v>
      </c>
      <c r="I3" s="303"/>
      <c r="J3" s="302">
        <v>783.74</v>
      </c>
      <c r="K3" s="303"/>
      <c r="L3" s="304">
        <v>-490620.0</v>
      </c>
      <c r="M3" s="302">
        <v>9.25</v>
      </c>
      <c r="N3" s="302">
        <v>8.0</v>
      </c>
      <c r="O3" s="302">
        <v>9.0</v>
      </c>
      <c r="P3" s="302">
        <v>59.0</v>
      </c>
      <c r="Q3" s="305">
        <v>626.0</v>
      </c>
      <c r="R3" s="304">
        <v>490620.0</v>
      </c>
      <c r="S3" s="306">
        <v>1026950.0</v>
      </c>
    </row>
    <row r="4">
      <c r="A4" s="300">
        <v>3.0</v>
      </c>
      <c r="B4" s="301">
        <v>44032.0</v>
      </c>
      <c r="C4" s="302" t="s">
        <v>125</v>
      </c>
      <c r="D4" s="302" t="s">
        <v>610</v>
      </c>
      <c r="E4" s="303"/>
      <c r="F4" s="303"/>
      <c r="G4" s="303"/>
      <c r="H4" s="303"/>
      <c r="I4" s="303"/>
      <c r="J4" s="303"/>
      <c r="K4" s="302">
        <v>300000.0</v>
      </c>
      <c r="L4" s="304">
        <v>300000.0</v>
      </c>
      <c r="M4" s="303"/>
      <c r="N4" s="302">
        <v>0.0</v>
      </c>
      <c r="O4" s="302">
        <v>0.0</v>
      </c>
      <c r="P4" s="302">
        <v>0.0</v>
      </c>
      <c r="Q4" s="305">
        <v>0.0</v>
      </c>
      <c r="R4" s="303"/>
      <c r="S4" s="306">
        <v>1326950.0</v>
      </c>
    </row>
    <row r="5">
      <c r="A5" s="300">
        <v>4.0</v>
      </c>
      <c r="B5" s="301">
        <v>44034.0</v>
      </c>
      <c r="C5" s="302" t="s">
        <v>125</v>
      </c>
      <c r="D5" s="302" t="s">
        <v>611</v>
      </c>
      <c r="E5" s="303"/>
      <c r="F5" s="303"/>
      <c r="G5" s="303"/>
      <c r="H5" s="303"/>
      <c r="I5" s="303"/>
      <c r="J5" s="303"/>
      <c r="K5" s="302">
        <v>200000.0</v>
      </c>
      <c r="L5" s="304">
        <v>200000.0</v>
      </c>
      <c r="M5" s="303"/>
      <c r="N5" s="302">
        <v>0.0</v>
      </c>
      <c r="O5" s="302">
        <v>0.0</v>
      </c>
      <c r="P5" s="302">
        <v>0.0</v>
      </c>
      <c r="Q5" s="305">
        <v>0.0</v>
      </c>
      <c r="R5" s="303"/>
      <c r="S5" s="306">
        <v>1526950.0</v>
      </c>
    </row>
    <row r="6">
      <c r="A6" s="300">
        <v>5.0</v>
      </c>
      <c r="B6" s="301">
        <v>44057.0</v>
      </c>
      <c r="C6" s="302" t="s">
        <v>125</v>
      </c>
      <c r="D6" s="302" t="s">
        <v>612</v>
      </c>
      <c r="E6" s="303"/>
      <c r="F6" s="303"/>
      <c r="G6" s="303"/>
      <c r="H6" s="303"/>
      <c r="I6" s="303"/>
      <c r="J6" s="303"/>
      <c r="K6" s="302">
        <v>30000.0</v>
      </c>
      <c r="L6" s="304">
        <v>30000.0</v>
      </c>
      <c r="M6" s="303"/>
      <c r="N6" s="302">
        <v>0.0</v>
      </c>
      <c r="O6" s="302">
        <v>0.0</v>
      </c>
      <c r="P6" s="302">
        <v>0.0</v>
      </c>
      <c r="Q6" s="305">
        <v>0.0</v>
      </c>
      <c r="R6" s="303"/>
      <c r="S6" s="306">
        <v>1556950.0</v>
      </c>
    </row>
    <row r="7">
      <c r="A7" s="300">
        <v>6.0</v>
      </c>
      <c r="B7" s="301">
        <v>44057.0</v>
      </c>
      <c r="C7" s="302" t="s">
        <v>125</v>
      </c>
      <c r="D7" s="302" t="s">
        <v>613</v>
      </c>
      <c r="E7" s="302">
        <v>447.0</v>
      </c>
      <c r="F7" s="302">
        <v>67.5</v>
      </c>
      <c r="G7" s="303"/>
      <c r="H7" s="302">
        <v>7.0</v>
      </c>
      <c r="I7" s="302">
        <v>1.0</v>
      </c>
      <c r="J7" s="302">
        <v>820.0</v>
      </c>
      <c r="K7" s="303"/>
      <c r="L7" s="304">
        <v>-355880.0</v>
      </c>
      <c r="M7" s="302">
        <v>9.64</v>
      </c>
      <c r="N7" s="302">
        <v>7.0</v>
      </c>
      <c r="O7" s="302">
        <v>6.0</v>
      </c>
      <c r="P7" s="302">
        <v>56.0</v>
      </c>
      <c r="Q7" s="305">
        <v>434.0</v>
      </c>
      <c r="R7" s="304">
        <v>355880.0</v>
      </c>
      <c r="S7" s="306">
        <v>1201070.0</v>
      </c>
    </row>
    <row r="8">
      <c r="A8" s="300">
        <v>7.0</v>
      </c>
      <c r="B8" s="301">
        <v>44058.0</v>
      </c>
      <c r="C8" s="302" t="s">
        <v>125</v>
      </c>
      <c r="D8" s="302" t="s">
        <v>614</v>
      </c>
      <c r="E8" s="303"/>
      <c r="F8" s="303"/>
      <c r="G8" s="303"/>
      <c r="H8" s="303"/>
      <c r="I8" s="303"/>
      <c r="J8" s="303"/>
      <c r="K8" s="302">
        <v>355880.0</v>
      </c>
      <c r="L8" s="304">
        <v>355880.0</v>
      </c>
      <c r="M8" s="303"/>
      <c r="N8" s="302">
        <v>0.0</v>
      </c>
      <c r="O8" s="302">
        <v>0.0</v>
      </c>
      <c r="P8" s="302">
        <v>0.0</v>
      </c>
      <c r="Q8" s="305">
        <v>0.0</v>
      </c>
      <c r="R8" s="303"/>
      <c r="S8" s="306">
        <v>1556950.0</v>
      </c>
    </row>
    <row r="9">
      <c r="A9" s="300">
        <v>8.0</v>
      </c>
      <c r="B9" s="301">
        <v>44069.0</v>
      </c>
      <c r="C9" s="302" t="s">
        <v>125</v>
      </c>
      <c r="D9" s="302" t="s">
        <v>615</v>
      </c>
      <c r="E9" s="303"/>
      <c r="F9" s="303"/>
      <c r="G9" s="303"/>
      <c r="H9" s="303"/>
      <c r="I9" s="303"/>
      <c r="J9" s="303"/>
      <c r="K9" s="302">
        <v>200000.0</v>
      </c>
      <c r="L9" s="304">
        <v>200000.0</v>
      </c>
      <c r="M9" s="303"/>
      <c r="N9" s="302">
        <v>0.0</v>
      </c>
      <c r="O9" s="302">
        <v>0.0</v>
      </c>
      <c r="P9" s="302">
        <v>0.0</v>
      </c>
      <c r="Q9" s="305">
        <v>0.0</v>
      </c>
      <c r="R9" s="303"/>
      <c r="S9" s="306">
        <v>1756950.0</v>
      </c>
    </row>
    <row r="10">
      <c r="A10" s="300">
        <v>9.0</v>
      </c>
      <c r="B10" s="301">
        <v>44083.0</v>
      </c>
      <c r="C10" s="302" t="s">
        <v>125</v>
      </c>
      <c r="D10" s="302" t="s">
        <v>616</v>
      </c>
      <c r="E10" s="303"/>
      <c r="F10" s="303"/>
      <c r="G10" s="303"/>
      <c r="H10" s="303"/>
      <c r="I10" s="303"/>
      <c r="J10" s="303"/>
      <c r="K10" s="302">
        <v>700000.0</v>
      </c>
      <c r="L10" s="304">
        <v>700000.0</v>
      </c>
      <c r="M10" s="303"/>
      <c r="N10" s="302">
        <v>0.0</v>
      </c>
      <c r="O10" s="302">
        <v>0.0</v>
      </c>
      <c r="P10" s="302">
        <v>0.0</v>
      </c>
      <c r="Q10" s="305">
        <v>0.0</v>
      </c>
      <c r="R10" s="303"/>
      <c r="S10" s="306">
        <v>2456950.0</v>
      </c>
    </row>
    <row r="11">
      <c r="A11" s="300">
        <v>10.0</v>
      </c>
      <c r="B11" s="301">
        <v>44091.0</v>
      </c>
      <c r="C11" s="302" t="s">
        <v>125</v>
      </c>
      <c r="D11" s="302" t="s">
        <v>617</v>
      </c>
      <c r="E11" s="302">
        <v>1458.0</v>
      </c>
      <c r="F11" s="302">
        <v>228.5</v>
      </c>
      <c r="G11" s="303"/>
      <c r="H11" s="302">
        <v>19.0</v>
      </c>
      <c r="I11" s="303"/>
      <c r="J11" s="302">
        <v>890.0</v>
      </c>
      <c r="K11" s="303"/>
      <c r="L11" s="304">
        <v>-1229090.0</v>
      </c>
      <c r="M11" s="302">
        <v>12.03</v>
      </c>
      <c r="N11" s="302">
        <v>58.0</v>
      </c>
      <c r="O11" s="302">
        <v>21.0</v>
      </c>
      <c r="P11" s="302">
        <v>58.0</v>
      </c>
      <c r="Q11" s="305">
        <v>1381.0</v>
      </c>
      <c r="R11" s="304">
        <v>1229090.0</v>
      </c>
      <c r="S11" s="306">
        <v>1227860.0</v>
      </c>
    </row>
    <row r="12">
      <c r="A12" s="300">
        <v>11.0</v>
      </c>
      <c r="B12" s="301">
        <v>44091.0</v>
      </c>
      <c r="C12" s="302" t="s">
        <v>125</v>
      </c>
      <c r="D12" s="302" t="s">
        <v>618</v>
      </c>
      <c r="E12" s="303"/>
      <c r="F12" s="303"/>
      <c r="G12" s="303"/>
      <c r="H12" s="303"/>
      <c r="I12" s="303"/>
      <c r="J12" s="303"/>
      <c r="K12" s="302">
        <v>1229000.0</v>
      </c>
      <c r="L12" s="304">
        <v>1229000.0</v>
      </c>
      <c r="M12" s="303"/>
      <c r="N12" s="302">
        <v>0.0</v>
      </c>
      <c r="O12" s="302">
        <v>0.0</v>
      </c>
      <c r="P12" s="302">
        <v>0.0</v>
      </c>
      <c r="Q12" s="305">
        <v>0.0</v>
      </c>
      <c r="R12" s="303"/>
      <c r="S12" s="306">
        <v>2456860.0</v>
      </c>
    </row>
    <row r="13">
      <c r="A13" s="300">
        <v>12.0</v>
      </c>
      <c r="B13" s="301">
        <v>44102.0</v>
      </c>
      <c r="C13" s="302" t="s">
        <v>125</v>
      </c>
      <c r="D13" s="302" t="s">
        <v>619</v>
      </c>
      <c r="E13" s="302">
        <v>1689.0</v>
      </c>
      <c r="F13" s="302">
        <v>164.0</v>
      </c>
      <c r="G13" s="303"/>
      <c r="H13" s="302">
        <v>16.0</v>
      </c>
      <c r="I13" s="303"/>
      <c r="J13" s="302">
        <v>950.0</v>
      </c>
      <c r="K13" s="303"/>
      <c r="L13" s="304">
        <v>-1553250.0</v>
      </c>
      <c r="M13" s="302">
        <v>10.25</v>
      </c>
      <c r="N13" s="302">
        <v>38.0</v>
      </c>
      <c r="O13" s="302">
        <v>25.0</v>
      </c>
      <c r="P13" s="302">
        <v>60.0</v>
      </c>
      <c r="Q13" s="305">
        <v>1635.0</v>
      </c>
      <c r="R13" s="304">
        <v>1553250.0</v>
      </c>
      <c r="S13" s="306">
        <v>903610.0</v>
      </c>
    </row>
    <row r="14">
      <c r="A14" s="300">
        <v>13.0</v>
      </c>
      <c r="B14" s="301">
        <v>44102.0</v>
      </c>
      <c r="C14" s="302" t="s">
        <v>125</v>
      </c>
      <c r="D14" s="302" t="s">
        <v>620</v>
      </c>
      <c r="E14" s="303"/>
      <c r="F14" s="303"/>
      <c r="G14" s="303"/>
      <c r="H14" s="303"/>
      <c r="I14" s="303"/>
      <c r="J14" s="303"/>
      <c r="K14" s="302">
        <v>1050000.0</v>
      </c>
      <c r="L14" s="304">
        <v>1050000.0</v>
      </c>
      <c r="M14" s="303"/>
      <c r="N14" s="302">
        <v>0.0</v>
      </c>
      <c r="O14" s="302">
        <v>0.0</v>
      </c>
      <c r="P14" s="302">
        <v>0.0</v>
      </c>
      <c r="Q14" s="305">
        <v>0.0</v>
      </c>
      <c r="R14" s="303"/>
      <c r="S14" s="306">
        <v>1953610.0</v>
      </c>
    </row>
    <row r="15">
      <c r="A15" s="300">
        <v>14.0</v>
      </c>
      <c r="B15" s="301">
        <v>44102.0</v>
      </c>
      <c r="C15" s="302" t="s">
        <v>125</v>
      </c>
      <c r="D15" s="302" t="s">
        <v>621</v>
      </c>
      <c r="E15" s="303"/>
      <c r="F15" s="303"/>
      <c r="G15" s="303"/>
      <c r="H15" s="303"/>
      <c r="I15" s="303"/>
      <c r="J15" s="303"/>
      <c r="K15" s="302">
        <v>1553250.0</v>
      </c>
      <c r="L15" s="304">
        <v>1553250.0</v>
      </c>
      <c r="M15" s="303"/>
      <c r="N15" s="302">
        <v>0.0</v>
      </c>
      <c r="O15" s="302">
        <v>0.0</v>
      </c>
      <c r="P15" s="302">
        <v>0.0</v>
      </c>
      <c r="Q15" s="305">
        <v>0.0</v>
      </c>
      <c r="R15" s="303"/>
      <c r="S15" s="306">
        <v>3506860.0</v>
      </c>
    </row>
    <row r="16">
      <c r="A16" s="300">
        <v>15.0</v>
      </c>
      <c r="B16" s="301">
        <v>44109.0</v>
      </c>
      <c r="C16" s="302" t="s">
        <v>125</v>
      </c>
      <c r="D16" s="302" t="s">
        <v>622</v>
      </c>
      <c r="E16" s="303"/>
      <c r="F16" s="303"/>
      <c r="G16" s="303"/>
      <c r="H16" s="303"/>
      <c r="I16" s="303"/>
      <c r="J16" s="303"/>
      <c r="K16" s="302">
        <v>200000.0</v>
      </c>
      <c r="L16" s="304">
        <v>200000.0</v>
      </c>
      <c r="M16" s="303"/>
      <c r="N16" s="302">
        <v>0.0</v>
      </c>
      <c r="O16" s="302">
        <v>0.0</v>
      </c>
      <c r="P16" s="302">
        <v>0.0</v>
      </c>
      <c r="Q16" s="305">
        <v>0.0</v>
      </c>
      <c r="R16" s="303"/>
      <c r="S16" s="306">
        <v>3706860.0</v>
      </c>
    </row>
  </sheetData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7" t="s">
        <v>591</v>
      </c>
      <c r="B1" s="298" t="s">
        <v>592</v>
      </c>
      <c r="C1" s="298" t="s">
        <v>573</v>
      </c>
      <c r="D1" s="298" t="s">
        <v>593</v>
      </c>
      <c r="E1" s="298" t="s">
        <v>623</v>
      </c>
      <c r="F1" s="298" t="s">
        <v>595</v>
      </c>
      <c r="G1" s="298" t="s">
        <v>596</v>
      </c>
      <c r="H1" s="298" t="s">
        <v>597</v>
      </c>
      <c r="I1" s="298" t="s">
        <v>598</v>
      </c>
      <c r="J1" s="298" t="s">
        <v>599</v>
      </c>
      <c r="K1" s="298" t="s">
        <v>600</v>
      </c>
      <c r="L1" s="298" t="s">
        <v>601</v>
      </c>
      <c r="M1" s="298" t="s">
        <v>602</v>
      </c>
      <c r="N1" s="298" t="s">
        <v>603</v>
      </c>
      <c r="O1" s="298" t="s">
        <v>8</v>
      </c>
      <c r="P1" s="298" t="s">
        <v>604</v>
      </c>
      <c r="Q1" s="298" t="s">
        <v>605</v>
      </c>
      <c r="R1" s="298" t="s">
        <v>606</v>
      </c>
      <c r="S1" s="299" t="s">
        <v>607</v>
      </c>
    </row>
    <row r="2">
      <c r="A2" s="300">
        <v>1.0</v>
      </c>
      <c r="B2" s="301">
        <v>43743.0</v>
      </c>
      <c r="C2" s="302" t="s">
        <v>113</v>
      </c>
      <c r="D2" s="302" t="s">
        <v>624</v>
      </c>
      <c r="E2" s="303"/>
      <c r="F2" s="303"/>
      <c r="G2" s="303"/>
      <c r="H2" s="303"/>
      <c r="I2" s="303"/>
      <c r="J2" s="303"/>
      <c r="K2" s="302">
        <v>300000.0</v>
      </c>
      <c r="L2" s="304">
        <v>300000.0</v>
      </c>
      <c r="M2" s="303"/>
      <c r="N2" s="302">
        <v>0.0</v>
      </c>
      <c r="O2" s="302">
        <v>0.0</v>
      </c>
      <c r="P2" s="302">
        <v>0.0</v>
      </c>
      <c r="Q2" s="305">
        <v>0.0</v>
      </c>
      <c r="R2" s="303"/>
      <c r="S2" s="306">
        <v>300000.0</v>
      </c>
    </row>
    <row r="3">
      <c r="A3" s="300">
        <v>2.0</v>
      </c>
      <c r="B3" s="301">
        <v>44030.0</v>
      </c>
      <c r="C3" s="302" t="s">
        <v>113</v>
      </c>
      <c r="D3" s="302" t="s">
        <v>625</v>
      </c>
      <c r="E3" s="303"/>
      <c r="F3" s="303"/>
      <c r="G3" s="303"/>
      <c r="H3" s="303"/>
      <c r="I3" s="303"/>
      <c r="J3" s="303"/>
      <c r="K3" s="302">
        <v>100000.0</v>
      </c>
      <c r="L3" s="304">
        <v>100000.0</v>
      </c>
      <c r="M3" s="303"/>
      <c r="N3" s="302">
        <v>0.0</v>
      </c>
      <c r="O3" s="302">
        <v>0.0</v>
      </c>
      <c r="P3" s="302">
        <v>0.0</v>
      </c>
      <c r="Q3" s="305">
        <v>0.0</v>
      </c>
      <c r="R3" s="303"/>
      <c r="S3" s="306">
        <v>400000.0</v>
      </c>
    </row>
    <row r="4">
      <c r="A4" s="300">
        <v>3.0</v>
      </c>
      <c r="B4" s="301">
        <v>44032.0</v>
      </c>
      <c r="C4" s="302" t="s">
        <v>113</v>
      </c>
      <c r="D4" s="302" t="s">
        <v>626</v>
      </c>
      <c r="E4" s="303"/>
      <c r="F4" s="303"/>
      <c r="G4" s="303"/>
      <c r="H4" s="303"/>
      <c r="I4" s="303"/>
      <c r="J4" s="303"/>
      <c r="K4" s="302">
        <v>140000.0</v>
      </c>
      <c r="L4" s="304">
        <v>140000.0</v>
      </c>
      <c r="M4" s="303"/>
      <c r="N4" s="302">
        <v>0.0</v>
      </c>
      <c r="O4" s="302">
        <v>0.0</v>
      </c>
      <c r="P4" s="302">
        <v>0.0</v>
      </c>
      <c r="Q4" s="305">
        <v>0.0</v>
      </c>
      <c r="R4" s="303"/>
      <c r="S4" s="306">
        <v>540000.0</v>
      </c>
    </row>
    <row r="5">
      <c r="A5" s="300">
        <v>4.0</v>
      </c>
      <c r="B5" s="301">
        <v>44030.0</v>
      </c>
      <c r="C5" s="302" t="s">
        <v>113</v>
      </c>
      <c r="D5" s="302" t="s">
        <v>627</v>
      </c>
      <c r="E5" s="302">
        <v>387.0</v>
      </c>
      <c r="F5" s="302">
        <v>48.0</v>
      </c>
      <c r="G5" s="303"/>
      <c r="H5" s="302">
        <v>6.0</v>
      </c>
      <c r="I5" s="303"/>
      <c r="J5" s="302">
        <v>780.0</v>
      </c>
      <c r="K5" s="303"/>
      <c r="L5" s="304">
        <v>-297180.0</v>
      </c>
      <c r="M5" s="302">
        <v>8.0</v>
      </c>
      <c r="N5" s="302">
        <v>0.0</v>
      </c>
      <c r="O5" s="302">
        <v>6.0</v>
      </c>
      <c r="P5" s="302">
        <v>2.0</v>
      </c>
      <c r="Q5" s="305">
        <v>381.0</v>
      </c>
      <c r="R5" s="304">
        <v>297180.0</v>
      </c>
      <c r="S5" s="306">
        <v>242820.0</v>
      </c>
    </row>
    <row r="6">
      <c r="A6" s="300">
        <v>5.0</v>
      </c>
      <c r="B6" s="301">
        <v>44034.0</v>
      </c>
      <c r="C6" s="302" t="s">
        <v>113</v>
      </c>
      <c r="D6" s="302" t="s">
        <v>628</v>
      </c>
      <c r="E6" s="303"/>
      <c r="F6" s="303"/>
      <c r="G6" s="303"/>
      <c r="H6" s="303"/>
      <c r="I6" s="303"/>
      <c r="J6" s="303"/>
      <c r="K6" s="302">
        <v>240000.0</v>
      </c>
      <c r="L6" s="304">
        <v>240000.0</v>
      </c>
      <c r="M6" s="303"/>
      <c r="N6" s="302">
        <v>0.0</v>
      </c>
      <c r="O6" s="302">
        <v>0.0</v>
      </c>
      <c r="P6" s="302">
        <v>0.0</v>
      </c>
      <c r="Q6" s="305">
        <v>0.0</v>
      </c>
      <c r="R6" s="303"/>
      <c r="S6" s="306">
        <v>482820.0</v>
      </c>
    </row>
    <row r="7">
      <c r="A7" s="300">
        <v>6.0</v>
      </c>
      <c r="B7" s="301">
        <v>44047.0</v>
      </c>
      <c r="C7" s="302" t="s">
        <v>113</v>
      </c>
      <c r="D7" s="302" t="s">
        <v>629</v>
      </c>
      <c r="E7" s="303"/>
      <c r="F7" s="303"/>
      <c r="G7" s="303"/>
      <c r="H7" s="303"/>
      <c r="I7" s="303"/>
      <c r="J7" s="303"/>
      <c r="K7" s="302">
        <v>500000.0</v>
      </c>
      <c r="L7" s="304">
        <v>500000.0</v>
      </c>
      <c r="M7" s="303"/>
      <c r="N7" s="302">
        <v>0.0</v>
      </c>
      <c r="O7" s="302">
        <v>0.0</v>
      </c>
      <c r="P7" s="302">
        <v>0.0</v>
      </c>
      <c r="Q7" s="305">
        <v>0.0</v>
      </c>
      <c r="R7" s="303"/>
      <c r="S7" s="306">
        <v>982820.0</v>
      </c>
    </row>
    <row r="8">
      <c r="A8" s="300">
        <v>7.0</v>
      </c>
      <c r="B8" s="301">
        <v>44047.0</v>
      </c>
      <c r="C8" s="302" t="s">
        <v>113</v>
      </c>
      <c r="D8" s="302" t="s">
        <v>630</v>
      </c>
      <c r="E8" s="302">
        <v>605.0</v>
      </c>
      <c r="F8" s="302">
        <v>80.0</v>
      </c>
      <c r="G8" s="303"/>
      <c r="H8" s="302">
        <v>10.0</v>
      </c>
      <c r="I8" s="302">
        <v>2.0</v>
      </c>
      <c r="J8" s="302">
        <v>761.31</v>
      </c>
      <c r="K8" s="303"/>
      <c r="L8" s="304">
        <v>-454500.0</v>
      </c>
      <c r="M8" s="302">
        <v>8.0</v>
      </c>
      <c r="N8" s="302">
        <v>0.0</v>
      </c>
      <c r="O8" s="302">
        <v>9.0</v>
      </c>
      <c r="P8" s="302">
        <v>30.0</v>
      </c>
      <c r="Q8" s="305">
        <v>597.0</v>
      </c>
      <c r="R8" s="304">
        <v>454500.0</v>
      </c>
      <c r="S8" s="306">
        <v>528320.0</v>
      </c>
    </row>
    <row r="9">
      <c r="A9" s="300">
        <v>8.0</v>
      </c>
      <c r="B9" s="301">
        <v>44049.0</v>
      </c>
      <c r="C9" s="302" t="s">
        <v>113</v>
      </c>
      <c r="D9" s="302" t="s">
        <v>631</v>
      </c>
      <c r="E9" s="303"/>
      <c r="F9" s="303"/>
      <c r="G9" s="303"/>
      <c r="H9" s="303"/>
      <c r="I9" s="303"/>
      <c r="J9" s="303"/>
      <c r="K9" s="302">
        <v>2000.0</v>
      </c>
      <c r="L9" s="304">
        <v>2000.0</v>
      </c>
      <c r="M9" s="303"/>
      <c r="N9" s="302">
        <v>0.0</v>
      </c>
      <c r="O9" s="302">
        <v>0.0</v>
      </c>
      <c r="P9" s="302">
        <v>0.0</v>
      </c>
      <c r="Q9" s="305">
        <v>0.0</v>
      </c>
      <c r="R9" s="303"/>
      <c r="S9" s="306">
        <v>530320.0</v>
      </c>
    </row>
    <row r="10">
      <c r="A10" s="300">
        <v>9.0</v>
      </c>
      <c r="B10" s="301">
        <v>44068.0</v>
      </c>
      <c r="C10" s="302" t="s">
        <v>113</v>
      </c>
      <c r="D10" s="302" t="s">
        <v>632</v>
      </c>
      <c r="E10" s="302">
        <v>657.0</v>
      </c>
      <c r="F10" s="302">
        <v>93.0</v>
      </c>
      <c r="G10" s="303"/>
      <c r="H10" s="302">
        <v>10.0</v>
      </c>
      <c r="I10" s="302">
        <v>0.0</v>
      </c>
      <c r="J10" s="302">
        <v>825.35</v>
      </c>
      <c r="K10" s="303"/>
      <c r="L10" s="304">
        <v>-527400.0</v>
      </c>
      <c r="M10" s="302">
        <v>9.3</v>
      </c>
      <c r="N10" s="302">
        <v>8.0</v>
      </c>
      <c r="O10" s="302">
        <v>10.0</v>
      </c>
      <c r="P10" s="302">
        <v>8.0</v>
      </c>
      <c r="Q10" s="305">
        <v>639.0</v>
      </c>
      <c r="R10" s="304">
        <v>527400.0</v>
      </c>
      <c r="S10" s="306">
        <v>2920.0</v>
      </c>
    </row>
    <row r="11">
      <c r="A11" s="300">
        <v>10.0</v>
      </c>
      <c r="B11" s="301">
        <v>44068.0</v>
      </c>
      <c r="C11" s="302" t="s">
        <v>113</v>
      </c>
      <c r="D11" s="302" t="s">
        <v>633</v>
      </c>
      <c r="E11" s="303"/>
      <c r="F11" s="303"/>
      <c r="G11" s="303"/>
      <c r="H11" s="303"/>
      <c r="I11" s="303"/>
      <c r="J11" s="303"/>
      <c r="K11" s="302">
        <v>300000.0</v>
      </c>
      <c r="L11" s="304">
        <v>300000.0</v>
      </c>
      <c r="M11" s="303"/>
      <c r="N11" s="302">
        <v>0.0</v>
      </c>
      <c r="O11" s="302">
        <v>0.0</v>
      </c>
      <c r="P11" s="302">
        <v>0.0</v>
      </c>
      <c r="Q11" s="305">
        <v>0.0</v>
      </c>
      <c r="R11" s="303"/>
      <c r="S11" s="306">
        <v>302920.0</v>
      </c>
    </row>
    <row r="12">
      <c r="A12" s="300">
        <v>11.0</v>
      </c>
      <c r="B12" s="301">
        <v>44068.0</v>
      </c>
      <c r="C12" s="302" t="s">
        <v>113</v>
      </c>
      <c r="D12" s="302" t="s">
        <v>634</v>
      </c>
      <c r="E12" s="303"/>
      <c r="F12" s="303"/>
      <c r="G12" s="303"/>
      <c r="H12" s="303"/>
      <c r="I12" s="303"/>
      <c r="J12" s="303"/>
      <c r="K12" s="302">
        <v>4500.0</v>
      </c>
      <c r="L12" s="304">
        <v>4500.0</v>
      </c>
      <c r="M12" s="303"/>
      <c r="N12" s="302">
        <v>0.0</v>
      </c>
      <c r="O12" s="302">
        <v>0.0</v>
      </c>
      <c r="P12" s="302">
        <v>0.0</v>
      </c>
      <c r="Q12" s="305">
        <v>0.0</v>
      </c>
      <c r="R12" s="303"/>
      <c r="S12" s="306">
        <v>307420.0</v>
      </c>
    </row>
    <row r="13">
      <c r="A13" s="300">
        <v>12.0</v>
      </c>
      <c r="B13" s="301">
        <v>44085.0</v>
      </c>
      <c r="C13" s="302" t="s">
        <v>113</v>
      </c>
      <c r="D13" s="302" t="s">
        <v>635</v>
      </c>
      <c r="E13" s="303"/>
      <c r="F13" s="303"/>
      <c r="G13" s="303"/>
      <c r="H13" s="303"/>
      <c r="I13" s="303"/>
      <c r="J13" s="303"/>
      <c r="K13" s="302">
        <v>192580.0</v>
      </c>
      <c r="L13" s="304">
        <v>192580.0</v>
      </c>
      <c r="M13" s="303"/>
      <c r="N13" s="302">
        <v>0.0</v>
      </c>
      <c r="O13" s="302">
        <v>0.0</v>
      </c>
      <c r="P13" s="302">
        <v>0.0</v>
      </c>
      <c r="Q13" s="305">
        <v>0.0</v>
      </c>
      <c r="R13" s="303"/>
      <c r="S13" s="306">
        <v>500000.0</v>
      </c>
    </row>
    <row r="14">
      <c r="A14" s="300">
        <v>13.0</v>
      </c>
      <c r="B14" s="301">
        <v>44086.0</v>
      </c>
      <c r="C14" s="302" t="s">
        <v>113</v>
      </c>
      <c r="D14" s="302" t="s">
        <v>636</v>
      </c>
      <c r="E14" s="303"/>
      <c r="F14" s="303"/>
      <c r="G14" s="303"/>
      <c r="H14" s="303"/>
      <c r="I14" s="303"/>
      <c r="J14" s="303"/>
      <c r="K14" s="302">
        <v>100000.0</v>
      </c>
      <c r="L14" s="304">
        <v>100000.0</v>
      </c>
      <c r="M14" s="303"/>
      <c r="N14" s="302">
        <v>0.0</v>
      </c>
      <c r="O14" s="302">
        <v>0.0</v>
      </c>
      <c r="P14" s="302">
        <v>0.0</v>
      </c>
      <c r="Q14" s="305">
        <v>0.0</v>
      </c>
      <c r="R14" s="303"/>
      <c r="S14" s="306">
        <v>600000.0</v>
      </c>
    </row>
    <row r="15">
      <c r="A15" s="300">
        <v>14.0</v>
      </c>
      <c r="B15" s="301">
        <v>44089.0</v>
      </c>
      <c r="C15" s="302" t="s">
        <v>113</v>
      </c>
      <c r="D15" s="302" t="s">
        <v>637</v>
      </c>
      <c r="E15" s="303"/>
      <c r="F15" s="303"/>
      <c r="G15" s="303"/>
      <c r="H15" s="303"/>
      <c r="I15" s="303"/>
      <c r="J15" s="303"/>
      <c r="K15" s="302">
        <v>4500.0</v>
      </c>
      <c r="L15" s="304">
        <v>4500.0</v>
      </c>
      <c r="M15" s="303"/>
      <c r="N15" s="302">
        <v>0.0</v>
      </c>
      <c r="O15" s="302">
        <v>0.0</v>
      </c>
      <c r="P15" s="302">
        <v>0.0</v>
      </c>
      <c r="Q15" s="305">
        <v>0.0</v>
      </c>
      <c r="R15" s="303"/>
      <c r="S15" s="306">
        <v>604500.0</v>
      </c>
    </row>
    <row r="16">
      <c r="A16" s="300">
        <v>15.0</v>
      </c>
      <c r="B16" s="301">
        <v>44089.0</v>
      </c>
      <c r="C16" s="302" t="s">
        <v>113</v>
      </c>
      <c r="D16" s="302" t="s">
        <v>638</v>
      </c>
      <c r="E16" s="302">
        <v>668.0</v>
      </c>
      <c r="F16" s="302">
        <v>160.0</v>
      </c>
      <c r="G16" s="303"/>
      <c r="H16" s="302">
        <v>10.0</v>
      </c>
      <c r="I16" s="303"/>
      <c r="J16" s="302">
        <v>2568.54</v>
      </c>
      <c r="K16" s="303"/>
      <c r="L16" s="304">
        <v>-1553968.0</v>
      </c>
      <c r="M16" s="302">
        <v>16.0</v>
      </c>
      <c r="N16" s="302">
        <v>53.0</v>
      </c>
      <c r="O16" s="302">
        <v>9.0</v>
      </c>
      <c r="P16" s="302">
        <v>38.0</v>
      </c>
      <c r="Q16" s="305">
        <v>605.0</v>
      </c>
      <c r="R16" s="304">
        <v>1553968.0</v>
      </c>
      <c r="S16" s="306">
        <v>-949468.0</v>
      </c>
    </row>
    <row r="17">
      <c r="A17" s="300">
        <v>16.0</v>
      </c>
      <c r="B17" s="301">
        <v>44090.0</v>
      </c>
      <c r="C17" s="302" t="s">
        <v>113</v>
      </c>
      <c r="D17" s="302" t="s">
        <v>639</v>
      </c>
      <c r="E17" s="303"/>
      <c r="F17" s="303"/>
      <c r="G17" s="303"/>
      <c r="H17" s="303"/>
      <c r="I17" s="303"/>
      <c r="J17" s="303"/>
      <c r="K17" s="302">
        <v>1553900.0</v>
      </c>
      <c r="L17" s="304">
        <v>1553900.0</v>
      </c>
      <c r="M17" s="303"/>
      <c r="N17" s="302">
        <v>0.0</v>
      </c>
      <c r="O17" s="302">
        <v>0.0</v>
      </c>
      <c r="P17" s="302">
        <v>0.0</v>
      </c>
      <c r="Q17" s="305">
        <v>0.0</v>
      </c>
      <c r="R17" s="303"/>
      <c r="S17" s="306">
        <v>604432.0</v>
      </c>
    </row>
    <row r="18">
      <c r="A18" s="300">
        <v>17.0</v>
      </c>
      <c r="B18" s="301">
        <v>44103.0</v>
      </c>
      <c r="C18" s="302" t="s">
        <v>113</v>
      </c>
      <c r="D18" s="302" t="s">
        <v>640</v>
      </c>
      <c r="E18" s="303"/>
      <c r="F18" s="303"/>
      <c r="G18" s="303"/>
      <c r="H18" s="303"/>
      <c r="I18" s="303"/>
      <c r="J18" s="303"/>
      <c r="K18" s="302">
        <v>100000.0</v>
      </c>
      <c r="L18" s="304">
        <v>100000.0</v>
      </c>
      <c r="M18" s="303"/>
      <c r="N18" s="302">
        <v>0.0</v>
      </c>
      <c r="O18" s="302">
        <v>0.0</v>
      </c>
      <c r="P18" s="302">
        <v>0.0</v>
      </c>
      <c r="Q18" s="305">
        <v>0.0</v>
      </c>
      <c r="R18" s="303"/>
      <c r="S18" s="306">
        <v>704432.0</v>
      </c>
    </row>
    <row r="19">
      <c r="A19" s="300">
        <v>18.0</v>
      </c>
      <c r="B19" s="301">
        <v>44106.0</v>
      </c>
      <c r="C19" s="302" t="s">
        <v>113</v>
      </c>
      <c r="D19" s="302" t="s">
        <v>641</v>
      </c>
      <c r="E19" s="303"/>
      <c r="F19" s="303"/>
      <c r="G19" s="303"/>
      <c r="H19" s="303"/>
      <c r="I19" s="303"/>
      <c r="J19" s="303"/>
      <c r="K19" s="302">
        <v>1000000.0</v>
      </c>
      <c r="L19" s="304">
        <v>1000000.0</v>
      </c>
      <c r="M19" s="303"/>
      <c r="N19" s="302">
        <v>0.0</v>
      </c>
      <c r="O19" s="302">
        <v>0.0</v>
      </c>
      <c r="P19" s="302">
        <v>0.0</v>
      </c>
      <c r="Q19" s="305">
        <v>0.0</v>
      </c>
      <c r="R19" s="303"/>
      <c r="S19" s="306">
        <v>1704432.0</v>
      </c>
    </row>
    <row r="20">
      <c r="A20" s="300">
        <v>19.0</v>
      </c>
      <c r="B20" s="301">
        <v>44109.0</v>
      </c>
      <c r="C20" s="302" t="s">
        <v>113</v>
      </c>
      <c r="D20" s="302" t="s">
        <v>642</v>
      </c>
      <c r="E20" s="303"/>
      <c r="F20" s="303"/>
      <c r="G20" s="303"/>
      <c r="H20" s="303"/>
      <c r="I20" s="303"/>
      <c r="J20" s="303"/>
      <c r="K20" s="302">
        <v>900000.0</v>
      </c>
      <c r="L20" s="304">
        <v>900000.0</v>
      </c>
      <c r="M20" s="303"/>
      <c r="N20" s="302">
        <v>0.0</v>
      </c>
      <c r="O20" s="302">
        <v>0.0</v>
      </c>
      <c r="P20" s="302">
        <v>0.0</v>
      </c>
      <c r="Q20" s="305">
        <v>0.0</v>
      </c>
      <c r="R20" s="303"/>
      <c r="S20" s="306">
        <v>2604432.0</v>
      </c>
    </row>
  </sheetData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hidden="1" min="1" max="1" width="14.88"/>
    <col customWidth="1" min="3" max="3" width="25.63"/>
    <col hidden="1" min="4" max="4" width="12.63"/>
    <col hidden="1" min="7" max="7" width="12.63"/>
    <col customWidth="1" min="9" max="9" width="13.38"/>
    <col hidden="1" min="11" max="12" width="12.63"/>
    <col hidden="1" min="19" max="19" width="12.63"/>
  </cols>
  <sheetData>
    <row r="1">
      <c r="A1" s="28"/>
      <c r="B1" s="57" t="s">
        <v>80</v>
      </c>
      <c r="C1" s="58"/>
      <c r="D1" s="59"/>
      <c r="E1" s="60"/>
      <c r="F1" s="61" t="s">
        <v>81</v>
      </c>
      <c r="G1" s="62" t="s">
        <v>82</v>
      </c>
      <c r="H1" s="63">
        <f>PreFinance!E1</f>
        <v>44116</v>
      </c>
      <c r="I1" s="58"/>
      <c r="J1" s="64"/>
      <c r="K1" s="28"/>
      <c r="L1" s="28"/>
      <c r="M1" s="65"/>
      <c r="N1" s="65"/>
      <c r="O1" s="65"/>
      <c r="P1" s="65"/>
      <c r="Q1" s="65"/>
      <c r="R1" s="66"/>
      <c r="S1" s="59"/>
    </row>
    <row r="2">
      <c r="A2" s="67" t="s">
        <v>83</v>
      </c>
      <c r="B2" s="68" t="s">
        <v>2</v>
      </c>
      <c r="C2" s="69" t="s">
        <v>3</v>
      </c>
      <c r="D2" s="69" t="s">
        <v>84</v>
      </c>
      <c r="E2" s="70" t="s">
        <v>4</v>
      </c>
      <c r="F2" s="71" t="s">
        <v>85</v>
      </c>
      <c r="G2" s="69" t="s">
        <v>86</v>
      </c>
      <c r="H2" s="69" t="s">
        <v>87</v>
      </c>
      <c r="I2" s="69" t="s">
        <v>88</v>
      </c>
      <c r="J2" s="69" t="s">
        <v>89</v>
      </c>
      <c r="K2" s="72" t="s">
        <v>90</v>
      </c>
      <c r="L2" s="69" t="s">
        <v>91</v>
      </c>
      <c r="M2" s="69" t="s">
        <v>92</v>
      </c>
      <c r="N2" s="69" t="s">
        <v>93</v>
      </c>
      <c r="O2" s="69" t="s">
        <v>94</v>
      </c>
      <c r="P2" s="69" t="s">
        <v>9</v>
      </c>
      <c r="Q2" s="69" t="s">
        <v>12</v>
      </c>
      <c r="R2" s="73" t="s">
        <v>95</v>
      </c>
      <c r="S2" s="67" t="s">
        <v>96</v>
      </c>
    </row>
    <row r="3">
      <c r="A3" s="28"/>
      <c r="B3" s="74"/>
      <c r="C3" s="34"/>
      <c r="D3" s="43"/>
      <c r="E3" s="75"/>
      <c r="F3" s="34"/>
      <c r="G3" s="34"/>
      <c r="H3" s="34"/>
      <c r="I3" s="34"/>
      <c r="J3" s="76"/>
      <c r="K3" s="77"/>
      <c r="L3" s="48"/>
      <c r="M3" s="78"/>
      <c r="N3" s="78"/>
      <c r="O3" s="78"/>
      <c r="P3" s="78"/>
      <c r="Q3" s="78"/>
      <c r="R3" s="79"/>
      <c r="S3" s="80"/>
    </row>
    <row r="4">
      <c r="A4" s="28"/>
      <c r="B4" s="74"/>
      <c r="C4" s="34"/>
      <c r="D4" s="43"/>
      <c r="E4" s="75"/>
      <c r="F4" s="34"/>
      <c r="G4" s="34"/>
      <c r="H4" s="34"/>
      <c r="I4" s="34"/>
      <c r="J4" s="78"/>
      <c r="K4" s="77"/>
      <c r="L4" s="48"/>
      <c r="M4" s="78"/>
      <c r="N4" s="78"/>
      <c r="O4" s="78"/>
      <c r="P4" s="78"/>
      <c r="Q4" s="78"/>
      <c r="R4" s="79"/>
      <c r="S4" s="80"/>
    </row>
    <row r="5">
      <c r="A5" s="28"/>
      <c r="B5" s="74"/>
      <c r="C5" s="34"/>
      <c r="D5" s="43"/>
      <c r="E5" s="75"/>
      <c r="F5" s="34"/>
      <c r="G5" s="48"/>
      <c r="H5" s="34"/>
      <c r="I5" s="34"/>
      <c r="J5" s="78"/>
      <c r="K5" s="77"/>
      <c r="L5" s="48"/>
      <c r="M5" s="78"/>
      <c r="N5" s="78"/>
      <c r="O5" s="78"/>
      <c r="P5" s="78"/>
      <c r="Q5" s="78"/>
      <c r="R5" s="79"/>
      <c r="S5" s="80"/>
    </row>
    <row r="6">
      <c r="A6" s="28"/>
      <c r="B6" s="74"/>
      <c r="C6" s="34"/>
      <c r="D6" s="43"/>
      <c r="E6" s="75"/>
      <c r="F6" s="34"/>
      <c r="G6" s="48"/>
      <c r="H6" s="34"/>
      <c r="I6" s="34"/>
      <c r="J6" s="78"/>
      <c r="K6" s="77"/>
      <c r="L6" s="48"/>
      <c r="M6" s="78"/>
      <c r="N6" s="78"/>
      <c r="O6" s="78"/>
      <c r="P6" s="78"/>
      <c r="Q6" s="78"/>
      <c r="R6" s="79"/>
      <c r="S6" s="80"/>
    </row>
    <row r="7">
      <c r="A7" s="28"/>
      <c r="B7" s="74"/>
      <c r="C7" s="34"/>
      <c r="D7" s="43"/>
      <c r="E7" s="75"/>
      <c r="F7" s="34"/>
      <c r="G7" s="48"/>
      <c r="H7" s="34"/>
      <c r="I7" s="34"/>
      <c r="J7" s="78"/>
      <c r="K7" s="77"/>
      <c r="L7" s="48"/>
      <c r="M7" s="78"/>
      <c r="N7" s="78"/>
      <c r="O7" s="78"/>
      <c r="P7" s="78"/>
      <c r="Q7" s="78"/>
      <c r="R7" s="79"/>
      <c r="S7" s="80"/>
    </row>
    <row r="8">
      <c r="A8" s="28"/>
      <c r="B8" s="74"/>
      <c r="C8" s="34"/>
      <c r="D8" s="43"/>
      <c r="E8" s="75"/>
      <c r="F8" s="34"/>
      <c r="G8" s="48"/>
      <c r="H8" s="34"/>
      <c r="I8" s="34"/>
      <c r="J8" s="78"/>
      <c r="K8" s="77"/>
      <c r="L8" s="48"/>
      <c r="M8" s="78"/>
      <c r="N8" s="78"/>
      <c r="O8" s="78"/>
      <c r="P8" s="78"/>
      <c r="Q8" s="78"/>
      <c r="R8" s="79"/>
      <c r="S8" s="80"/>
    </row>
    <row r="9">
      <c r="A9" s="28"/>
      <c r="B9" s="74"/>
      <c r="C9" s="34"/>
      <c r="D9" s="43"/>
      <c r="E9" s="75"/>
      <c r="F9" s="34"/>
      <c r="G9" s="48"/>
      <c r="H9" s="34"/>
      <c r="I9" s="34"/>
      <c r="J9" s="78"/>
      <c r="K9" s="77"/>
      <c r="L9" s="48"/>
      <c r="M9" s="78"/>
      <c r="N9" s="78"/>
      <c r="O9" s="78"/>
      <c r="P9" s="78"/>
      <c r="Q9" s="78"/>
      <c r="R9" s="79"/>
      <c r="S9" s="80"/>
    </row>
    <row r="10">
      <c r="A10" s="28"/>
      <c r="B10" s="74"/>
      <c r="C10" s="34"/>
      <c r="D10" s="43"/>
      <c r="E10" s="75"/>
      <c r="F10" s="34"/>
      <c r="G10" s="48"/>
      <c r="H10" s="34"/>
      <c r="I10" s="34"/>
      <c r="J10" s="78"/>
      <c r="K10" s="77"/>
      <c r="L10" s="48"/>
      <c r="M10" s="78"/>
      <c r="N10" s="78"/>
      <c r="O10" s="78"/>
      <c r="P10" s="78"/>
      <c r="Q10" s="78"/>
      <c r="R10" s="79"/>
      <c r="S10" s="80"/>
    </row>
    <row r="11">
      <c r="A11" s="28"/>
      <c r="B11" s="74"/>
      <c r="C11" s="34"/>
      <c r="D11" s="43"/>
      <c r="E11" s="75"/>
      <c r="F11" s="34"/>
      <c r="G11" s="48"/>
      <c r="H11" s="34"/>
      <c r="I11" s="34"/>
      <c r="J11" s="78"/>
      <c r="K11" s="77"/>
      <c r="L11" s="48"/>
      <c r="M11" s="78"/>
      <c r="N11" s="78"/>
      <c r="O11" s="78"/>
      <c r="P11" s="78"/>
      <c r="Q11" s="78"/>
      <c r="R11" s="79"/>
      <c r="S11" s="80"/>
    </row>
    <row r="12">
      <c r="A12" s="28"/>
      <c r="B12" s="74"/>
      <c r="C12" s="34"/>
      <c r="D12" s="43"/>
      <c r="E12" s="75"/>
      <c r="F12" s="34"/>
      <c r="G12" s="48"/>
      <c r="H12" s="34"/>
      <c r="I12" s="34"/>
      <c r="J12" s="78"/>
      <c r="K12" s="77"/>
      <c r="L12" s="48"/>
      <c r="M12" s="78"/>
      <c r="N12" s="78"/>
      <c r="O12" s="78"/>
      <c r="P12" s="78"/>
      <c r="Q12" s="78"/>
      <c r="R12" s="79"/>
      <c r="S12" s="80"/>
    </row>
    <row r="13">
      <c r="A13" s="28"/>
      <c r="B13" s="74"/>
      <c r="C13" s="34"/>
      <c r="D13" s="43"/>
      <c r="E13" s="75"/>
      <c r="F13" s="34"/>
      <c r="G13" s="48"/>
      <c r="H13" s="34"/>
      <c r="I13" s="34"/>
      <c r="J13" s="78"/>
      <c r="K13" s="77"/>
      <c r="L13" s="48"/>
      <c r="M13" s="78"/>
      <c r="N13" s="78"/>
      <c r="O13" s="78"/>
      <c r="P13" s="78"/>
      <c r="Q13" s="78"/>
      <c r="R13" s="79"/>
      <c r="S13" s="80"/>
    </row>
    <row r="14">
      <c r="A14" s="28"/>
      <c r="B14" s="74"/>
      <c r="C14" s="34"/>
      <c r="D14" s="43"/>
      <c r="E14" s="75"/>
      <c r="F14" s="34"/>
      <c r="G14" s="48"/>
      <c r="H14" s="46"/>
      <c r="I14" s="43"/>
      <c r="J14" s="78"/>
      <c r="K14" s="77"/>
      <c r="L14" s="48"/>
      <c r="M14" s="78"/>
      <c r="N14" s="78"/>
      <c r="O14" s="78"/>
      <c r="P14" s="78"/>
      <c r="Q14" s="78"/>
      <c r="R14" s="79"/>
      <c r="S14" s="80"/>
    </row>
    <row r="15">
      <c r="A15" s="28"/>
      <c r="B15" s="74"/>
      <c r="C15" s="34"/>
      <c r="D15" s="43"/>
      <c r="E15" s="75"/>
      <c r="F15" s="34"/>
      <c r="G15" s="48"/>
      <c r="H15" s="34"/>
      <c r="I15" s="43"/>
      <c r="J15" s="78"/>
      <c r="K15" s="77"/>
      <c r="L15" s="48"/>
      <c r="M15" s="78"/>
      <c r="N15" s="78"/>
      <c r="O15" s="78"/>
      <c r="P15" s="78"/>
      <c r="Q15" s="78"/>
      <c r="R15" s="79"/>
      <c r="S15" s="80"/>
    </row>
    <row r="16">
      <c r="A16" s="28"/>
      <c r="B16" s="74"/>
      <c r="C16" s="34"/>
      <c r="D16" s="43"/>
      <c r="E16" s="75"/>
      <c r="F16" s="34"/>
      <c r="G16" s="48"/>
      <c r="H16" s="34"/>
      <c r="I16" s="43"/>
      <c r="J16" s="78"/>
      <c r="K16" s="77"/>
      <c r="L16" s="48"/>
      <c r="M16" s="78"/>
      <c r="N16" s="78"/>
      <c r="O16" s="78"/>
      <c r="P16" s="78"/>
      <c r="Q16" s="78"/>
      <c r="R16" s="79"/>
      <c r="S16" s="80"/>
    </row>
    <row r="17">
      <c r="A17" s="28"/>
      <c r="B17" s="74"/>
      <c r="C17" s="34"/>
      <c r="D17" s="43"/>
      <c r="E17" s="75"/>
      <c r="F17" s="34"/>
      <c r="G17" s="48"/>
      <c r="H17" s="34"/>
      <c r="I17" s="43"/>
      <c r="J17" s="78"/>
      <c r="K17" s="77"/>
      <c r="L17" s="48"/>
      <c r="M17" s="78"/>
      <c r="N17" s="78"/>
      <c r="O17" s="78"/>
      <c r="P17" s="78"/>
      <c r="Q17" s="78"/>
      <c r="R17" s="79"/>
      <c r="S17" s="80"/>
    </row>
    <row r="18">
      <c r="A18" s="28"/>
      <c r="B18" s="74"/>
      <c r="C18" s="34"/>
      <c r="D18" s="43"/>
      <c r="E18" s="75"/>
      <c r="F18" s="34"/>
      <c r="G18" s="48"/>
      <c r="H18" s="34"/>
      <c r="I18" s="34"/>
      <c r="J18" s="78"/>
      <c r="K18" s="77"/>
      <c r="L18" s="48"/>
      <c r="M18" s="78"/>
      <c r="N18" s="78"/>
      <c r="O18" s="78"/>
      <c r="P18" s="78"/>
      <c r="Q18" s="78"/>
      <c r="R18" s="79"/>
      <c r="S18" s="80"/>
    </row>
    <row r="19">
      <c r="A19" s="28"/>
      <c r="B19" s="74"/>
      <c r="C19" s="34"/>
      <c r="D19" s="43"/>
      <c r="E19" s="75"/>
      <c r="F19" s="34"/>
      <c r="G19" s="48"/>
      <c r="H19" s="34"/>
      <c r="I19" s="43"/>
      <c r="J19" s="78"/>
      <c r="K19" s="77"/>
      <c r="L19" s="48"/>
      <c r="M19" s="78"/>
      <c r="N19" s="78"/>
      <c r="O19" s="78"/>
      <c r="P19" s="78"/>
      <c r="Q19" s="78"/>
      <c r="R19" s="79"/>
      <c r="S19" s="80"/>
    </row>
    <row r="20">
      <c r="A20" s="28"/>
      <c r="B20" s="74"/>
      <c r="C20" s="34"/>
      <c r="D20" s="43"/>
      <c r="E20" s="75"/>
      <c r="F20" s="34"/>
      <c r="G20" s="48"/>
      <c r="H20" s="34"/>
      <c r="I20" s="34"/>
      <c r="J20" s="78"/>
      <c r="K20" s="77"/>
      <c r="L20" s="48"/>
      <c r="M20" s="78"/>
      <c r="N20" s="78"/>
      <c r="O20" s="78"/>
      <c r="P20" s="78"/>
      <c r="Q20" s="78"/>
      <c r="R20" s="79"/>
      <c r="S20" s="80"/>
    </row>
    <row r="21">
      <c r="A21" s="28"/>
      <c r="B21" s="74"/>
      <c r="C21" s="34"/>
      <c r="D21" s="43"/>
      <c r="E21" s="75"/>
      <c r="F21" s="34"/>
      <c r="G21" s="48"/>
      <c r="H21" s="34"/>
      <c r="I21" s="34"/>
      <c r="J21" s="78"/>
      <c r="K21" s="77"/>
      <c r="L21" s="48"/>
      <c r="M21" s="78"/>
      <c r="N21" s="78"/>
      <c r="O21" s="78"/>
      <c r="P21" s="78"/>
      <c r="Q21" s="78"/>
      <c r="R21" s="79"/>
      <c r="S21" s="80"/>
    </row>
    <row r="22">
      <c r="A22" s="28"/>
      <c r="B22" s="74"/>
      <c r="C22" s="34"/>
      <c r="D22" s="43"/>
      <c r="E22" s="75"/>
      <c r="F22" s="34"/>
      <c r="G22" s="48"/>
      <c r="H22" s="34"/>
      <c r="I22" s="34"/>
      <c r="J22" s="78"/>
      <c r="K22" s="77"/>
      <c r="L22" s="48"/>
      <c r="M22" s="78"/>
      <c r="N22" s="78"/>
      <c r="O22" s="78"/>
      <c r="P22" s="78"/>
      <c r="Q22" s="78"/>
      <c r="R22" s="79"/>
      <c r="S22" s="80"/>
    </row>
    <row r="23">
      <c r="A23" s="28"/>
      <c r="B23" s="74"/>
      <c r="C23" s="34"/>
      <c r="D23" s="43"/>
      <c r="E23" s="75"/>
      <c r="F23" s="34"/>
      <c r="G23" s="48"/>
      <c r="H23" s="34"/>
      <c r="I23" s="34"/>
      <c r="J23" s="78"/>
      <c r="K23" s="77"/>
      <c r="L23" s="48"/>
      <c r="M23" s="78"/>
      <c r="N23" s="78"/>
      <c r="O23" s="78"/>
      <c r="P23" s="78"/>
      <c r="Q23" s="78"/>
      <c r="R23" s="79"/>
      <c r="S23" s="80"/>
    </row>
    <row r="24">
      <c r="A24" s="28"/>
      <c r="B24" s="74"/>
      <c r="C24" s="34"/>
      <c r="D24" s="43"/>
      <c r="E24" s="81"/>
      <c r="F24" s="48"/>
      <c r="G24" s="48"/>
      <c r="H24" s="48"/>
      <c r="I24" s="43"/>
      <c r="J24" s="78"/>
      <c r="K24" s="77"/>
      <c r="L24" s="48"/>
      <c r="M24" s="78"/>
      <c r="N24" s="78"/>
      <c r="O24" s="78"/>
      <c r="P24" s="78"/>
      <c r="Q24" s="78"/>
      <c r="R24" s="82"/>
      <c r="S24" s="80"/>
    </row>
    <row r="25">
      <c r="A25" s="28"/>
      <c r="B25" s="74"/>
      <c r="C25" s="34"/>
      <c r="D25" s="43"/>
      <c r="E25" s="81"/>
      <c r="F25" s="48"/>
      <c r="G25" s="48"/>
      <c r="H25" s="48"/>
      <c r="I25" s="43"/>
      <c r="J25" s="78"/>
      <c r="K25" s="77"/>
      <c r="L25" s="48"/>
      <c r="M25" s="78"/>
      <c r="N25" s="78"/>
      <c r="O25" s="78"/>
      <c r="P25" s="78"/>
      <c r="Q25" s="78"/>
      <c r="R25" s="82"/>
      <c r="S25" s="80"/>
    </row>
    <row r="26">
      <c r="A26" s="28"/>
      <c r="B26" s="74"/>
      <c r="C26" s="34"/>
      <c r="D26" s="43"/>
      <c r="E26" s="81"/>
      <c r="F26" s="48"/>
      <c r="G26" s="48"/>
      <c r="H26" s="48"/>
      <c r="I26" s="43"/>
      <c r="J26" s="78"/>
      <c r="K26" s="77"/>
      <c r="L26" s="48"/>
      <c r="M26" s="78"/>
      <c r="N26" s="78"/>
      <c r="O26" s="78"/>
      <c r="P26" s="78"/>
      <c r="Q26" s="78"/>
      <c r="R26" s="82"/>
      <c r="S26" s="80"/>
    </row>
    <row r="27">
      <c r="A27" s="28"/>
      <c r="B27" s="74"/>
      <c r="C27" s="34"/>
      <c r="D27" s="43"/>
      <c r="E27" s="81"/>
      <c r="F27" s="48"/>
      <c r="G27" s="48"/>
      <c r="H27" s="48"/>
      <c r="I27" s="43"/>
      <c r="J27" s="78"/>
      <c r="K27" s="77"/>
      <c r="L27" s="48"/>
      <c r="M27" s="78"/>
      <c r="N27" s="78"/>
      <c r="O27" s="78"/>
      <c r="P27" s="78"/>
      <c r="Q27" s="78"/>
      <c r="R27" s="82"/>
      <c r="S27" s="80"/>
    </row>
    <row r="28">
      <c r="A28" s="28"/>
      <c r="B28" s="74"/>
      <c r="C28" s="34"/>
      <c r="D28" s="43"/>
      <c r="E28" s="81"/>
      <c r="F28" s="48"/>
      <c r="G28" s="48"/>
      <c r="H28" s="48"/>
      <c r="I28" s="43"/>
      <c r="J28" s="78"/>
      <c r="K28" s="77"/>
      <c r="L28" s="48"/>
      <c r="M28" s="78"/>
      <c r="N28" s="78"/>
      <c r="O28" s="78"/>
      <c r="P28" s="78"/>
      <c r="Q28" s="78"/>
      <c r="R28" s="82"/>
      <c r="S28" s="80"/>
    </row>
    <row r="29">
      <c r="A29" s="28"/>
      <c r="B29" s="74"/>
      <c r="C29" s="34"/>
      <c r="D29" s="43"/>
      <c r="E29" s="81"/>
      <c r="F29" s="48"/>
      <c r="G29" s="48"/>
      <c r="H29" s="48"/>
      <c r="I29" s="43"/>
      <c r="J29" s="78"/>
      <c r="K29" s="77"/>
      <c r="L29" s="48"/>
      <c r="M29" s="78"/>
      <c r="N29" s="78"/>
      <c r="O29" s="78"/>
      <c r="P29" s="78"/>
      <c r="Q29" s="78"/>
      <c r="R29" s="82"/>
      <c r="S29" s="80"/>
    </row>
    <row r="30">
      <c r="A30" s="28"/>
      <c r="B30" s="74"/>
      <c r="C30" s="34"/>
      <c r="D30" s="43"/>
      <c r="E30" s="81"/>
      <c r="F30" s="48"/>
      <c r="G30" s="48"/>
      <c r="H30" s="48"/>
      <c r="I30" s="43"/>
      <c r="J30" s="78"/>
      <c r="K30" s="77"/>
      <c r="L30" s="48"/>
      <c r="M30" s="78"/>
      <c r="N30" s="78"/>
      <c r="O30" s="78"/>
      <c r="P30" s="78"/>
      <c r="Q30" s="78"/>
      <c r="R30" s="82"/>
      <c r="S30" s="80"/>
    </row>
    <row r="31">
      <c r="A31" s="28"/>
      <c r="B31" s="74"/>
      <c r="C31" s="34"/>
      <c r="D31" s="43"/>
      <c r="E31" s="81"/>
      <c r="F31" s="48"/>
      <c r="G31" s="48"/>
      <c r="H31" s="48"/>
      <c r="I31" s="43"/>
      <c r="J31" s="78"/>
      <c r="K31" s="77"/>
      <c r="L31" s="48"/>
      <c r="M31" s="78"/>
      <c r="N31" s="78"/>
      <c r="O31" s="78"/>
      <c r="P31" s="78"/>
      <c r="Q31" s="78"/>
      <c r="R31" s="82"/>
      <c r="S31" s="80"/>
    </row>
    <row r="32">
      <c r="A32" s="28"/>
      <c r="B32" s="74"/>
      <c r="C32" s="34"/>
      <c r="D32" s="43"/>
      <c r="E32" s="81"/>
      <c r="F32" s="48"/>
      <c r="G32" s="48"/>
      <c r="H32" s="48"/>
      <c r="I32" s="43"/>
      <c r="J32" s="78"/>
      <c r="K32" s="77"/>
      <c r="L32" s="48"/>
      <c r="M32" s="78"/>
      <c r="N32" s="78"/>
      <c r="O32" s="78"/>
      <c r="P32" s="78"/>
      <c r="Q32" s="78"/>
      <c r="R32" s="82"/>
      <c r="S32" s="80"/>
    </row>
    <row r="33">
      <c r="A33" s="28"/>
      <c r="B33" s="74"/>
      <c r="C33" s="34"/>
      <c r="D33" s="43"/>
      <c r="E33" s="81"/>
      <c r="F33" s="48"/>
      <c r="G33" s="48"/>
      <c r="H33" s="48"/>
      <c r="I33" s="43"/>
      <c r="J33" s="78"/>
      <c r="K33" s="77"/>
      <c r="L33" s="48"/>
      <c r="M33" s="78"/>
      <c r="N33" s="78"/>
      <c r="O33" s="78"/>
      <c r="P33" s="78"/>
      <c r="Q33" s="78"/>
      <c r="R33" s="82"/>
      <c r="S33" s="80"/>
    </row>
    <row r="34">
      <c r="A34" s="28"/>
      <c r="B34" s="74"/>
      <c r="C34" s="34"/>
      <c r="D34" s="43"/>
      <c r="E34" s="81"/>
      <c r="F34" s="48"/>
      <c r="G34" s="48"/>
      <c r="H34" s="48"/>
      <c r="I34" s="43"/>
      <c r="J34" s="78"/>
      <c r="K34" s="77"/>
      <c r="L34" s="48"/>
      <c r="M34" s="78"/>
      <c r="N34" s="78"/>
      <c r="O34" s="78"/>
      <c r="P34" s="78"/>
      <c r="Q34" s="78"/>
      <c r="R34" s="82"/>
      <c r="S34" s="80"/>
    </row>
    <row r="35">
      <c r="A35" s="28"/>
      <c r="B35" s="74"/>
      <c r="C35" s="34"/>
      <c r="D35" s="43"/>
      <c r="E35" s="81"/>
      <c r="F35" s="48"/>
      <c r="G35" s="48"/>
      <c r="H35" s="48"/>
      <c r="I35" s="43"/>
      <c r="J35" s="78"/>
      <c r="K35" s="77"/>
      <c r="L35" s="48"/>
      <c r="M35" s="78"/>
      <c r="N35" s="78"/>
      <c r="O35" s="78"/>
      <c r="P35" s="78"/>
      <c r="Q35" s="78"/>
      <c r="R35" s="82"/>
      <c r="S35" s="80"/>
    </row>
    <row r="36">
      <c r="A36" s="28"/>
      <c r="B36" s="74"/>
      <c r="C36" s="34"/>
      <c r="D36" s="43"/>
      <c r="E36" s="81"/>
      <c r="F36" s="48"/>
      <c r="G36" s="48"/>
      <c r="H36" s="48"/>
      <c r="I36" s="43"/>
      <c r="J36" s="78"/>
      <c r="K36" s="77"/>
      <c r="L36" s="48"/>
      <c r="M36" s="78"/>
      <c r="N36" s="78"/>
      <c r="O36" s="78"/>
      <c r="P36" s="78"/>
      <c r="Q36" s="78"/>
      <c r="R36" s="82"/>
      <c r="S36" s="80"/>
    </row>
    <row r="37">
      <c r="A37" s="28"/>
      <c r="B37" s="74"/>
      <c r="C37" s="34"/>
      <c r="D37" s="43"/>
      <c r="E37" s="81"/>
      <c r="F37" s="48"/>
      <c r="G37" s="48"/>
      <c r="H37" s="48"/>
      <c r="I37" s="43"/>
      <c r="J37" s="78"/>
      <c r="K37" s="77"/>
      <c r="L37" s="48"/>
      <c r="M37" s="78"/>
      <c r="N37" s="78"/>
      <c r="O37" s="78"/>
      <c r="P37" s="78"/>
      <c r="Q37" s="78"/>
      <c r="R37" s="82"/>
      <c r="S37" s="80"/>
    </row>
    <row r="38">
      <c r="A38" s="28"/>
      <c r="B38" s="74"/>
      <c r="C38" s="34"/>
      <c r="D38" s="43"/>
      <c r="E38" s="81"/>
      <c r="F38" s="48"/>
      <c r="G38" s="48"/>
      <c r="H38" s="48"/>
      <c r="I38" s="43"/>
      <c r="J38" s="78"/>
      <c r="K38" s="77"/>
      <c r="L38" s="48"/>
      <c r="M38" s="78"/>
      <c r="N38" s="78"/>
      <c r="O38" s="78"/>
      <c r="P38" s="78"/>
      <c r="Q38" s="78"/>
      <c r="R38" s="82"/>
      <c r="S38" s="80"/>
    </row>
    <row r="39">
      <c r="A39" s="28"/>
      <c r="B39" s="74"/>
      <c r="C39" s="34"/>
      <c r="D39" s="43"/>
      <c r="E39" s="81"/>
      <c r="F39" s="48"/>
      <c r="G39" s="48"/>
      <c r="H39" s="48"/>
      <c r="I39" s="43"/>
      <c r="J39" s="78"/>
      <c r="K39" s="77"/>
      <c r="L39" s="48"/>
      <c r="M39" s="78"/>
      <c r="N39" s="78"/>
      <c r="O39" s="78"/>
      <c r="P39" s="78"/>
      <c r="Q39" s="78"/>
      <c r="R39" s="82"/>
      <c r="S39" s="80"/>
    </row>
    <row r="40">
      <c r="A40" s="28"/>
      <c r="B40" s="74"/>
      <c r="C40" s="34"/>
      <c r="D40" s="43"/>
      <c r="E40" s="81"/>
      <c r="F40" s="48"/>
      <c r="G40" s="48"/>
      <c r="H40" s="48"/>
      <c r="I40" s="43"/>
      <c r="J40" s="78"/>
      <c r="K40" s="77"/>
      <c r="L40" s="48"/>
      <c r="M40" s="78"/>
      <c r="N40" s="78"/>
      <c r="O40" s="78"/>
      <c r="P40" s="78"/>
      <c r="Q40" s="78"/>
      <c r="R40" s="82"/>
      <c r="S40" s="80"/>
    </row>
    <row r="41">
      <c r="A41" s="28"/>
      <c r="B41" s="74"/>
      <c r="C41" s="34"/>
      <c r="D41" s="43"/>
      <c r="E41" s="81"/>
      <c r="F41" s="48"/>
      <c r="G41" s="48"/>
      <c r="H41" s="48"/>
      <c r="I41" s="43"/>
      <c r="J41" s="78"/>
      <c r="K41" s="77"/>
      <c r="L41" s="48"/>
      <c r="M41" s="78"/>
      <c r="N41" s="78"/>
      <c r="O41" s="78"/>
      <c r="P41" s="78"/>
      <c r="Q41" s="78"/>
      <c r="R41" s="82"/>
      <c r="S41" s="80"/>
    </row>
    <row r="42">
      <c r="A42" s="28"/>
      <c r="B42" s="74"/>
      <c r="C42" s="34"/>
      <c r="D42" s="43"/>
      <c r="E42" s="81"/>
      <c r="F42" s="48"/>
      <c r="G42" s="48"/>
      <c r="H42" s="48"/>
      <c r="I42" s="43"/>
      <c r="J42" s="78"/>
      <c r="K42" s="77"/>
      <c r="L42" s="48"/>
      <c r="M42" s="78"/>
      <c r="N42" s="78"/>
      <c r="O42" s="78"/>
      <c r="P42" s="78"/>
      <c r="Q42" s="78"/>
      <c r="R42" s="82"/>
      <c r="S42" s="80"/>
    </row>
    <row r="43">
      <c r="A43" s="28"/>
      <c r="B43" s="74"/>
      <c r="C43" s="34"/>
      <c r="D43" s="43"/>
      <c r="E43" s="81"/>
      <c r="F43" s="48"/>
      <c r="G43" s="48"/>
      <c r="H43" s="48"/>
      <c r="I43" s="43"/>
      <c r="J43" s="78"/>
      <c r="K43" s="77"/>
      <c r="L43" s="48"/>
      <c r="M43" s="78"/>
      <c r="N43" s="78"/>
      <c r="O43" s="78"/>
      <c r="P43" s="78"/>
      <c r="Q43" s="78"/>
      <c r="R43" s="82"/>
      <c r="S43" s="80"/>
    </row>
    <row r="44">
      <c r="A44" s="28"/>
      <c r="B44" s="74"/>
      <c r="C44" s="34"/>
      <c r="D44" s="43"/>
      <c r="E44" s="81"/>
      <c r="F44" s="48"/>
      <c r="G44" s="48"/>
      <c r="H44" s="48"/>
      <c r="I44" s="43"/>
      <c r="J44" s="78"/>
      <c r="K44" s="77"/>
      <c r="L44" s="48"/>
      <c r="M44" s="78"/>
      <c r="N44" s="78"/>
      <c r="O44" s="78"/>
      <c r="P44" s="78"/>
      <c r="Q44" s="78"/>
      <c r="R44" s="82"/>
      <c r="S44" s="80"/>
    </row>
    <row r="45">
      <c r="A45" s="28"/>
      <c r="B45" s="74"/>
      <c r="C45" s="34"/>
      <c r="D45" s="43"/>
      <c r="E45" s="81"/>
      <c r="F45" s="48"/>
      <c r="G45" s="48"/>
      <c r="H45" s="48"/>
      <c r="I45" s="43"/>
      <c r="J45" s="78"/>
      <c r="K45" s="77"/>
      <c r="L45" s="48"/>
      <c r="M45" s="78"/>
      <c r="N45" s="78"/>
      <c r="O45" s="78"/>
      <c r="P45" s="78"/>
      <c r="Q45" s="78"/>
      <c r="R45" s="82"/>
      <c r="S45" s="80"/>
    </row>
    <row r="46">
      <c r="A46" s="28"/>
      <c r="B46" s="74"/>
      <c r="C46" s="34"/>
      <c r="D46" s="43"/>
      <c r="E46" s="81"/>
      <c r="F46" s="48"/>
      <c r="G46" s="48"/>
      <c r="H46" s="48"/>
      <c r="I46" s="43"/>
      <c r="J46" s="78"/>
      <c r="K46" s="77"/>
      <c r="L46" s="48"/>
      <c r="M46" s="78"/>
      <c r="N46" s="78"/>
      <c r="O46" s="78"/>
      <c r="P46" s="78"/>
      <c r="Q46" s="78"/>
      <c r="R46" s="82"/>
      <c r="S46" s="80"/>
    </row>
    <row r="47">
      <c r="A47" s="28"/>
      <c r="B47" s="74"/>
      <c r="C47" s="34"/>
      <c r="D47" s="43"/>
      <c r="E47" s="81"/>
      <c r="F47" s="48"/>
      <c r="G47" s="48"/>
      <c r="H47" s="48"/>
      <c r="I47" s="43"/>
      <c r="J47" s="78"/>
      <c r="K47" s="77"/>
      <c r="L47" s="48"/>
      <c r="M47" s="78"/>
      <c r="N47" s="78"/>
      <c r="O47" s="78"/>
      <c r="P47" s="78"/>
      <c r="Q47" s="78"/>
      <c r="R47" s="82"/>
      <c r="S47" s="80"/>
    </row>
    <row r="48">
      <c r="A48" s="28"/>
      <c r="B48" s="74"/>
      <c r="C48" s="34"/>
      <c r="D48" s="43"/>
      <c r="E48" s="81"/>
      <c r="F48" s="48"/>
      <c r="G48" s="48"/>
      <c r="H48" s="48"/>
      <c r="I48" s="43"/>
      <c r="J48" s="78"/>
      <c r="K48" s="77"/>
      <c r="L48" s="48"/>
      <c r="M48" s="78"/>
      <c r="N48" s="78"/>
      <c r="O48" s="78"/>
      <c r="P48" s="78"/>
      <c r="Q48" s="78"/>
      <c r="R48" s="82"/>
      <c r="S48" s="80"/>
    </row>
    <row r="49">
      <c r="A49" s="28"/>
      <c r="B49" s="74"/>
      <c r="C49" s="34"/>
      <c r="D49" s="43"/>
      <c r="E49" s="81"/>
      <c r="F49" s="48"/>
      <c r="G49" s="48"/>
      <c r="H49" s="48"/>
      <c r="I49" s="43"/>
      <c r="J49" s="78"/>
      <c r="K49" s="77"/>
      <c r="L49" s="48"/>
      <c r="M49" s="78"/>
      <c r="N49" s="78"/>
      <c r="O49" s="78"/>
      <c r="P49" s="78"/>
      <c r="Q49" s="78"/>
      <c r="R49" s="82"/>
      <c r="S49" s="80"/>
    </row>
    <row r="50">
      <c r="A50" s="28"/>
      <c r="B50" s="74"/>
      <c r="C50" s="34"/>
      <c r="D50" s="43"/>
      <c r="E50" s="81"/>
      <c r="F50" s="48"/>
      <c r="G50" s="48"/>
      <c r="H50" s="48"/>
      <c r="I50" s="43"/>
      <c r="J50" s="78"/>
      <c r="K50" s="77"/>
      <c r="L50" s="48"/>
      <c r="M50" s="78"/>
      <c r="N50" s="78"/>
      <c r="O50" s="78"/>
      <c r="P50" s="78"/>
      <c r="Q50" s="78"/>
      <c r="R50" s="82"/>
      <c r="S50" s="80"/>
    </row>
    <row r="51">
      <c r="A51" s="28"/>
      <c r="B51" s="83"/>
      <c r="C51" s="43"/>
      <c r="D51" s="43"/>
      <c r="E51" s="81"/>
      <c r="F51" s="48"/>
      <c r="G51" s="48"/>
      <c r="H51" s="48"/>
      <c r="I51" s="43"/>
      <c r="J51" s="78"/>
      <c r="K51" s="48"/>
      <c r="L51" s="48"/>
      <c r="M51" s="78"/>
      <c r="N51" s="78"/>
      <c r="O51" s="78"/>
      <c r="P51" s="78"/>
      <c r="Q51" s="78"/>
      <c r="R51" s="82"/>
      <c r="S51" s="80"/>
    </row>
    <row r="52">
      <c r="A52" s="28"/>
      <c r="B52" s="83"/>
      <c r="C52" s="43"/>
      <c r="D52" s="43"/>
      <c r="E52" s="81"/>
      <c r="F52" s="48"/>
      <c r="G52" s="48"/>
      <c r="H52" s="48"/>
      <c r="I52" s="43"/>
      <c r="J52" s="78"/>
      <c r="K52" s="48"/>
      <c r="L52" s="48"/>
      <c r="M52" s="78"/>
      <c r="N52" s="78"/>
      <c r="O52" s="78"/>
      <c r="P52" s="78"/>
      <c r="Q52" s="78"/>
      <c r="R52" s="82"/>
      <c r="S52" s="80"/>
    </row>
    <row r="53">
      <c r="A53" s="28"/>
      <c r="B53" s="83"/>
      <c r="C53" s="43"/>
      <c r="D53" s="43"/>
      <c r="E53" s="81"/>
      <c r="F53" s="48"/>
      <c r="G53" s="48"/>
      <c r="H53" s="48"/>
      <c r="I53" s="43"/>
      <c r="J53" s="78"/>
      <c r="K53" s="48"/>
      <c r="L53" s="48"/>
      <c r="M53" s="78"/>
      <c r="N53" s="78"/>
      <c r="O53" s="78"/>
      <c r="P53" s="78"/>
      <c r="Q53" s="78"/>
      <c r="R53" s="82"/>
      <c r="S53" s="80"/>
    </row>
    <row r="54">
      <c r="A54" s="28"/>
      <c r="B54" s="74"/>
      <c r="C54" s="34"/>
      <c r="D54" s="43"/>
      <c r="E54" s="81"/>
      <c r="F54" s="48"/>
      <c r="G54" s="48"/>
      <c r="H54" s="48"/>
      <c r="I54" s="43"/>
      <c r="J54" s="78"/>
      <c r="K54" s="77"/>
      <c r="L54" s="48"/>
      <c r="M54" s="78"/>
      <c r="N54" s="78"/>
      <c r="O54" s="78"/>
      <c r="P54" s="78"/>
      <c r="Q54" s="78"/>
      <c r="R54" s="82"/>
      <c r="S54" s="80"/>
    </row>
    <row r="55">
      <c r="A55" s="28"/>
      <c r="B55" s="74"/>
      <c r="C55" s="34"/>
      <c r="D55" s="43"/>
      <c r="E55" s="81"/>
      <c r="F55" s="48"/>
      <c r="G55" s="48"/>
      <c r="H55" s="48"/>
      <c r="I55" s="43"/>
      <c r="J55" s="78"/>
      <c r="K55" s="77"/>
      <c r="L55" s="48"/>
      <c r="M55" s="78"/>
      <c r="N55" s="78"/>
      <c r="O55" s="78"/>
      <c r="P55" s="78"/>
      <c r="Q55" s="78"/>
      <c r="R55" s="82"/>
      <c r="S55" s="80"/>
    </row>
    <row r="56">
      <c r="A56" s="28"/>
      <c r="B56" s="74"/>
      <c r="C56" s="34"/>
      <c r="D56" s="43"/>
      <c r="E56" s="81"/>
      <c r="F56" s="48"/>
      <c r="G56" s="48"/>
      <c r="H56" s="48"/>
      <c r="I56" s="43"/>
      <c r="J56" s="78"/>
      <c r="K56" s="77"/>
      <c r="L56" s="48"/>
      <c r="M56" s="78"/>
      <c r="N56" s="78"/>
      <c r="O56" s="78"/>
      <c r="P56" s="78"/>
      <c r="Q56" s="78"/>
      <c r="R56" s="82"/>
      <c r="S56" s="80"/>
    </row>
    <row r="57">
      <c r="A57" s="28"/>
      <c r="B57" s="74"/>
      <c r="C57" s="34"/>
      <c r="D57" s="43"/>
      <c r="E57" s="81"/>
      <c r="F57" s="48"/>
      <c r="G57" s="48"/>
      <c r="H57" s="48"/>
      <c r="I57" s="43"/>
      <c r="J57" s="78"/>
      <c r="K57" s="77"/>
      <c r="L57" s="48"/>
      <c r="M57" s="78"/>
      <c r="N57" s="78"/>
      <c r="O57" s="78"/>
      <c r="P57" s="78"/>
      <c r="Q57" s="78"/>
      <c r="R57" s="82"/>
      <c r="S57" s="80"/>
    </row>
    <row r="58">
      <c r="A58" s="28"/>
      <c r="B58" s="74"/>
      <c r="C58" s="34"/>
      <c r="D58" s="43"/>
      <c r="E58" s="81"/>
      <c r="F58" s="48"/>
      <c r="G58" s="48"/>
      <c r="H58" s="48"/>
      <c r="I58" s="43"/>
      <c r="J58" s="78"/>
      <c r="K58" s="77"/>
      <c r="L58" s="48"/>
      <c r="M58" s="78"/>
      <c r="N58" s="78"/>
      <c r="O58" s="78"/>
      <c r="P58" s="78"/>
      <c r="Q58" s="78"/>
      <c r="R58" s="82"/>
      <c r="S58" s="80"/>
    </row>
    <row r="59">
      <c r="A59" s="28"/>
      <c r="B59" s="74"/>
      <c r="C59" s="34"/>
      <c r="D59" s="43"/>
      <c r="E59" s="81"/>
      <c r="F59" s="48"/>
      <c r="G59" s="48"/>
      <c r="H59" s="48"/>
      <c r="I59" s="43"/>
      <c r="J59" s="78"/>
      <c r="K59" s="77"/>
      <c r="L59" s="48"/>
      <c r="M59" s="78"/>
      <c r="N59" s="78"/>
      <c r="O59" s="78"/>
      <c r="P59" s="78"/>
      <c r="Q59" s="78"/>
      <c r="R59" s="82"/>
      <c r="S59" s="80"/>
    </row>
    <row r="60">
      <c r="A60" s="28"/>
      <c r="B60" s="74"/>
      <c r="C60" s="34"/>
      <c r="D60" s="43"/>
      <c r="E60" s="81"/>
      <c r="F60" s="48"/>
      <c r="G60" s="48"/>
      <c r="H60" s="48"/>
      <c r="I60" s="43"/>
      <c r="J60" s="78"/>
      <c r="K60" s="77"/>
      <c r="L60" s="48"/>
      <c r="M60" s="78"/>
      <c r="N60" s="78"/>
      <c r="O60" s="78"/>
      <c r="P60" s="78"/>
      <c r="Q60" s="78"/>
      <c r="R60" s="82"/>
      <c r="S60" s="80"/>
    </row>
    <row r="61">
      <c r="A61" s="28"/>
      <c r="B61" s="74"/>
      <c r="C61" s="34"/>
      <c r="D61" s="43"/>
      <c r="E61" s="81"/>
      <c r="F61" s="48"/>
      <c r="G61" s="48"/>
      <c r="H61" s="48"/>
      <c r="I61" s="43"/>
      <c r="J61" s="78"/>
      <c r="K61" s="77"/>
      <c r="L61" s="48"/>
      <c r="M61" s="78"/>
      <c r="N61" s="78"/>
      <c r="O61" s="78"/>
      <c r="P61" s="78"/>
      <c r="Q61" s="78"/>
      <c r="R61" s="82"/>
      <c r="S61" s="80"/>
    </row>
    <row r="62">
      <c r="A62" s="28"/>
      <c r="B62" s="74"/>
      <c r="C62" s="34"/>
      <c r="D62" s="43"/>
      <c r="E62" s="81"/>
      <c r="F62" s="48"/>
      <c r="G62" s="48"/>
      <c r="H62" s="48"/>
      <c r="I62" s="43"/>
      <c r="J62" s="78"/>
      <c r="K62" s="77"/>
      <c r="L62" s="48"/>
      <c r="M62" s="78"/>
      <c r="N62" s="78"/>
      <c r="O62" s="78"/>
      <c r="P62" s="78"/>
      <c r="Q62" s="78"/>
      <c r="R62" s="82"/>
      <c r="S62" s="80"/>
    </row>
    <row r="63">
      <c r="A63" s="28"/>
      <c r="B63" s="74"/>
      <c r="C63" s="34"/>
      <c r="D63" s="43"/>
      <c r="E63" s="81"/>
      <c r="F63" s="48"/>
      <c r="G63" s="48"/>
      <c r="H63" s="48"/>
      <c r="I63" s="43"/>
      <c r="J63" s="78"/>
      <c r="K63" s="77"/>
      <c r="L63" s="48"/>
      <c r="M63" s="78"/>
      <c r="N63" s="78"/>
      <c r="O63" s="78"/>
      <c r="P63" s="78"/>
      <c r="Q63" s="78"/>
      <c r="R63" s="82"/>
      <c r="S63" s="80"/>
    </row>
    <row r="64">
      <c r="A64" s="28"/>
      <c r="B64" s="74"/>
      <c r="C64" s="34"/>
      <c r="D64" s="43"/>
      <c r="E64" s="81"/>
      <c r="F64" s="48"/>
      <c r="G64" s="48"/>
      <c r="H64" s="48"/>
      <c r="I64" s="43"/>
      <c r="J64" s="78"/>
      <c r="K64" s="77"/>
      <c r="L64" s="48"/>
      <c r="M64" s="78"/>
      <c r="N64" s="78"/>
      <c r="O64" s="78"/>
      <c r="P64" s="78"/>
      <c r="Q64" s="78"/>
      <c r="R64" s="82"/>
      <c r="S64" s="80"/>
    </row>
    <row r="65">
      <c r="A65" s="28"/>
      <c r="B65" s="74"/>
      <c r="C65" s="34"/>
      <c r="D65" s="43"/>
      <c r="E65" s="81"/>
      <c r="F65" s="48"/>
      <c r="G65" s="48"/>
      <c r="H65" s="48"/>
      <c r="I65" s="43"/>
      <c r="J65" s="78"/>
      <c r="K65" s="77"/>
      <c r="L65" s="48"/>
      <c r="M65" s="78"/>
      <c r="N65" s="78"/>
      <c r="O65" s="78"/>
      <c r="P65" s="78"/>
      <c r="Q65" s="78"/>
      <c r="R65" s="82"/>
      <c r="S65" s="80"/>
    </row>
    <row r="66">
      <c r="A66" s="28"/>
      <c r="B66" s="74"/>
      <c r="C66" s="34"/>
      <c r="D66" s="43"/>
      <c r="E66" s="81"/>
      <c r="F66" s="48"/>
      <c r="G66" s="48"/>
      <c r="H66" s="48"/>
      <c r="I66" s="43"/>
      <c r="J66" s="78"/>
      <c r="K66" s="77"/>
      <c r="L66" s="48"/>
      <c r="M66" s="78"/>
      <c r="N66" s="78"/>
      <c r="O66" s="78"/>
      <c r="P66" s="78"/>
      <c r="Q66" s="78"/>
      <c r="R66" s="82"/>
      <c r="S66" s="80"/>
    </row>
    <row r="67">
      <c r="A67" s="28"/>
      <c r="B67" s="74"/>
      <c r="C67" s="34"/>
      <c r="D67" s="43"/>
      <c r="E67" s="81"/>
      <c r="F67" s="48"/>
      <c r="G67" s="48"/>
      <c r="H67" s="48"/>
      <c r="I67" s="43"/>
      <c r="J67" s="78"/>
      <c r="K67" s="77"/>
      <c r="L67" s="48"/>
      <c r="M67" s="78"/>
      <c r="N67" s="78"/>
      <c r="O67" s="78"/>
      <c r="P67" s="78"/>
      <c r="Q67" s="78"/>
      <c r="R67" s="82"/>
      <c r="S67" s="80"/>
    </row>
    <row r="68">
      <c r="A68" s="28"/>
      <c r="B68" s="83"/>
      <c r="C68" s="43"/>
      <c r="D68" s="43"/>
      <c r="E68" s="81"/>
      <c r="F68" s="48"/>
      <c r="G68" s="48"/>
      <c r="H68" s="48"/>
      <c r="I68" s="43"/>
      <c r="J68" s="78"/>
      <c r="K68" s="48"/>
      <c r="L68" s="48"/>
      <c r="M68" s="78"/>
      <c r="N68" s="78"/>
      <c r="O68" s="78"/>
      <c r="P68" s="78"/>
      <c r="Q68" s="78"/>
      <c r="R68" s="82"/>
      <c r="S68" s="80"/>
    </row>
    <row r="69">
      <c r="A69" s="28"/>
      <c r="B69" s="83"/>
      <c r="C69" s="43"/>
      <c r="D69" s="43"/>
      <c r="E69" s="81"/>
      <c r="F69" s="48"/>
      <c r="G69" s="48"/>
      <c r="H69" s="48"/>
      <c r="I69" s="43"/>
      <c r="J69" s="78"/>
      <c r="K69" s="48"/>
      <c r="L69" s="48"/>
      <c r="M69" s="78"/>
      <c r="N69" s="78"/>
      <c r="O69" s="78"/>
      <c r="P69" s="78"/>
      <c r="Q69" s="78"/>
      <c r="R69" s="82"/>
      <c r="S69" s="80"/>
    </row>
    <row r="70">
      <c r="A70" s="28"/>
      <c r="B70" s="83"/>
      <c r="C70" s="43"/>
      <c r="D70" s="43"/>
      <c r="E70" s="81"/>
      <c r="F70" s="48"/>
      <c r="G70" s="48"/>
      <c r="H70" s="48"/>
      <c r="I70" s="43"/>
      <c r="J70" s="78"/>
      <c r="K70" s="48"/>
      <c r="L70" s="48"/>
      <c r="M70" s="78"/>
      <c r="N70" s="78"/>
      <c r="O70" s="78"/>
      <c r="P70" s="78"/>
      <c r="Q70" s="78"/>
      <c r="R70" s="82"/>
      <c r="S70" s="80"/>
    </row>
    <row r="71">
      <c r="A71" s="28"/>
      <c r="B71" s="83"/>
      <c r="C71" s="43"/>
      <c r="D71" s="43"/>
      <c r="E71" s="81"/>
      <c r="F71" s="48"/>
      <c r="G71" s="48"/>
      <c r="H71" s="48"/>
      <c r="I71" s="43"/>
      <c r="J71" s="78"/>
      <c r="K71" s="48"/>
      <c r="L71" s="48"/>
      <c r="M71" s="78"/>
      <c r="N71" s="78"/>
      <c r="O71" s="78"/>
      <c r="P71" s="78"/>
      <c r="Q71" s="78"/>
      <c r="R71" s="82"/>
      <c r="S71" s="80"/>
    </row>
    <row r="72">
      <c r="A72" s="28"/>
      <c r="B72" s="83"/>
      <c r="C72" s="43"/>
      <c r="D72" s="43"/>
      <c r="E72" s="81"/>
      <c r="F72" s="48"/>
      <c r="G72" s="48"/>
      <c r="H72" s="48"/>
      <c r="I72" s="43"/>
      <c r="J72" s="78"/>
      <c r="K72" s="48"/>
      <c r="L72" s="48"/>
      <c r="M72" s="78"/>
      <c r="N72" s="78"/>
      <c r="O72" s="78"/>
      <c r="P72" s="78"/>
      <c r="Q72" s="78"/>
      <c r="R72" s="82"/>
      <c r="S72" s="80"/>
    </row>
    <row r="73">
      <c r="A73" s="28"/>
      <c r="B73" s="83"/>
      <c r="C73" s="43"/>
      <c r="D73" s="43"/>
      <c r="E73" s="81"/>
      <c r="F73" s="48"/>
      <c r="G73" s="48"/>
      <c r="H73" s="48"/>
      <c r="I73" s="43"/>
      <c r="J73" s="78"/>
      <c r="K73" s="48"/>
      <c r="L73" s="48"/>
      <c r="M73" s="78"/>
      <c r="N73" s="78"/>
      <c r="O73" s="78"/>
      <c r="P73" s="78"/>
      <c r="Q73" s="78"/>
      <c r="R73" s="82"/>
      <c r="S73" s="80"/>
    </row>
    <row r="74">
      <c r="A74" s="28"/>
      <c r="B74" s="83"/>
      <c r="C74" s="43"/>
      <c r="D74" s="43"/>
      <c r="E74" s="81"/>
      <c r="F74" s="48"/>
      <c r="G74" s="48"/>
      <c r="H74" s="48"/>
      <c r="I74" s="43"/>
      <c r="J74" s="78"/>
      <c r="K74" s="48"/>
      <c r="L74" s="48"/>
      <c r="M74" s="78"/>
      <c r="N74" s="78"/>
      <c r="O74" s="78"/>
      <c r="P74" s="78"/>
      <c r="Q74" s="78"/>
      <c r="R74" s="82"/>
      <c r="S74" s="80"/>
    </row>
    <row r="75">
      <c r="A75" s="28"/>
      <c r="B75" s="83"/>
      <c r="C75" s="43"/>
      <c r="D75" s="43"/>
      <c r="E75" s="81"/>
      <c r="F75" s="48"/>
      <c r="G75" s="48"/>
      <c r="H75" s="48"/>
      <c r="I75" s="43"/>
      <c r="J75" s="78"/>
      <c r="K75" s="48"/>
      <c r="L75" s="48"/>
      <c r="M75" s="78"/>
      <c r="N75" s="78"/>
      <c r="O75" s="78"/>
      <c r="P75" s="78"/>
      <c r="Q75" s="78"/>
      <c r="R75" s="82"/>
      <c r="S75" s="80"/>
    </row>
    <row r="76">
      <c r="A76" s="28"/>
      <c r="B76" s="83"/>
      <c r="C76" s="43"/>
      <c r="D76" s="43"/>
      <c r="E76" s="81"/>
      <c r="F76" s="48"/>
      <c r="G76" s="48"/>
      <c r="H76" s="48"/>
      <c r="I76" s="43"/>
      <c r="J76" s="78"/>
      <c r="K76" s="48"/>
      <c r="L76" s="48"/>
      <c r="M76" s="78"/>
      <c r="N76" s="78"/>
      <c r="O76" s="78"/>
      <c r="P76" s="78"/>
      <c r="Q76" s="78"/>
      <c r="R76" s="82"/>
      <c r="S76" s="80"/>
    </row>
    <row r="77">
      <c r="A77" s="28"/>
      <c r="B77" s="83"/>
      <c r="C77" s="43"/>
      <c r="D77" s="43"/>
      <c r="E77" s="81"/>
      <c r="F77" s="48"/>
      <c r="G77" s="48"/>
      <c r="H77" s="48"/>
      <c r="I77" s="43"/>
      <c r="J77" s="78"/>
      <c r="K77" s="48"/>
      <c r="L77" s="48"/>
      <c r="M77" s="78"/>
      <c r="N77" s="78"/>
      <c r="O77" s="78"/>
      <c r="P77" s="78"/>
      <c r="Q77" s="78"/>
      <c r="R77" s="82"/>
      <c r="S77" s="80"/>
    </row>
    <row r="78">
      <c r="A78" s="28"/>
      <c r="B78" s="83"/>
      <c r="C78" s="43"/>
      <c r="D78" s="43"/>
      <c r="E78" s="81"/>
      <c r="F78" s="48"/>
      <c r="G78" s="48"/>
      <c r="H78" s="48"/>
      <c r="I78" s="43"/>
      <c r="J78" s="78"/>
      <c r="K78" s="48"/>
      <c r="L78" s="48"/>
      <c r="M78" s="78"/>
      <c r="N78" s="78"/>
      <c r="O78" s="78"/>
      <c r="P78" s="78"/>
      <c r="Q78" s="78"/>
      <c r="R78" s="82"/>
      <c r="S78" s="80"/>
    </row>
    <row r="79">
      <c r="A79" s="28"/>
      <c r="B79" s="83"/>
      <c r="C79" s="43"/>
      <c r="D79" s="43"/>
      <c r="E79" s="81"/>
      <c r="F79" s="48"/>
      <c r="G79" s="48"/>
      <c r="H79" s="48"/>
      <c r="I79" s="43"/>
      <c r="J79" s="78"/>
      <c r="K79" s="48"/>
      <c r="L79" s="48"/>
      <c r="M79" s="78"/>
      <c r="N79" s="78"/>
      <c r="O79" s="78"/>
      <c r="P79" s="78"/>
      <c r="Q79" s="78"/>
      <c r="R79" s="82"/>
      <c r="S79" s="80"/>
    </row>
    <row r="80">
      <c r="A80" s="28"/>
      <c r="B80" s="83"/>
      <c r="C80" s="43"/>
      <c r="D80" s="43"/>
      <c r="E80" s="81"/>
      <c r="F80" s="48"/>
      <c r="G80" s="48"/>
      <c r="H80" s="48"/>
      <c r="I80" s="43"/>
      <c r="J80" s="78"/>
      <c r="K80" s="48"/>
      <c r="L80" s="48"/>
      <c r="M80" s="78"/>
      <c r="N80" s="78"/>
      <c r="O80" s="78"/>
      <c r="P80" s="78"/>
      <c r="Q80" s="78"/>
      <c r="R80" s="82"/>
      <c r="S80" s="80"/>
    </row>
    <row r="81">
      <c r="A81" s="28"/>
      <c r="B81" s="83"/>
      <c r="C81" s="43"/>
      <c r="D81" s="43"/>
      <c r="E81" s="81"/>
      <c r="F81" s="48"/>
      <c r="G81" s="48"/>
      <c r="H81" s="48"/>
      <c r="I81" s="43"/>
      <c r="J81" s="78"/>
      <c r="K81" s="48"/>
      <c r="L81" s="48"/>
      <c r="M81" s="78"/>
      <c r="N81" s="78"/>
      <c r="O81" s="78"/>
      <c r="P81" s="78"/>
      <c r="Q81" s="78"/>
      <c r="R81" s="82"/>
      <c r="S81" s="80"/>
    </row>
    <row r="82">
      <c r="A82" s="28"/>
      <c r="B82" s="83"/>
      <c r="C82" s="43"/>
      <c r="D82" s="43"/>
      <c r="E82" s="81"/>
      <c r="F82" s="48"/>
      <c r="G82" s="48"/>
      <c r="H82" s="48"/>
      <c r="I82" s="43"/>
      <c r="J82" s="78"/>
      <c r="K82" s="48"/>
      <c r="L82" s="48"/>
      <c r="M82" s="78"/>
      <c r="N82" s="78"/>
      <c r="O82" s="78"/>
      <c r="P82" s="78"/>
      <c r="Q82" s="78"/>
      <c r="R82" s="82"/>
      <c r="S82" s="80"/>
    </row>
    <row r="83">
      <c r="A83" s="28"/>
      <c r="B83" s="83"/>
      <c r="C83" s="43"/>
      <c r="D83" s="43"/>
      <c r="E83" s="81"/>
      <c r="F83" s="48"/>
      <c r="G83" s="48"/>
      <c r="H83" s="48"/>
      <c r="I83" s="43"/>
      <c r="J83" s="78"/>
      <c r="K83" s="48"/>
      <c r="L83" s="48"/>
      <c r="M83" s="78"/>
      <c r="N83" s="78"/>
      <c r="O83" s="78"/>
      <c r="P83" s="78"/>
      <c r="Q83" s="78"/>
      <c r="R83" s="82"/>
      <c r="S83" s="80"/>
    </row>
    <row r="84">
      <c r="A84" s="28"/>
      <c r="B84" s="83"/>
      <c r="C84" s="43"/>
      <c r="D84" s="43"/>
      <c r="E84" s="81"/>
      <c r="F84" s="48"/>
      <c r="G84" s="48"/>
      <c r="H84" s="48"/>
      <c r="I84" s="43"/>
      <c r="J84" s="78"/>
      <c r="K84" s="48"/>
      <c r="L84" s="48"/>
      <c r="M84" s="78"/>
      <c r="N84" s="78"/>
      <c r="O84" s="78"/>
      <c r="P84" s="78"/>
      <c r="Q84" s="78"/>
      <c r="R84" s="82"/>
      <c r="S84" s="80"/>
    </row>
    <row r="85">
      <c r="A85" s="28"/>
      <c r="B85" s="83"/>
      <c r="C85" s="43"/>
      <c r="D85" s="43"/>
      <c r="E85" s="81"/>
      <c r="F85" s="48"/>
      <c r="G85" s="48"/>
      <c r="H85" s="48"/>
      <c r="I85" s="43"/>
      <c r="J85" s="78"/>
      <c r="K85" s="48"/>
      <c r="L85" s="48"/>
      <c r="M85" s="78"/>
      <c r="N85" s="78"/>
      <c r="O85" s="78"/>
      <c r="P85" s="78"/>
      <c r="Q85" s="78"/>
      <c r="R85" s="82"/>
      <c r="S85" s="80"/>
    </row>
    <row r="86">
      <c r="A86" s="28"/>
      <c r="B86" s="83"/>
      <c r="C86" s="43"/>
      <c r="D86" s="43"/>
      <c r="E86" s="81"/>
      <c r="F86" s="48"/>
      <c r="G86" s="48"/>
      <c r="H86" s="48"/>
      <c r="I86" s="43"/>
      <c r="J86" s="78"/>
      <c r="K86" s="48"/>
      <c r="L86" s="48"/>
      <c r="M86" s="78"/>
      <c r="N86" s="78"/>
      <c r="O86" s="78"/>
      <c r="P86" s="78"/>
      <c r="Q86" s="78"/>
      <c r="R86" s="82"/>
      <c r="S86" s="80"/>
    </row>
    <row r="87">
      <c r="A87" s="28"/>
      <c r="B87" s="83"/>
      <c r="C87" s="43"/>
      <c r="D87" s="43"/>
      <c r="E87" s="81"/>
      <c r="F87" s="48"/>
      <c r="G87" s="48"/>
      <c r="H87" s="48"/>
      <c r="I87" s="43"/>
      <c r="J87" s="78"/>
      <c r="K87" s="48"/>
      <c r="L87" s="48"/>
      <c r="M87" s="78"/>
      <c r="N87" s="78"/>
      <c r="O87" s="78"/>
      <c r="P87" s="78"/>
      <c r="Q87" s="78"/>
      <c r="R87" s="82"/>
      <c r="S87" s="80"/>
    </row>
    <row r="88">
      <c r="A88" s="28"/>
      <c r="B88" s="83"/>
      <c r="C88" s="43"/>
      <c r="D88" s="43"/>
      <c r="E88" s="81"/>
      <c r="F88" s="48"/>
      <c r="G88" s="48"/>
      <c r="H88" s="48"/>
      <c r="I88" s="43"/>
      <c r="J88" s="78"/>
      <c r="K88" s="48"/>
      <c r="L88" s="48"/>
      <c r="M88" s="78"/>
      <c r="N88" s="78"/>
      <c r="O88" s="78"/>
      <c r="P88" s="78"/>
      <c r="Q88" s="78"/>
      <c r="R88" s="82"/>
      <c r="S88" s="80"/>
    </row>
    <row r="89">
      <c r="A89" s="28"/>
      <c r="B89" s="83"/>
      <c r="C89" s="43"/>
      <c r="D89" s="43"/>
      <c r="E89" s="81"/>
      <c r="F89" s="48"/>
      <c r="G89" s="48"/>
      <c r="H89" s="48"/>
      <c r="I89" s="43"/>
      <c r="J89" s="78"/>
      <c r="K89" s="48"/>
      <c r="L89" s="48"/>
      <c r="M89" s="78"/>
      <c r="N89" s="78"/>
      <c r="O89" s="78"/>
      <c r="P89" s="78"/>
      <c r="Q89" s="78"/>
      <c r="R89" s="82"/>
      <c r="S89" s="80"/>
    </row>
    <row r="90">
      <c r="A90" s="28"/>
      <c r="B90" s="83"/>
      <c r="C90" s="43"/>
      <c r="D90" s="43"/>
      <c r="E90" s="81"/>
      <c r="F90" s="48"/>
      <c r="G90" s="48"/>
      <c r="H90" s="48"/>
      <c r="I90" s="43"/>
      <c r="J90" s="78"/>
      <c r="K90" s="48"/>
      <c r="L90" s="48"/>
      <c r="M90" s="78"/>
      <c r="N90" s="78"/>
      <c r="O90" s="78"/>
      <c r="P90" s="78"/>
      <c r="Q90" s="78"/>
      <c r="R90" s="82"/>
      <c r="S90" s="80"/>
    </row>
    <row r="91">
      <c r="A91" s="28"/>
      <c r="B91" s="83"/>
      <c r="C91" s="43"/>
      <c r="D91" s="43"/>
      <c r="E91" s="81"/>
      <c r="F91" s="48"/>
      <c r="G91" s="48"/>
      <c r="H91" s="48"/>
      <c r="I91" s="43"/>
      <c r="J91" s="78"/>
      <c r="K91" s="48"/>
      <c r="L91" s="48"/>
      <c r="M91" s="78"/>
      <c r="N91" s="78"/>
      <c r="O91" s="78"/>
      <c r="P91" s="78"/>
      <c r="Q91" s="78"/>
      <c r="R91" s="82"/>
      <c r="S91" s="80"/>
    </row>
    <row r="92">
      <c r="A92" s="28"/>
      <c r="B92" s="83"/>
      <c r="C92" s="43"/>
      <c r="D92" s="43"/>
      <c r="E92" s="81"/>
      <c r="F92" s="48"/>
      <c r="G92" s="48"/>
      <c r="H92" s="48"/>
      <c r="I92" s="43"/>
      <c r="J92" s="78"/>
      <c r="K92" s="48"/>
      <c r="L92" s="48"/>
      <c r="M92" s="78"/>
      <c r="N92" s="78"/>
      <c r="O92" s="78"/>
      <c r="P92" s="78"/>
      <c r="Q92" s="78"/>
      <c r="R92" s="82"/>
      <c r="S92" s="80"/>
    </row>
    <row r="93">
      <c r="A93" s="28"/>
      <c r="B93" s="74"/>
      <c r="C93" s="34"/>
      <c r="D93" s="43"/>
      <c r="E93" s="81"/>
      <c r="F93" s="48"/>
      <c r="G93" s="48"/>
      <c r="H93" s="48"/>
      <c r="I93" s="43"/>
      <c r="J93" s="78"/>
      <c r="K93" s="77"/>
      <c r="L93" s="48"/>
      <c r="M93" s="78"/>
      <c r="N93" s="78"/>
      <c r="O93" s="78"/>
      <c r="P93" s="78"/>
      <c r="Q93" s="78"/>
      <c r="R93" s="82"/>
      <c r="S93" s="80"/>
    </row>
    <row r="94">
      <c r="A94" s="28"/>
      <c r="B94" s="74"/>
      <c r="C94" s="34"/>
      <c r="D94" s="43"/>
      <c r="E94" s="81"/>
      <c r="F94" s="48"/>
      <c r="G94" s="48"/>
      <c r="H94" s="48"/>
      <c r="I94" s="43"/>
      <c r="J94" s="78"/>
      <c r="K94" s="77"/>
      <c r="L94" s="48"/>
      <c r="M94" s="78"/>
      <c r="N94" s="78"/>
      <c r="O94" s="78"/>
      <c r="P94" s="78"/>
      <c r="Q94" s="78"/>
      <c r="R94" s="82"/>
      <c r="S94" s="80"/>
    </row>
    <row r="95">
      <c r="A95" s="28"/>
      <c r="B95" s="74"/>
      <c r="C95" s="34"/>
      <c r="D95" s="43"/>
      <c r="E95" s="81"/>
      <c r="F95" s="48"/>
      <c r="G95" s="48"/>
      <c r="H95" s="48"/>
      <c r="I95" s="43"/>
      <c r="J95" s="78"/>
      <c r="K95" s="77"/>
      <c r="L95" s="48"/>
      <c r="M95" s="78"/>
      <c r="N95" s="78"/>
      <c r="O95" s="78"/>
      <c r="P95" s="78"/>
      <c r="Q95" s="78"/>
      <c r="R95" s="82"/>
      <c r="S95" s="80"/>
    </row>
    <row r="96">
      <c r="A96" s="28"/>
      <c r="B96" s="84"/>
      <c r="C96" s="85"/>
      <c r="D96" s="51"/>
      <c r="E96" s="86"/>
      <c r="F96" s="50"/>
      <c r="G96" s="50"/>
      <c r="H96" s="50"/>
      <c r="I96" s="51"/>
      <c r="J96" s="87"/>
      <c r="K96" s="88"/>
      <c r="L96" s="50"/>
      <c r="M96" s="87"/>
      <c r="N96" s="87"/>
      <c r="O96" s="87"/>
      <c r="P96" s="87"/>
      <c r="Q96" s="87"/>
      <c r="R96" s="89"/>
      <c r="S96" s="80"/>
    </row>
    <row r="97">
      <c r="A97" s="28"/>
      <c r="B97" s="90"/>
      <c r="C97" s="21"/>
      <c r="D97" s="28"/>
      <c r="E97" s="91"/>
      <c r="F97" s="80"/>
      <c r="G97" s="80"/>
      <c r="H97" s="80"/>
      <c r="I97" s="28"/>
      <c r="J97" s="92"/>
      <c r="K97" s="93"/>
      <c r="L97" s="80"/>
      <c r="M97" s="92"/>
      <c r="N97" s="92"/>
      <c r="O97" s="92"/>
      <c r="P97" s="92"/>
      <c r="Q97" s="92"/>
      <c r="R97" s="94"/>
      <c r="S97" s="80"/>
    </row>
    <row r="98">
      <c r="A98" s="28"/>
      <c r="B98" s="90"/>
      <c r="C98" s="21"/>
      <c r="D98" s="28"/>
      <c r="E98" s="91"/>
      <c r="F98" s="80"/>
      <c r="G98" s="80"/>
      <c r="H98" s="80"/>
      <c r="I98" s="28"/>
      <c r="J98" s="92"/>
      <c r="K98" s="93"/>
      <c r="L98" s="80"/>
      <c r="M98" s="92"/>
      <c r="N98" s="92"/>
      <c r="O98" s="92"/>
      <c r="P98" s="92"/>
      <c r="Q98" s="92"/>
      <c r="R98" s="94"/>
      <c r="S98" s="80"/>
    </row>
    <row r="99">
      <c r="A99" s="28"/>
      <c r="B99" s="90"/>
      <c r="C99" s="21"/>
      <c r="D99" s="28"/>
      <c r="E99" s="91"/>
      <c r="F99" s="80"/>
      <c r="G99" s="80"/>
      <c r="H99" s="80"/>
      <c r="I99" s="28"/>
      <c r="J99" s="92"/>
      <c r="K99" s="93"/>
      <c r="L99" s="80"/>
      <c r="M99" s="92"/>
      <c r="N99" s="92"/>
      <c r="O99" s="92"/>
      <c r="P99" s="92"/>
      <c r="Q99" s="92"/>
      <c r="R99" s="94"/>
      <c r="S99" s="80"/>
    </row>
    <row r="100">
      <c r="A100" s="28"/>
      <c r="B100" s="90"/>
      <c r="C100" s="21"/>
      <c r="D100" s="28"/>
      <c r="E100" s="91"/>
      <c r="F100" s="80"/>
      <c r="G100" s="80"/>
      <c r="H100" s="80"/>
      <c r="I100" s="28"/>
      <c r="J100" s="92"/>
      <c r="K100" s="93"/>
      <c r="L100" s="80"/>
      <c r="M100" s="92"/>
      <c r="N100" s="92"/>
      <c r="O100" s="92"/>
      <c r="P100" s="92"/>
      <c r="Q100" s="92"/>
      <c r="R100" s="94"/>
      <c r="S100" s="80"/>
    </row>
    <row r="101">
      <c r="A101" s="28"/>
      <c r="B101" s="90"/>
      <c r="C101" s="21"/>
      <c r="D101" s="28"/>
      <c r="E101" s="91"/>
      <c r="F101" s="80"/>
      <c r="G101" s="80"/>
      <c r="H101" s="80"/>
      <c r="I101" s="28"/>
      <c r="J101" s="92"/>
      <c r="K101" s="93"/>
      <c r="L101" s="80"/>
      <c r="M101" s="92"/>
      <c r="N101" s="92"/>
      <c r="O101" s="92"/>
      <c r="P101" s="92"/>
      <c r="Q101" s="92"/>
      <c r="R101" s="94"/>
      <c r="S101" s="80"/>
    </row>
    <row r="102">
      <c r="A102" s="28"/>
      <c r="B102" s="90"/>
      <c r="C102" s="21"/>
      <c r="D102" s="28"/>
      <c r="E102" s="91"/>
      <c r="F102" s="80"/>
      <c r="G102" s="80"/>
      <c r="H102" s="80"/>
      <c r="I102" s="28"/>
      <c r="J102" s="92"/>
      <c r="K102" s="93"/>
      <c r="L102" s="80"/>
      <c r="M102" s="92"/>
      <c r="N102" s="92"/>
      <c r="O102" s="92"/>
      <c r="P102" s="92"/>
      <c r="Q102" s="92"/>
      <c r="R102" s="94"/>
      <c r="S102" s="80"/>
    </row>
    <row r="103">
      <c r="A103" s="28"/>
      <c r="B103" s="90"/>
      <c r="C103" s="21"/>
      <c r="D103" s="28"/>
      <c r="E103" s="91"/>
      <c r="F103" s="80"/>
      <c r="G103" s="80"/>
      <c r="H103" s="80"/>
      <c r="I103" s="28"/>
      <c r="J103" s="92"/>
      <c r="K103" s="93"/>
      <c r="L103" s="80"/>
      <c r="M103" s="92"/>
      <c r="N103" s="92"/>
      <c r="O103" s="92"/>
      <c r="P103" s="92"/>
      <c r="Q103" s="92"/>
      <c r="R103" s="94"/>
      <c r="S103" s="80"/>
    </row>
    <row r="104">
      <c r="A104" s="28"/>
      <c r="B104" s="90"/>
      <c r="C104" s="21"/>
      <c r="D104" s="28"/>
      <c r="E104" s="91"/>
      <c r="F104" s="80"/>
      <c r="G104" s="80"/>
      <c r="H104" s="80"/>
      <c r="I104" s="28"/>
      <c r="J104" s="92"/>
      <c r="K104" s="93"/>
      <c r="L104" s="80"/>
      <c r="M104" s="92"/>
      <c r="N104" s="92"/>
      <c r="O104" s="92"/>
      <c r="P104" s="92"/>
      <c r="Q104" s="92"/>
      <c r="R104" s="94"/>
      <c r="S104" s="80"/>
    </row>
    <row r="105">
      <c r="A105" s="28"/>
      <c r="B105" s="90"/>
      <c r="C105" s="21"/>
      <c r="D105" s="28"/>
      <c r="E105" s="91"/>
      <c r="F105" s="80"/>
      <c r="G105" s="80"/>
      <c r="H105" s="80"/>
      <c r="I105" s="28"/>
      <c r="J105" s="92"/>
      <c r="K105" s="93"/>
      <c r="L105" s="80"/>
      <c r="M105" s="92"/>
      <c r="N105" s="92"/>
      <c r="O105" s="92"/>
      <c r="P105" s="92"/>
      <c r="Q105" s="92"/>
      <c r="R105" s="94"/>
      <c r="S105" s="80"/>
    </row>
    <row r="106">
      <c r="A106" s="28"/>
      <c r="B106" s="90"/>
      <c r="C106" s="21"/>
      <c r="D106" s="28"/>
      <c r="E106" s="91"/>
      <c r="F106" s="80"/>
      <c r="G106" s="80"/>
      <c r="H106" s="80"/>
      <c r="I106" s="28"/>
      <c r="J106" s="92"/>
      <c r="K106" s="93"/>
      <c r="L106" s="80"/>
      <c r="M106" s="92"/>
      <c r="N106" s="92"/>
      <c r="O106" s="92"/>
      <c r="P106" s="92"/>
      <c r="Q106" s="92"/>
      <c r="R106" s="94"/>
      <c r="S106" s="80"/>
    </row>
    <row r="107">
      <c r="A107" s="28"/>
      <c r="B107" s="90"/>
      <c r="C107" s="21"/>
      <c r="D107" s="28"/>
      <c r="E107" s="91"/>
      <c r="F107" s="80"/>
      <c r="G107" s="80"/>
      <c r="H107" s="80"/>
      <c r="I107" s="28"/>
      <c r="J107" s="92"/>
      <c r="K107" s="93"/>
      <c r="L107" s="80"/>
      <c r="M107" s="92"/>
      <c r="N107" s="92"/>
      <c r="O107" s="92"/>
      <c r="P107" s="92"/>
      <c r="Q107" s="92"/>
      <c r="R107" s="94"/>
      <c r="S107" s="80"/>
    </row>
    <row r="108">
      <c r="A108" s="28"/>
      <c r="B108" s="90"/>
      <c r="C108" s="21"/>
      <c r="D108" s="28"/>
      <c r="E108" s="91"/>
      <c r="F108" s="80"/>
      <c r="G108" s="80"/>
      <c r="H108" s="80"/>
      <c r="I108" s="28"/>
      <c r="J108" s="92"/>
      <c r="K108" s="93"/>
      <c r="L108" s="80"/>
      <c r="M108" s="92"/>
      <c r="N108" s="92"/>
      <c r="O108" s="92"/>
      <c r="P108" s="92"/>
      <c r="Q108" s="92"/>
      <c r="R108" s="94"/>
      <c r="S108" s="80"/>
    </row>
    <row r="109">
      <c r="A109" s="28"/>
      <c r="B109" s="90"/>
      <c r="C109" s="21"/>
      <c r="D109" s="28"/>
      <c r="E109" s="91"/>
      <c r="F109" s="80"/>
      <c r="G109" s="80"/>
      <c r="H109" s="80"/>
      <c r="I109" s="28"/>
      <c r="J109" s="92"/>
      <c r="K109" s="93"/>
      <c r="L109" s="80"/>
      <c r="M109" s="92"/>
      <c r="N109" s="92"/>
      <c r="O109" s="92"/>
      <c r="P109" s="92"/>
      <c r="Q109" s="92"/>
      <c r="R109" s="94"/>
      <c r="S109" s="80"/>
    </row>
    <row r="110">
      <c r="A110" s="28"/>
      <c r="B110" s="90"/>
      <c r="C110" s="21"/>
      <c r="D110" s="28"/>
      <c r="E110" s="91"/>
      <c r="F110" s="80"/>
      <c r="G110" s="80"/>
      <c r="H110" s="80"/>
      <c r="I110" s="28"/>
      <c r="J110" s="92"/>
      <c r="K110" s="93"/>
      <c r="L110" s="80"/>
      <c r="M110" s="92"/>
      <c r="N110" s="92"/>
      <c r="O110" s="92"/>
      <c r="P110" s="92"/>
      <c r="Q110" s="92"/>
      <c r="R110" s="94"/>
      <c r="S110" s="80"/>
    </row>
    <row r="111">
      <c r="A111" s="28"/>
      <c r="B111" s="59"/>
      <c r="C111" s="28"/>
      <c r="D111" s="28"/>
      <c r="E111" s="91"/>
      <c r="F111" s="80"/>
      <c r="G111" s="80"/>
      <c r="H111" s="80"/>
      <c r="I111" s="28"/>
      <c r="J111" s="92"/>
      <c r="K111" s="80"/>
      <c r="L111" s="80"/>
      <c r="M111" s="92"/>
      <c r="N111" s="92"/>
      <c r="O111" s="92"/>
      <c r="P111" s="92"/>
      <c r="Q111" s="92"/>
      <c r="R111" s="94"/>
      <c r="S111" s="80"/>
    </row>
    <row r="112">
      <c r="A112" s="28"/>
      <c r="B112" s="59"/>
      <c r="C112" s="28"/>
      <c r="D112" s="28"/>
      <c r="E112" s="91"/>
      <c r="F112" s="80"/>
      <c r="G112" s="80"/>
      <c r="H112" s="80"/>
      <c r="I112" s="28"/>
      <c r="J112" s="92"/>
      <c r="K112" s="80"/>
      <c r="L112" s="80"/>
      <c r="M112" s="92"/>
      <c r="N112" s="92"/>
      <c r="O112" s="92"/>
      <c r="P112" s="92"/>
      <c r="Q112" s="92"/>
      <c r="R112" s="94"/>
      <c r="S112" s="80"/>
    </row>
    <row r="113">
      <c r="A113" s="28"/>
      <c r="B113" s="59"/>
      <c r="C113" s="28"/>
      <c r="D113" s="28"/>
      <c r="E113" s="91"/>
      <c r="F113" s="80"/>
      <c r="G113" s="80"/>
      <c r="H113" s="80"/>
      <c r="I113" s="28"/>
      <c r="J113" s="92"/>
      <c r="K113" s="80"/>
      <c r="L113" s="80"/>
      <c r="M113" s="92"/>
      <c r="N113" s="92"/>
      <c r="O113" s="92"/>
      <c r="P113" s="92"/>
      <c r="Q113" s="92"/>
      <c r="R113" s="94"/>
      <c r="S113" s="80"/>
    </row>
    <row r="114">
      <c r="A114" s="28"/>
      <c r="B114" s="59"/>
      <c r="C114" s="28"/>
      <c r="D114" s="28"/>
      <c r="E114" s="91"/>
      <c r="F114" s="80"/>
      <c r="G114" s="80"/>
      <c r="H114" s="80"/>
      <c r="I114" s="28"/>
      <c r="J114" s="92"/>
      <c r="K114" s="80"/>
      <c r="L114" s="80"/>
      <c r="M114" s="92"/>
      <c r="N114" s="92"/>
      <c r="O114" s="92"/>
      <c r="P114" s="92"/>
      <c r="Q114" s="92"/>
      <c r="R114" s="94"/>
      <c r="S114" s="80"/>
    </row>
    <row r="115">
      <c r="A115" s="28"/>
      <c r="B115" s="59"/>
      <c r="C115" s="28"/>
      <c r="D115" s="28"/>
      <c r="E115" s="91"/>
      <c r="F115" s="80"/>
      <c r="G115" s="80"/>
      <c r="H115" s="80"/>
      <c r="I115" s="28"/>
      <c r="J115" s="92"/>
      <c r="K115" s="80"/>
      <c r="L115" s="80"/>
      <c r="M115" s="92"/>
      <c r="N115" s="92"/>
      <c r="O115" s="92"/>
      <c r="P115" s="92"/>
      <c r="Q115" s="92"/>
      <c r="R115" s="94"/>
      <c r="S115" s="80"/>
    </row>
    <row r="116">
      <c r="A116" s="28"/>
      <c r="B116" s="59"/>
      <c r="C116" s="28"/>
      <c r="D116" s="28"/>
      <c r="E116" s="91"/>
      <c r="F116" s="80"/>
      <c r="G116" s="80"/>
      <c r="H116" s="80"/>
      <c r="I116" s="28"/>
      <c r="J116" s="92"/>
      <c r="K116" s="80"/>
      <c r="L116" s="80"/>
      <c r="M116" s="92"/>
      <c r="N116" s="92"/>
      <c r="O116" s="92"/>
      <c r="P116" s="92"/>
      <c r="Q116" s="92"/>
      <c r="R116" s="94"/>
      <c r="S116" s="80"/>
    </row>
    <row r="117">
      <c r="A117" s="28"/>
      <c r="B117" s="59"/>
      <c r="C117" s="28"/>
      <c r="D117" s="28"/>
      <c r="E117" s="91"/>
      <c r="F117" s="80"/>
      <c r="G117" s="80"/>
      <c r="H117" s="80"/>
      <c r="I117" s="28"/>
      <c r="J117" s="92"/>
      <c r="K117" s="80"/>
      <c r="L117" s="80"/>
      <c r="M117" s="92"/>
      <c r="N117" s="92"/>
      <c r="O117" s="92"/>
      <c r="P117" s="92"/>
      <c r="Q117" s="92"/>
      <c r="R117" s="94"/>
      <c r="S117" s="80"/>
    </row>
    <row r="118">
      <c r="A118" s="28"/>
      <c r="B118" s="59"/>
      <c r="C118" s="28"/>
      <c r="D118" s="28"/>
      <c r="E118" s="91"/>
      <c r="F118" s="80"/>
      <c r="G118" s="80"/>
      <c r="H118" s="80"/>
      <c r="I118" s="28"/>
      <c r="J118" s="92"/>
      <c r="K118" s="80"/>
      <c r="L118" s="80"/>
      <c r="M118" s="92"/>
      <c r="N118" s="92"/>
      <c r="O118" s="92"/>
      <c r="P118" s="92"/>
      <c r="Q118" s="92"/>
      <c r="R118" s="94"/>
      <c r="S118" s="80"/>
    </row>
    <row r="119">
      <c r="A119" s="28"/>
      <c r="B119" s="59"/>
      <c r="C119" s="28"/>
      <c r="D119" s="28"/>
      <c r="E119" s="91"/>
      <c r="F119" s="80"/>
      <c r="G119" s="80"/>
      <c r="H119" s="80"/>
      <c r="I119" s="28"/>
      <c r="J119" s="92"/>
      <c r="K119" s="80"/>
      <c r="L119" s="80"/>
      <c r="M119" s="92"/>
      <c r="N119" s="92"/>
      <c r="O119" s="92"/>
      <c r="P119" s="92"/>
      <c r="Q119" s="92"/>
      <c r="R119" s="94"/>
      <c r="S119" s="80"/>
    </row>
    <row r="120">
      <c r="A120" s="28"/>
      <c r="B120" s="59"/>
      <c r="C120" s="28"/>
      <c r="D120" s="28"/>
      <c r="E120" s="91"/>
      <c r="F120" s="80"/>
      <c r="G120" s="80"/>
      <c r="H120" s="80"/>
      <c r="I120" s="28"/>
      <c r="J120" s="92"/>
      <c r="K120" s="80"/>
      <c r="L120" s="80"/>
      <c r="M120" s="92"/>
      <c r="N120" s="92"/>
      <c r="O120" s="92"/>
      <c r="P120" s="92"/>
      <c r="Q120" s="92"/>
      <c r="R120" s="94"/>
      <c r="S120" s="80"/>
    </row>
    <row r="121">
      <c r="A121" s="28"/>
      <c r="B121" s="59"/>
      <c r="C121" s="28"/>
      <c r="D121" s="28"/>
      <c r="E121" s="91"/>
      <c r="F121" s="80"/>
      <c r="G121" s="80"/>
      <c r="H121" s="80"/>
      <c r="I121" s="28"/>
      <c r="J121" s="92"/>
      <c r="K121" s="80"/>
      <c r="L121" s="80"/>
      <c r="M121" s="92"/>
      <c r="N121" s="92"/>
      <c r="O121" s="92"/>
      <c r="P121" s="92"/>
      <c r="Q121" s="92"/>
      <c r="R121" s="94"/>
      <c r="S121" s="80"/>
    </row>
    <row r="122">
      <c r="A122" s="28"/>
      <c r="B122" s="59"/>
      <c r="C122" s="28"/>
      <c r="D122" s="28"/>
      <c r="E122" s="91"/>
      <c r="F122" s="80"/>
      <c r="G122" s="80"/>
      <c r="H122" s="80"/>
      <c r="I122" s="28"/>
      <c r="J122" s="92"/>
      <c r="K122" s="80"/>
      <c r="L122" s="80"/>
      <c r="M122" s="92"/>
      <c r="N122" s="92"/>
      <c r="O122" s="92"/>
      <c r="P122" s="92"/>
      <c r="Q122" s="92"/>
      <c r="R122" s="94"/>
      <c r="S122" s="80"/>
    </row>
    <row r="123">
      <c r="A123" s="28"/>
      <c r="B123" s="59"/>
      <c r="C123" s="28"/>
      <c r="D123" s="28"/>
      <c r="E123" s="91"/>
      <c r="F123" s="80"/>
      <c r="G123" s="80"/>
      <c r="H123" s="80"/>
      <c r="I123" s="28"/>
      <c r="J123" s="92"/>
      <c r="K123" s="80"/>
      <c r="L123" s="80"/>
      <c r="M123" s="92"/>
      <c r="N123" s="92"/>
      <c r="O123" s="92"/>
      <c r="P123" s="92"/>
      <c r="Q123" s="92"/>
      <c r="R123" s="94"/>
      <c r="S123" s="80"/>
    </row>
    <row r="124">
      <c r="A124" s="28"/>
      <c r="B124" s="59"/>
      <c r="C124" s="28"/>
      <c r="D124" s="28"/>
      <c r="E124" s="91"/>
      <c r="F124" s="80"/>
      <c r="G124" s="80"/>
      <c r="H124" s="80"/>
      <c r="I124" s="28"/>
      <c r="J124" s="92"/>
      <c r="K124" s="80"/>
      <c r="L124" s="80"/>
      <c r="M124" s="92"/>
      <c r="N124" s="92"/>
      <c r="O124" s="92"/>
      <c r="P124" s="92"/>
      <c r="Q124" s="92"/>
      <c r="R124" s="94"/>
      <c r="S124" s="80"/>
    </row>
    <row r="125">
      <c r="A125" s="28"/>
      <c r="B125" s="59"/>
      <c r="C125" s="28"/>
      <c r="D125" s="28"/>
      <c r="E125" s="91"/>
      <c r="F125" s="80"/>
      <c r="G125" s="80"/>
      <c r="H125" s="80"/>
      <c r="I125" s="28"/>
      <c r="J125" s="92"/>
      <c r="K125" s="80"/>
      <c r="L125" s="80"/>
      <c r="M125" s="92"/>
      <c r="N125" s="92"/>
      <c r="O125" s="92"/>
      <c r="P125" s="92"/>
      <c r="Q125" s="92"/>
      <c r="R125" s="94"/>
      <c r="S125" s="80"/>
    </row>
    <row r="126">
      <c r="A126" s="28"/>
      <c r="B126" s="59"/>
      <c r="C126" s="28"/>
      <c r="D126" s="28"/>
      <c r="E126" s="91"/>
      <c r="F126" s="80"/>
      <c r="G126" s="80"/>
      <c r="H126" s="80"/>
      <c r="I126" s="28"/>
      <c r="J126" s="92"/>
      <c r="K126" s="80"/>
      <c r="L126" s="80"/>
      <c r="M126" s="92"/>
      <c r="N126" s="92"/>
      <c r="O126" s="92"/>
      <c r="P126" s="92"/>
      <c r="Q126" s="92"/>
      <c r="R126" s="94"/>
      <c r="S126" s="80"/>
    </row>
    <row r="127">
      <c r="A127" s="28"/>
      <c r="B127" s="59"/>
      <c r="C127" s="28"/>
      <c r="D127" s="28"/>
      <c r="E127" s="91"/>
      <c r="F127" s="80"/>
      <c r="G127" s="80"/>
      <c r="H127" s="80"/>
      <c r="I127" s="28"/>
      <c r="J127" s="92"/>
      <c r="K127" s="80"/>
      <c r="L127" s="80"/>
      <c r="M127" s="92"/>
      <c r="N127" s="92"/>
      <c r="O127" s="92"/>
      <c r="P127" s="92"/>
      <c r="Q127" s="92"/>
      <c r="R127" s="94"/>
      <c r="S127" s="80"/>
    </row>
    <row r="128">
      <c r="A128" s="28"/>
      <c r="B128" s="59"/>
      <c r="C128" s="28"/>
      <c r="D128" s="28"/>
      <c r="E128" s="91"/>
      <c r="F128" s="80"/>
      <c r="G128" s="80"/>
      <c r="H128" s="80"/>
      <c r="I128" s="28"/>
      <c r="J128" s="92"/>
      <c r="K128" s="80"/>
      <c r="L128" s="80"/>
      <c r="M128" s="92"/>
      <c r="N128" s="92"/>
      <c r="O128" s="92"/>
      <c r="P128" s="92"/>
      <c r="Q128" s="92"/>
      <c r="R128" s="94"/>
      <c r="S128" s="80"/>
    </row>
    <row r="129">
      <c r="A129" s="28"/>
      <c r="B129" s="59"/>
      <c r="C129" s="28"/>
      <c r="D129" s="28"/>
      <c r="E129" s="91"/>
      <c r="F129" s="80"/>
      <c r="G129" s="80"/>
      <c r="H129" s="80"/>
      <c r="I129" s="28"/>
      <c r="J129" s="92"/>
      <c r="K129" s="80"/>
      <c r="L129" s="80"/>
      <c r="M129" s="92"/>
      <c r="N129" s="92"/>
      <c r="O129" s="92"/>
      <c r="P129" s="92"/>
      <c r="Q129" s="92"/>
      <c r="R129" s="94"/>
      <c r="S129" s="80"/>
    </row>
    <row r="130">
      <c r="A130" s="28"/>
      <c r="B130" s="59"/>
      <c r="C130" s="28"/>
      <c r="D130" s="28"/>
      <c r="E130" s="91"/>
      <c r="F130" s="80"/>
      <c r="G130" s="80"/>
      <c r="H130" s="80"/>
      <c r="I130" s="28"/>
      <c r="J130" s="92"/>
      <c r="K130" s="80"/>
      <c r="L130" s="80"/>
      <c r="M130" s="92"/>
      <c r="N130" s="92"/>
      <c r="O130" s="92"/>
      <c r="P130" s="92"/>
      <c r="Q130" s="92"/>
      <c r="R130" s="94"/>
      <c r="S130" s="80"/>
    </row>
    <row r="131">
      <c r="A131" s="28"/>
      <c r="B131" s="59"/>
      <c r="C131" s="28"/>
      <c r="D131" s="28"/>
      <c r="E131" s="91"/>
      <c r="F131" s="80"/>
      <c r="G131" s="80"/>
      <c r="H131" s="80"/>
      <c r="I131" s="28"/>
      <c r="J131" s="92"/>
      <c r="K131" s="80"/>
      <c r="L131" s="80"/>
      <c r="M131" s="92"/>
      <c r="N131" s="92"/>
      <c r="O131" s="92"/>
      <c r="P131" s="92"/>
      <c r="Q131" s="92"/>
      <c r="R131" s="94"/>
      <c r="S131" s="80"/>
    </row>
    <row r="132">
      <c r="A132" s="28"/>
      <c r="B132" s="59"/>
      <c r="C132" s="28"/>
      <c r="D132" s="28"/>
      <c r="E132" s="91"/>
      <c r="F132" s="80"/>
      <c r="G132" s="80"/>
      <c r="H132" s="80"/>
      <c r="I132" s="28"/>
      <c r="J132" s="92"/>
      <c r="K132" s="80"/>
      <c r="L132" s="80"/>
      <c r="M132" s="92"/>
      <c r="N132" s="92"/>
      <c r="O132" s="92"/>
      <c r="P132" s="92"/>
      <c r="Q132" s="92"/>
      <c r="R132" s="94"/>
      <c r="S132" s="80"/>
    </row>
    <row r="133">
      <c r="A133" s="28"/>
      <c r="B133" s="59"/>
      <c r="C133" s="28"/>
      <c r="D133" s="28"/>
      <c r="E133" s="91"/>
      <c r="F133" s="80"/>
      <c r="G133" s="80"/>
      <c r="H133" s="80"/>
      <c r="I133" s="28"/>
      <c r="J133" s="92"/>
      <c r="K133" s="80"/>
      <c r="L133" s="80"/>
      <c r="M133" s="92"/>
      <c r="N133" s="92"/>
      <c r="O133" s="92"/>
      <c r="P133" s="92"/>
      <c r="Q133" s="92"/>
      <c r="R133" s="94"/>
      <c r="S133" s="80"/>
    </row>
    <row r="134">
      <c r="A134" s="28"/>
      <c r="B134" s="59"/>
      <c r="C134" s="28"/>
      <c r="D134" s="28"/>
      <c r="E134" s="91"/>
      <c r="F134" s="80"/>
      <c r="G134" s="80"/>
      <c r="H134" s="80"/>
      <c r="I134" s="28"/>
      <c r="J134" s="92"/>
      <c r="K134" s="80"/>
      <c r="L134" s="80"/>
      <c r="M134" s="92"/>
      <c r="N134" s="92"/>
      <c r="O134" s="92"/>
      <c r="P134" s="92"/>
      <c r="Q134" s="92"/>
      <c r="R134" s="94"/>
      <c r="S134" s="80"/>
    </row>
    <row r="135">
      <c r="A135" s="28"/>
      <c r="B135" s="59"/>
      <c r="C135" s="28"/>
      <c r="D135" s="28"/>
      <c r="E135" s="91"/>
      <c r="F135" s="80"/>
      <c r="G135" s="80"/>
      <c r="H135" s="80"/>
      <c r="I135" s="28"/>
      <c r="J135" s="92"/>
      <c r="K135" s="80"/>
      <c r="L135" s="80"/>
      <c r="M135" s="92"/>
      <c r="N135" s="92"/>
      <c r="O135" s="92"/>
      <c r="P135" s="92"/>
      <c r="Q135" s="92"/>
      <c r="R135" s="94"/>
      <c r="S135" s="80"/>
    </row>
    <row r="136">
      <c r="A136" s="28"/>
      <c r="B136" s="59"/>
      <c r="C136" s="28"/>
      <c r="D136" s="28"/>
      <c r="E136" s="91"/>
      <c r="F136" s="80"/>
      <c r="G136" s="80"/>
      <c r="H136" s="80"/>
      <c r="I136" s="28"/>
      <c r="J136" s="92"/>
      <c r="K136" s="80"/>
      <c r="L136" s="80"/>
      <c r="M136" s="92"/>
      <c r="N136" s="92"/>
      <c r="O136" s="92"/>
      <c r="P136" s="92"/>
      <c r="Q136" s="92"/>
      <c r="R136" s="94"/>
      <c r="S136" s="80"/>
    </row>
    <row r="137">
      <c r="A137" s="28"/>
      <c r="B137" s="59"/>
      <c r="C137" s="28"/>
      <c r="D137" s="28"/>
      <c r="E137" s="91"/>
      <c r="F137" s="80"/>
      <c r="G137" s="80"/>
      <c r="H137" s="80"/>
      <c r="I137" s="28"/>
      <c r="J137" s="92"/>
      <c r="K137" s="80"/>
      <c r="L137" s="80"/>
      <c r="M137" s="92"/>
      <c r="N137" s="92"/>
      <c r="O137" s="92"/>
      <c r="P137" s="92"/>
      <c r="Q137" s="92"/>
      <c r="R137" s="94"/>
      <c r="S137" s="80"/>
    </row>
    <row r="138">
      <c r="A138" s="28"/>
      <c r="B138" s="59"/>
      <c r="C138" s="28"/>
      <c r="D138" s="28"/>
      <c r="E138" s="91"/>
      <c r="F138" s="80"/>
      <c r="G138" s="80"/>
      <c r="H138" s="80"/>
      <c r="I138" s="28"/>
      <c r="J138" s="92"/>
      <c r="K138" s="80"/>
      <c r="L138" s="80"/>
      <c r="M138" s="92"/>
      <c r="N138" s="92"/>
      <c r="O138" s="92"/>
      <c r="P138" s="92"/>
      <c r="Q138" s="92"/>
      <c r="R138" s="94"/>
      <c r="S138" s="80"/>
    </row>
    <row r="139">
      <c r="A139" s="28"/>
      <c r="B139" s="59"/>
      <c r="C139" s="28"/>
      <c r="D139" s="28"/>
      <c r="E139" s="91"/>
      <c r="F139" s="80"/>
      <c r="G139" s="80"/>
      <c r="H139" s="80"/>
      <c r="I139" s="28"/>
      <c r="J139" s="92"/>
      <c r="K139" s="80"/>
      <c r="L139" s="80"/>
      <c r="M139" s="92"/>
      <c r="N139" s="92"/>
      <c r="O139" s="92"/>
      <c r="P139" s="92"/>
      <c r="Q139" s="92"/>
      <c r="R139" s="94"/>
      <c r="S139" s="80"/>
    </row>
    <row r="140">
      <c r="A140" s="28"/>
      <c r="B140" s="59"/>
      <c r="C140" s="28"/>
      <c r="D140" s="28"/>
      <c r="E140" s="91"/>
      <c r="F140" s="80"/>
      <c r="G140" s="80"/>
      <c r="H140" s="80"/>
      <c r="I140" s="28"/>
      <c r="J140" s="92"/>
      <c r="K140" s="80"/>
      <c r="L140" s="80"/>
      <c r="M140" s="92"/>
      <c r="N140" s="92"/>
      <c r="O140" s="92"/>
      <c r="P140" s="92"/>
      <c r="Q140" s="92"/>
      <c r="R140" s="94"/>
      <c r="S140" s="80"/>
    </row>
    <row r="141">
      <c r="A141" s="28"/>
      <c r="B141" s="59"/>
      <c r="C141" s="28"/>
      <c r="D141" s="28"/>
      <c r="E141" s="91"/>
      <c r="F141" s="80"/>
      <c r="G141" s="80"/>
      <c r="H141" s="80"/>
      <c r="I141" s="28"/>
      <c r="J141" s="92"/>
      <c r="K141" s="80"/>
      <c r="L141" s="80"/>
      <c r="M141" s="92"/>
      <c r="N141" s="92"/>
      <c r="O141" s="92"/>
      <c r="P141" s="92"/>
      <c r="Q141" s="92"/>
      <c r="R141" s="94"/>
      <c r="S141" s="80"/>
    </row>
    <row r="142">
      <c r="A142" s="28"/>
      <c r="B142" s="59"/>
      <c r="C142" s="28"/>
      <c r="D142" s="28"/>
      <c r="E142" s="91"/>
      <c r="F142" s="80"/>
      <c r="G142" s="80"/>
      <c r="H142" s="80"/>
      <c r="I142" s="28"/>
      <c r="J142" s="92"/>
      <c r="K142" s="80"/>
      <c r="L142" s="80"/>
      <c r="M142" s="92"/>
      <c r="N142" s="92"/>
      <c r="O142" s="92"/>
      <c r="P142" s="92"/>
      <c r="Q142" s="92"/>
      <c r="R142" s="94"/>
      <c r="S142" s="80"/>
    </row>
    <row r="143">
      <c r="A143" s="28"/>
      <c r="B143" s="59"/>
      <c r="C143" s="28"/>
      <c r="D143" s="28"/>
      <c r="E143" s="91"/>
      <c r="F143" s="80"/>
      <c r="G143" s="80"/>
      <c r="H143" s="80"/>
      <c r="I143" s="28"/>
      <c r="J143" s="92"/>
      <c r="K143" s="80"/>
      <c r="L143" s="80"/>
      <c r="M143" s="92"/>
      <c r="N143" s="92"/>
      <c r="O143" s="92"/>
      <c r="P143" s="92"/>
      <c r="Q143" s="92"/>
      <c r="R143" s="94"/>
      <c r="S143" s="80"/>
    </row>
    <row r="144">
      <c r="A144" s="28"/>
      <c r="B144" s="59"/>
      <c r="C144" s="28"/>
      <c r="D144" s="28"/>
      <c r="E144" s="91"/>
      <c r="F144" s="80"/>
      <c r="G144" s="80"/>
      <c r="H144" s="80"/>
      <c r="I144" s="28"/>
      <c r="J144" s="92"/>
      <c r="K144" s="80"/>
      <c r="L144" s="80"/>
      <c r="M144" s="92"/>
      <c r="N144" s="92"/>
      <c r="O144" s="92"/>
      <c r="P144" s="92"/>
      <c r="Q144" s="92"/>
      <c r="R144" s="94"/>
      <c r="S144" s="80"/>
    </row>
    <row r="145">
      <c r="A145" s="28"/>
      <c r="B145" s="59"/>
      <c r="C145" s="28"/>
      <c r="D145" s="28"/>
      <c r="E145" s="91"/>
      <c r="F145" s="80"/>
      <c r="G145" s="80"/>
      <c r="H145" s="80"/>
      <c r="I145" s="28"/>
      <c r="J145" s="92"/>
      <c r="K145" s="80"/>
      <c r="L145" s="80"/>
      <c r="M145" s="92"/>
      <c r="N145" s="92"/>
      <c r="O145" s="92"/>
      <c r="P145" s="92"/>
      <c r="Q145" s="92"/>
      <c r="R145" s="94"/>
      <c r="S145" s="80"/>
    </row>
    <row r="146">
      <c r="A146" s="28"/>
      <c r="B146" s="59"/>
      <c r="C146" s="28"/>
      <c r="D146" s="28"/>
      <c r="E146" s="91"/>
      <c r="F146" s="80"/>
      <c r="G146" s="80"/>
      <c r="H146" s="80"/>
      <c r="I146" s="28"/>
      <c r="J146" s="92"/>
      <c r="K146" s="80"/>
      <c r="L146" s="80"/>
      <c r="M146" s="92"/>
      <c r="N146" s="92"/>
      <c r="O146" s="92"/>
      <c r="P146" s="92"/>
      <c r="Q146" s="92"/>
      <c r="R146" s="94"/>
      <c r="S146" s="80"/>
    </row>
    <row r="147">
      <c r="A147" s="28"/>
      <c r="B147" s="59"/>
      <c r="C147" s="28"/>
      <c r="D147" s="28"/>
      <c r="E147" s="91"/>
      <c r="F147" s="80"/>
      <c r="G147" s="80"/>
      <c r="H147" s="80"/>
      <c r="I147" s="28"/>
      <c r="J147" s="92"/>
      <c r="K147" s="80"/>
      <c r="L147" s="80"/>
      <c r="M147" s="92"/>
      <c r="N147" s="92"/>
      <c r="O147" s="92"/>
      <c r="P147" s="92"/>
      <c r="Q147" s="92"/>
      <c r="R147" s="94"/>
      <c r="S147" s="80"/>
    </row>
    <row r="148">
      <c r="A148" s="28"/>
      <c r="B148" s="59"/>
      <c r="C148" s="28"/>
      <c r="D148" s="28"/>
      <c r="E148" s="91"/>
      <c r="F148" s="80"/>
      <c r="G148" s="80"/>
      <c r="H148" s="80"/>
      <c r="I148" s="28"/>
      <c r="J148" s="92"/>
      <c r="K148" s="80"/>
      <c r="L148" s="80"/>
      <c r="M148" s="92"/>
      <c r="N148" s="92"/>
      <c r="O148" s="92"/>
      <c r="P148" s="92"/>
      <c r="Q148" s="92"/>
      <c r="R148" s="94"/>
      <c r="S148" s="80"/>
    </row>
    <row r="149">
      <c r="A149" s="28"/>
      <c r="B149" s="59"/>
      <c r="C149" s="28"/>
      <c r="D149" s="28"/>
      <c r="E149" s="91"/>
      <c r="F149" s="80"/>
      <c r="G149" s="80"/>
      <c r="H149" s="80"/>
      <c r="I149" s="28"/>
      <c r="J149" s="92"/>
      <c r="K149" s="80"/>
      <c r="L149" s="80"/>
      <c r="M149" s="92"/>
      <c r="N149" s="92"/>
      <c r="O149" s="92"/>
      <c r="P149" s="92"/>
      <c r="Q149" s="92"/>
      <c r="R149" s="94"/>
      <c r="S149" s="80"/>
    </row>
    <row r="150">
      <c r="A150" s="28"/>
      <c r="B150" s="59"/>
      <c r="C150" s="28"/>
      <c r="D150" s="28"/>
      <c r="E150" s="91"/>
      <c r="F150" s="80"/>
      <c r="G150" s="80"/>
      <c r="H150" s="80"/>
      <c r="I150" s="28"/>
      <c r="J150" s="92"/>
      <c r="K150" s="80"/>
      <c r="L150" s="80"/>
      <c r="M150" s="92"/>
      <c r="N150" s="92"/>
      <c r="O150" s="92"/>
      <c r="P150" s="92"/>
      <c r="Q150" s="92"/>
      <c r="R150" s="94"/>
      <c r="S150" s="80"/>
    </row>
    <row r="151">
      <c r="A151" s="28"/>
      <c r="B151" s="59"/>
      <c r="C151" s="28"/>
      <c r="D151" s="28"/>
      <c r="E151" s="91"/>
      <c r="F151" s="80"/>
      <c r="G151" s="80"/>
      <c r="H151" s="80"/>
      <c r="I151" s="28"/>
      <c r="J151" s="92"/>
      <c r="K151" s="80"/>
      <c r="L151" s="80"/>
      <c r="M151" s="92"/>
      <c r="N151" s="92"/>
      <c r="O151" s="92"/>
      <c r="P151" s="92"/>
      <c r="Q151" s="92"/>
      <c r="R151" s="94"/>
      <c r="S151" s="80"/>
    </row>
    <row r="152">
      <c r="A152" s="28"/>
      <c r="B152" s="59"/>
      <c r="C152" s="28"/>
      <c r="D152" s="28"/>
      <c r="E152" s="91"/>
      <c r="F152" s="80"/>
      <c r="G152" s="80"/>
      <c r="H152" s="80"/>
      <c r="I152" s="28"/>
      <c r="J152" s="92"/>
      <c r="K152" s="80"/>
      <c r="L152" s="80"/>
      <c r="M152" s="92"/>
      <c r="N152" s="92"/>
      <c r="O152" s="92"/>
      <c r="P152" s="92"/>
      <c r="Q152" s="92"/>
      <c r="R152" s="94"/>
      <c r="S152" s="80"/>
    </row>
    <row r="153">
      <c r="A153" s="28"/>
      <c r="B153" s="59"/>
      <c r="C153" s="28"/>
      <c r="D153" s="28"/>
      <c r="E153" s="91"/>
      <c r="F153" s="80"/>
      <c r="G153" s="80"/>
      <c r="H153" s="80"/>
      <c r="I153" s="28"/>
      <c r="J153" s="92"/>
      <c r="K153" s="80"/>
      <c r="L153" s="80"/>
      <c r="M153" s="92"/>
      <c r="N153" s="92"/>
      <c r="O153" s="92"/>
      <c r="P153" s="92"/>
      <c r="Q153" s="92"/>
      <c r="R153" s="94"/>
      <c r="S153" s="80"/>
    </row>
    <row r="154">
      <c r="A154" s="28"/>
      <c r="B154" s="59"/>
      <c r="C154" s="28"/>
      <c r="D154" s="28"/>
      <c r="E154" s="91"/>
      <c r="F154" s="80"/>
      <c r="G154" s="80"/>
      <c r="H154" s="80"/>
      <c r="I154" s="28"/>
      <c r="J154" s="92"/>
      <c r="K154" s="80"/>
      <c r="L154" s="80"/>
      <c r="M154" s="92"/>
      <c r="N154" s="92"/>
      <c r="O154" s="92"/>
      <c r="P154" s="92"/>
      <c r="Q154" s="92"/>
      <c r="R154" s="94"/>
      <c r="S154" s="80"/>
    </row>
    <row r="155">
      <c r="A155" s="28"/>
      <c r="B155" s="59"/>
      <c r="C155" s="28"/>
      <c r="D155" s="28"/>
      <c r="E155" s="91"/>
      <c r="F155" s="80"/>
      <c r="G155" s="80"/>
      <c r="H155" s="80"/>
      <c r="I155" s="28"/>
      <c r="J155" s="92"/>
      <c r="K155" s="80"/>
      <c r="L155" s="80"/>
      <c r="M155" s="92"/>
      <c r="N155" s="92"/>
      <c r="O155" s="92"/>
      <c r="P155" s="92"/>
      <c r="Q155" s="92"/>
      <c r="R155" s="94"/>
      <c r="S155" s="80"/>
    </row>
    <row r="156">
      <c r="A156" s="28"/>
      <c r="B156" s="59"/>
      <c r="C156" s="28"/>
      <c r="D156" s="28"/>
      <c r="E156" s="91"/>
      <c r="F156" s="80"/>
      <c r="G156" s="80"/>
      <c r="H156" s="80"/>
      <c r="I156" s="28"/>
      <c r="J156" s="92"/>
      <c r="K156" s="80"/>
      <c r="L156" s="80"/>
      <c r="M156" s="92"/>
      <c r="N156" s="92"/>
      <c r="O156" s="92"/>
      <c r="P156" s="92"/>
      <c r="Q156" s="92"/>
      <c r="R156" s="94"/>
      <c r="S156" s="80"/>
    </row>
    <row r="157">
      <c r="A157" s="28"/>
      <c r="B157" s="59"/>
      <c r="C157" s="28"/>
      <c r="D157" s="28"/>
      <c r="E157" s="91"/>
      <c r="F157" s="80"/>
      <c r="G157" s="80"/>
      <c r="H157" s="80"/>
      <c r="I157" s="28"/>
      <c r="J157" s="92"/>
      <c r="K157" s="80"/>
      <c r="L157" s="80"/>
      <c r="M157" s="92"/>
      <c r="N157" s="92"/>
      <c r="O157" s="92"/>
      <c r="P157" s="92"/>
      <c r="Q157" s="92"/>
      <c r="R157" s="94"/>
      <c r="S157" s="80"/>
    </row>
    <row r="158">
      <c r="A158" s="28"/>
      <c r="B158" s="59"/>
      <c r="C158" s="28"/>
      <c r="D158" s="28"/>
      <c r="E158" s="91"/>
      <c r="F158" s="80"/>
      <c r="G158" s="80"/>
      <c r="H158" s="80"/>
      <c r="I158" s="28"/>
      <c r="J158" s="92"/>
      <c r="K158" s="80"/>
      <c r="L158" s="80"/>
      <c r="M158" s="92"/>
      <c r="N158" s="92"/>
      <c r="O158" s="92"/>
      <c r="P158" s="92"/>
      <c r="Q158" s="92"/>
      <c r="R158" s="94"/>
      <c r="S158" s="80"/>
    </row>
    <row r="159">
      <c r="A159" s="28"/>
      <c r="B159" s="59"/>
      <c r="C159" s="28"/>
      <c r="D159" s="28"/>
      <c r="E159" s="91"/>
      <c r="F159" s="80"/>
      <c r="G159" s="80"/>
      <c r="H159" s="80"/>
      <c r="I159" s="28"/>
      <c r="J159" s="92"/>
      <c r="K159" s="80"/>
      <c r="L159" s="80"/>
      <c r="M159" s="92"/>
      <c r="N159" s="92"/>
      <c r="O159" s="92"/>
      <c r="P159" s="92"/>
      <c r="Q159" s="92"/>
      <c r="R159" s="94"/>
      <c r="S159" s="80"/>
    </row>
    <row r="160">
      <c r="A160" s="28"/>
      <c r="B160" s="59"/>
      <c r="C160" s="28"/>
      <c r="D160" s="28"/>
      <c r="E160" s="91"/>
      <c r="F160" s="80"/>
      <c r="G160" s="80"/>
      <c r="H160" s="80"/>
      <c r="I160" s="28"/>
      <c r="J160" s="92"/>
      <c r="K160" s="80"/>
      <c r="L160" s="80"/>
      <c r="M160" s="92"/>
      <c r="N160" s="92"/>
      <c r="O160" s="92"/>
      <c r="P160" s="92"/>
      <c r="Q160" s="92"/>
      <c r="R160" s="94"/>
      <c r="S160" s="80"/>
    </row>
    <row r="161">
      <c r="A161" s="28"/>
      <c r="B161" s="59"/>
      <c r="C161" s="28"/>
      <c r="D161" s="28"/>
      <c r="E161" s="91"/>
      <c r="F161" s="80"/>
      <c r="G161" s="80"/>
      <c r="H161" s="80"/>
      <c r="I161" s="28"/>
      <c r="J161" s="92"/>
      <c r="K161" s="80"/>
      <c r="L161" s="80"/>
      <c r="M161" s="92"/>
      <c r="N161" s="92"/>
      <c r="O161" s="92"/>
      <c r="P161" s="92"/>
      <c r="Q161" s="92"/>
      <c r="R161" s="94"/>
      <c r="S161" s="80"/>
    </row>
    <row r="162">
      <c r="A162" s="28"/>
      <c r="B162" s="59"/>
      <c r="C162" s="28"/>
      <c r="D162" s="28"/>
      <c r="E162" s="91"/>
      <c r="F162" s="80"/>
      <c r="G162" s="80"/>
      <c r="H162" s="80"/>
      <c r="I162" s="28"/>
      <c r="J162" s="92"/>
      <c r="K162" s="80"/>
      <c r="L162" s="80"/>
      <c r="M162" s="92"/>
      <c r="N162" s="92"/>
      <c r="O162" s="92"/>
      <c r="P162" s="92"/>
      <c r="Q162" s="92"/>
      <c r="R162" s="94"/>
      <c r="S162" s="80"/>
    </row>
    <row r="163">
      <c r="A163" s="28"/>
      <c r="B163" s="59"/>
      <c r="C163" s="28"/>
      <c r="D163" s="28"/>
      <c r="E163" s="91"/>
      <c r="F163" s="80"/>
      <c r="G163" s="80"/>
      <c r="H163" s="80"/>
      <c r="I163" s="28"/>
      <c r="J163" s="92"/>
      <c r="K163" s="80"/>
      <c r="L163" s="80"/>
      <c r="M163" s="92"/>
      <c r="N163" s="92"/>
      <c r="O163" s="92"/>
      <c r="P163" s="92"/>
      <c r="Q163" s="92"/>
      <c r="R163" s="94"/>
      <c r="S163" s="80"/>
    </row>
    <row r="164">
      <c r="A164" s="28"/>
      <c r="B164" s="59"/>
      <c r="C164" s="28"/>
      <c r="D164" s="28"/>
      <c r="E164" s="91"/>
      <c r="F164" s="80"/>
      <c r="G164" s="80"/>
      <c r="H164" s="80"/>
      <c r="I164" s="28"/>
      <c r="J164" s="92"/>
      <c r="K164" s="80"/>
      <c r="L164" s="80"/>
      <c r="M164" s="92"/>
      <c r="N164" s="92"/>
      <c r="O164" s="92"/>
      <c r="P164" s="92"/>
      <c r="Q164" s="92"/>
      <c r="R164" s="94"/>
      <c r="S164" s="80"/>
    </row>
    <row r="165">
      <c r="A165" s="28"/>
      <c r="B165" s="59"/>
      <c r="C165" s="28"/>
      <c r="D165" s="28"/>
      <c r="E165" s="91"/>
      <c r="F165" s="80"/>
      <c r="G165" s="80"/>
      <c r="H165" s="80"/>
      <c r="I165" s="28"/>
      <c r="J165" s="92"/>
      <c r="K165" s="80"/>
      <c r="L165" s="80"/>
      <c r="M165" s="92"/>
      <c r="N165" s="92"/>
      <c r="O165" s="92"/>
      <c r="P165" s="92"/>
      <c r="Q165" s="92"/>
      <c r="R165" s="94"/>
      <c r="S165" s="80"/>
    </row>
    <row r="166">
      <c r="A166" s="28"/>
      <c r="B166" s="59"/>
      <c r="C166" s="28"/>
      <c r="D166" s="28"/>
      <c r="E166" s="91"/>
      <c r="F166" s="80"/>
      <c r="G166" s="80"/>
      <c r="H166" s="80"/>
      <c r="I166" s="28"/>
      <c r="J166" s="92"/>
      <c r="K166" s="80"/>
      <c r="L166" s="80"/>
      <c r="M166" s="92"/>
      <c r="N166" s="92"/>
      <c r="O166" s="92"/>
      <c r="P166" s="92"/>
      <c r="Q166" s="92"/>
      <c r="R166" s="94"/>
      <c r="S166" s="80"/>
    </row>
    <row r="167">
      <c r="A167" s="28"/>
      <c r="B167" s="59"/>
      <c r="C167" s="28"/>
      <c r="D167" s="28"/>
      <c r="E167" s="91"/>
      <c r="F167" s="80"/>
      <c r="G167" s="80"/>
      <c r="H167" s="80"/>
      <c r="I167" s="28"/>
      <c r="J167" s="92"/>
      <c r="K167" s="80"/>
      <c r="L167" s="80"/>
      <c r="M167" s="92"/>
      <c r="N167" s="92"/>
      <c r="O167" s="92"/>
      <c r="P167" s="92"/>
      <c r="Q167" s="92"/>
      <c r="R167" s="94"/>
      <c r="S167" s="80"/>
    </row>
    <row r="168">
      <c r="A168" s="28"/>
      <c r="B168" s="59"/>
      <c r="C168" s="28"/>
      <c r="D168" s="28"/>
      <c r="E168" s="91"/>
      <c r="F168" s="80"/>
      <c r="G168" s="80"/>
      <c r="H168" s="80"/>
      <c r="I168" s="28"/>
      <c r="J168" s="92"/>
      <c r="K168" s="80"/>
      <c r="L168" s="80"/>
      <c r="M168" s="92"/>
      <c r="N168" s="92"/>
      <c r="O168" s="92"/>
      <c r="P168" s="92"/>
      <c r="Q168" s="92"/>
      <c r="R168" s="94"/>
      <c r="S168" s="80"/>
    </row>
    <row r="169">
      <c r="A169" s="28"/>
      <c r="B169" s="59"/>
      <c r="C169" s="28"/>
      <c r="D169" s="28"/>
      <c r="E169" s="91"/>
      <c r="F169" s="80"/>
      <c r="G169" s="80"/>
      <c r="H169" s="80"/>
      <c r="I169" s="28"/>
      <c r="J169" s="92"/>
      <c r="K169" s="80"/>
      <c r="L169" s="80"/>
      <c r="M169" s="92"/>
      <c r="N169" s="92"/>
      <c r="O169" s="92"/>
      <c r="P169" s="92"/>
      <c r="Q169" s="92"/>
      <c r="R169" s="94"/>
      <c r="S169" s="80"/>
    </row>
    <row r="170">
      <c r="A170" s="28"/>
      <c r="B170" s="59"/>
      <c r="C170" s="28"/>
      <c r="D170" s="28"/>
      <c r="E170" s="91"/>
      <c r="F170" s="80"/>
      <c r="G170" s="80"/>
      <c r="H170" s="80"/>
      <c r="I170" s="28"/>
      <c r="J170" s="92"/>
      <c r="K170" s="80"/>
      <c r="L170" s="80"/>
      <c r="M170" s="92"/>
      <c r="N170" s="92"/>
      <c r="O170" s="92"/>
      <c r="P170" s="92"/>
      <c r="Q170" s="92"/>
      <c r="R170" s="94"/>
      <c r="S170" s="80"/>
    </row>
    <row r="171">
      <c r="A171" s="28"/>
      <c r="B171" s="90"/>
      <c r="C171" s="21"/>
      <c r="D171" s="28"/>
      <c r="E171" s="91"/>
      <c r="F171" s="80"/>
      <c r="G171" s="80"/>
      <c r="H171" s="80"/>
      <c r="I171" s="28"/>
      <c r="J171" s="92"/>
      <c r="K171" s="93"/>
      <c r="L171" s="80"/>
      <c r="M171" s="92"/>
      <c r="N171" s="92"/>
      <c r="O171" s="92"/>
      <c r="P171" s="92"/>
      <c r="Q171" s="92"/>
      <c r="R171" s="94"/>
      <c r="S171" s="80"/>
    </row>
    <row r="172">
      <c r="A172" s="28"/>
      <c r="B172" s="90"/>
      <c r="C172" s="21"/>
      <c r="D172" s="28"/>
      <c r="E172" s="91"/>
      <c r="F172" s="80"/>
      <c r="G172" s="80"/>
      <c r="H172" s="80"/>
      <c r="I172" s="28"/>
      <c r="J172" s="92"/>
      <c r="K172" s="93"/>
      <c r="L172" s="80"/>
      <c r="M172" s="92"/>
      <c r="N172" s="92"/>
      <c r="O172" s="92"/>
      <c r="P172" s="92"/>
      <c r="Q172" s="92"/>
      <c r="R172" s="94"/>
      <c r="S172" s="80"/>
    </row>
    <row r="173">
      <c r="A173" s="28"/>
      <c r="B173" s="90"/>
      <c r="C173" s="21"/>
      <c r="D173" s="28"/>
      <c r="E173" s="91"/>
      <c r="F173" s="80"/>
      <c r="G173" s="80"/>
      <c r="H173" s="80"/>
      <c r="I173" s="28"/>
      <c r="J173" s="92"/>
      <c r="K173" s="93"/>
      <c r="L173" s="80"/>
      <c r="M173" s="92"/>
      <c r="N173" s="92"/>
      <c r="O173" s="92"/>
      <c r="P173" s="92"/>
      <c r="Q173" s="92"/>
      <c r="R173" s="94"/>
      <c r="S173" s="80"/>
    </row>
    <row r="174">
      <c r="A174" s="28"/>
      <c r="B174" s="90"/>
      <c r="C174" s="21"/>
      <c r="D174" s="28"/>
      <c r="E174" s="91"/>
      <c r="F174" s="80"/>
      <c r="G174" s="80"/>
      <c r="H174" s="80"/>
      <c r="I174" s="28"/>
      <c r="J174" s="92"/>
      <c r="K174" s="93"/>
      <c r="L174" s="80"/>
      <c r="M174" s="92"/>
      <c r="N174" s="92"/>
      <c r="O174" s="92"/>
      <c r="P174" s="92"/>
      <c r="Q174" s="92"/>
      <c r="R174" s="94"/>
      <c r="S174" s="80"/>
    </row>
    <row r="175">
      <c r="A175" s="28"/>
      <c r="B175" s="90"/>
      <c r="C175" s="21"/>
      <c r="D175" s="28"/>
      <c r="E175" s="91"/>
      <c r="F175" s="80"/>
      <c r="G175" s="80"/>
      <c r="H175" s="80"/>
      <c r="I175" s="28"/>
      <c r="J175" s="92"/>
      <c r="K175" s="93"/>
      <c r="L175" s="80"/>
      <c r="M175" s="92"/>
      <c r="N175" s="92"/>
      <c r="O175" s="92"/>
      <c r="P175" s="92"/>
      <c r="Q175" s="92"/>
      <c r="R175" s="94"/>
      <c r="S175" s="80"/>
    </row>
    <row r="176">
      <c r="A176" s="28"/>
      <c r="B176" s="90"/>
      <c r="C176" s="21"/>
      <c r="D176" s="28"/>
      <c r="E176" s="91"/>
      <c r="F176" s="80"/>
      <c r="G176" s="80"/>
      <c r="H176" s="80"/>
      <c r="I176" s="28"/>
      <c r="J176" s="92"/>
      <c r="K176" s="93"/>
      <c r="L176" s="80"/>
      <c r="M176" s="92"/>
      <c r="N176" s="92"/>
      <c r="O176" s="92"/>
      <c r="P176" s="92"/>
      <c r="Q176" s="92"/>
      <c r="R176" s="94"/>
      <c r="S176" s="80"/>
    </row>
    <row r="177">
      <c r="A177" s="28"/>
      <c r="B177" s="90"/>
      <c r="C177" s="21"/>
      <c r="D177" s="28"/>
      <c r="E177" s="91"/>
      <c r="F177" s="80"/>
      <c r="G177" s="80"/>
      <c r="H177" s="80"/>
      <c r="I177" s="28"/>
      <c r="J177" s="92"/>
      <c r="K177" s="93"/>
      <c r="L177" s="80"/>
      <c r="M177" s="92"/>
      <c r="N177" s="92"/>
      <c r="O177" s="92"/>
      <c r="P177" s="92"/>
      <c r="Q177" s="92"/>
      <c r="R177" s="94"/>
      <c r="S177" s="80"/>
    </row>
    <row r="178">
      <c r="A178" s="28"/>
      <c r="B178" s="90"/>
      <c r="C178" s="21"/>
      <c r="D178" s="28"/>
      <c r="E178" s="91"/>
      <c r="F178" s="80"/>
      <c r="G178" s="80"/>
      <c r="H178" s="80"/>
      <c r="I178" s="28"/>
      <c r="J178" s="92"/>
      <c r="K178" s="93"/>
      <c r="L178" s="80"/>
      <c r="M178" s="92"/>
      <c r="N178" s="92"/>
      <c r="O178" s="92"/>
      <c r="P178" s="92"/>
      <c r="Q178" s="92"/>
      <c r="R178" s="94"/>
      <c r="S178" s="80"/>
    </row>
    <row r="179">
      <c r="A179" s="28"/>
      <c r="B179" s="90"/>
      <c r="C179" s="21"/>
      <c r="D179" s="28"/>
      <c r="E179" s="91"/>
      <c r="F179" s="80"/>
      <c r="G179" s="80"/>
      <c r="H179" s="80"/>
      <c r="I179" s="28"/>
      <c r="J179" s="92"/>
      <c r="K179" s="93"/>
      <c r="L179" s="80"/>
      <c r="M179" s="92"/>
      <c r="N179" s="92"/>
      <c r="O179" s="92"/>
      <c r="P179" s="92"/>
      <c r="Q179" s="92"/>
      <c r="R179" s="94"/>
      <c r="S179" s="80"/>
    </row>
    <row r="180">
      <c r="A180" s="28"/>
      <c r="B180" s="90"/>
      <c r="C180" s="21"/>
      <c r="D180" s="28"/>
      <c r="E180" s="91"/>
      <c r="F180" s="80"/>
      <c r="G180" s="80"/>
      <c r="H180" s="80"/>
      <c r="I180" s="28"/>
      <c r="J180" s="92"/>
      <c r="K180" s="93"/>
      <c r="L180" s="80"/>
      <c r="M180" s="92"/>
      <c r="N180" s="92"/>
      <c r="O180" s="92"/>
      <c r="P180" s="92"/>
      <c r="Q180" s="92"/>
      <c r="R180" s="94"/>
      <c r="S180" s="80"/>
    </row>
    <row r="181">
      <c r="A181" s="28"/>
      <c r="B181" s="90"/>
      <c r="C181" s="21"/>
      <c r="D181" s="28"/>
      <c r="E181" s="91"/>
      <c r="F181" s="80"/>
      <c r="G181" s="80"/>
      <c r="H181" s="80"/>
      <c r="I181" s="28"/>
      <c r="J181" s="92"/>
      <c r="K181" s="93"/>
      <c r="L181" s="80"/>
      <c r="M181" s="92"/>
      <c r="N181" s="92"/>
      <c r="O181" s="92"/>
      <c r="P181" s="92"/>
      <c r="Q181" s="92"/>
      <c r="R181" s="94"/>
      <c r="S181" s="80"/>
    </row>
    <row r="182">
      <c r="A182" s="28"/>
      <c r="B182" s="90"/>
      <c r="C182" s="21"/>
      <c r="D182" s="28"/>
      <c r="E182" s="91"/>
      <c r="F182" s="80"/>
      <c r="G182" s="80"/>
      <c r="H182" s="80"/>
      <c r="I182" s="28"/>
      <c r="J182" s="92"/>
      <c r="K182" s="93"/>
      <c r="L182" s="80"/>
      <c r="M182" s="92"/>
      <c r="N182" s="92"/>
      <c r="O182" s="92"/>
      <c r="P182" s="92"/>
      <c r="Q182" s="92"/>
      <c r="R182" s="94"/>
      <c r="S182" s="80"/>
    </row>
  </sheetData>
  <conditionalFormatting sqref="I3:I182">
    <cfRule type="cellIs" dxfId="0" priority="1" operator="equal">
      <formula>"YES"</formula>
    </cfRule>
  </conditionalFormatting>
  <conditionalFormatting sqref="I3:I182">
    <cfRule type="cellIs" dxfId="1" priority="2" operator="equal">
      <formula>"NO"</formula>
    </cfRule>
  </conditionalFormatting>
  <dataValidations>
    <dataValidation type="list" allowBlank="1" sqref="C3:C182">
      <formula1>lists!$C$3:$C$992</formula1>
    </dataValidation>
    <dataValidation type="custom" allowBlank="1" showDropDown="1" showErrorMessage="1" sqref="B3:B182">
      <formula1>OR(NOT(ISERROR(DATEVALUE(B3))), AND(ISNUMBER(B3), LEFT(CELL("format", B3))="D"))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95" t="str">
        <f>IFERROR(__xludf.DUMMYFUNCTION("Query(SmallScale!A4:I1501,""SELECT *"" &amp; IF(COUNTBLANK(HelperFormulas!A6:A7)=2,"""","" WHERE "" &amp; TEXTJOIN("" AND "", TRUE, HelperFormulas!A6:A7)),1)"),"DATE")</f>
        <v>DATE</v>
      </c>
      <c r="C4" s="96" t="str">
        <f>IFERROR(__xludf.DUMMYFUNCTION("""COMPUTED_VALUE"""),"NAMES")</f>
        <v>NAMES</v>
      </c>
      <c r="D4" s="96" t="str">
        <f>IFERROR(__xludf.DUMMYFUNCTION("""COMPUTED_VALUE"""),"GROSS WT")</f>
        <v>GROSS WT</v>
      </c>
      <c r="E4" s="96" t="str">
        <f>IFERROR(__xludf.DUMMYFUNCTION("""COMPUTED_VALUE"""),"TAR WEIGHT")</f>
        <v>TAR WEIGHT</v>
      </c>
      <c r="F4" s="96" t="str">
        <f>IFERROR(__xludf.DUMMYFUNCTION("""COMPUTED_VALUE"""),"DISCOUNT")</f>
        <v>DISCOUNT</v>
      </c>
      <c r="G4" s="96" t="str">
        <f>IFERROR(__xludf.DUMMYFUNCTION("""COMPUTED_VALUE"""),"UNIT PRICE")</f>
        <v>UNIT PRICE</v>
      </c>
      <c r="H4" s="96" t="str">
        <f>IFERROR(__xludf.DUMMYFUNCTION("""COMPUTED_VALUE""")," BAGS")</f>
        <v> BAGS</v>
      </c>
      <c r="I4" s="96" t="str">
        <f>IFERROR(__xludf.DUMMYFUNCTION("""COMPUTED_VALUE"""),"KGS")</f>
        <v>KGS</v>
      </c>
      <c r="J4" s="96" t="str">
        <f>IFERROR(__xludf.DUMMYFUNCTION("""COMPUTED_VALUE"""),"AMOUNT")</f>
        <v>AMOUNT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6" t="str">
        <f>IFERROR(__xludf.DUMMYFUNCTION("Query(SmallScale!A4:I1000,""SELECT *"" &amp; IF(COUNTBLANK(HelperFormulas!D14)=2,"""","" WHERE "" &amp; TEXTJOIN("" AND "", TRUE, HelperFormulas!D14)),1)"),"DATE")</f>
        <v>DATE</v>
      </c>
      <c r="B2" s="96" t="str">
        <f>IFERROR(__xludf.DUMMYFUNCTION("""COMPUTED_VALUE"""),"NAMES")</f>
        <v>NAMES</v>
      </c>
      <c r="C2" s="96" t="str">
        <f>IFERROR(__xludf.DUMMYFUNCTION("""COMPUTED_VALUE"""),"GROSS WT")</f>
        <v>GROSS WT</v>
      </c>
      <c r="D2" s="96" t="str">
        <f>IFERROR(__xludf.DUMMYFUNCTION("""COMPUTED_VALUE"""),"TAR WEIGHT")</f>
        <v>TAR WEIGHT</v>
      </c>
      <c r="E2" s="96" t="str">
        <f>IFERROR(__xludf.DUMMYFUNCTION("""COMPUTED_VALUE"""),"DISCOUNT")</f>
        <v>DISCOUNT</v>
      </c>
      <c r="F2" s="96" t="str">
        <f>IFERROR(__xludf.DUMMYFUNCTION("""COMPUTED_VALUE"""),"UNIT PRICE")</f>
        <v>UNIT PRICE</v>
      </c>
      <c r="G2" s="96" t="str">
        <f>IFERROR(__xludf.DUMMYFUNCTION("""COMPUTED_VALUE""")," BAGS")</f>
        <v> BAGS</v>
      </c>
      <c r="H2" s="96" t="str">
        <f>IFERROR(__xludf.DUMMYFUNCTION("""COMPUTED_VALUE"""),"KGS")</f>
        <v>KGS</v>
      </c>
      <c r="I2" s="96" t="str">
        <f>IFERROR(__xludf.DUMMYFUNCTION("""COMPUTED_VALUE"""),"AMOUNT")</f>
        <v>AMOUNT</v>
      </c>
      <c r="N2" s="97" t="str">
        <f>IFERROR(__xludf.DUMMYFUNCTION("Query(SmallScale!A4:I1000,""SELECT *"" &amp; IF(COUNTBLANK(HelperFormulas!D18)=2,"""","" WHERE "" &amp; TEXTJOIN("" AND "", TRUE, HelperFormulas!D18)),1)"),"DATE")</f>
        <v>DATE</v>
      </c>
      <c r="O2" s="96" t="str">
        <f>IFERROR(__xludf.DUMMYFUNCTION("""COMPUTED_VALUE"""),"NAMES")</f>
        <v>NAMES</v>
      </c>
      <c r="P2" s="96" t="str">
        <f>IFERROR(__xludf.DUMMYFUNCTION("""COMPUTED_VALUE"""),"GROSS WT")</f>
        <v>GROSS WT</v>
      </c>
      <c r="Q2" s="96" t="str">
        <f>IFERROR(__xludf.DUMMYFUNCTION("""COMPUTED_VALUE"""),"TAR WEIGHT")</f>
        <v>TAR WEIGHT</v>
      </c>
      <c r="R2" s="96" t="str">
        <f>IFERROR(__xludf.DUMMYFUNCTION("""COMPUTED_VALUE"""),"DISCOUNT")</f>
        <v>DISCOUNT</v>
      </c>
      <c r="S2" s="96" t="str">
        <f>IFERROR(__xludf.DUMMYFUNCTION("""COMPUTED_VALUE"""),"UNIT PRICE")</f>
        <v>UNIT PRICE</v>
      </c>
      <c r="T2" s="96" t="str">
        <f>IFERROR(__xludf.DUMMYFUNCTION("""COMPUTED_VALUE""")," BAGS")</f>
        <v> BAGS</v>
      </c>
      <c r="U2" s="96" t="str">
        <f>IFERROR(__xludf.DUMMYFUNCTION("""COMPUTED_VALUE"""),"KGS")</f>
        <v>KGS</v>
      </c>
      <c r="V2" s="96" t="str">
        <f>IFERROR(__xludf.DUMMYFUNCTION("""COMPUTED_VALUE"""),"AMOUNT")</f>
        <v>AMOUNT</v>
      </c>
    </row>
    <row r="3">
      <c r="N3" s="98">
        <f>IFERROR(__xludf.DUMMYFUNCTION("""COMPUTED_VALUE"""),44029.0)</f>
        <v>44029</v>
      </c>
      <c r="O3" s="96" t="str">
        <f>IFERROR(__xludf.DUMMYFUNCTION("""COMPUTED_VALUE"""),"Godwill")</f>
        <v>Godwill</v>
      </c>
      <c r="P3" s="96">
        <f>IFERROR(__xludf.DUMMYFUNCTION("""COMPUTED_VALUE"""),5.0)</f>
        <v>5</v>
      </c>
      <c r="Q3" s="96">
        <f>IFERROR(__xludf.DUMMYFUNCTION("""COMPUTED_VALUE"""),0.0)</f>
        <v>0</v>
      </c>
      <c r="R3" s="96">
        <f>IFERROR(__xludf.DUMMYFUNCTION("""COMPUTED_VALUE"""),0.0)</f>
        <v>0</v>
      </c>
      <c r="S3" s="99">
        <f>IFERROR(__xludf.DUMMYFUNCTION("""COMPUTED_VALUE"""),700.0)</f>
        <v>700</v>
      </c>
      <c r="T3" s="96">
        <f>IFERROR(__xludf.DUMMYFUNCTION("""COMPUTED_VALUE"""),0.0)</f>
        <v>0</v>
      </c>
      <c r="U3" s="96">
        <f>IFERROR(__xludf.DUMMYFUNCTION("""COMPUTED_VALUE"""),5.0)</f>
        <v>5</v>
      </c>
      <c r="V3" s="100">
        <f>IFERROR(__xludf.DUMMYFUNCTION("""COMPUTED_VALUE"""),3500.0)</f>
        <v>3500</v>
      </c>
    </row>
    <row r="4">
      <c r="N4" s="98">
        <f>IFERROR(__xludf.DUMMYFUNCTION("""COMPUTED_VALUE"""),44030.0)</f>
        <v>44030</v>
      </c>
      <c r="O4" s="96" t="str">
        <f>IFERROR(__xludf.DUMMYFUNCTION("""COMPUTED_VALUE"""),"REImon Benson")</f>
        <v>REImon Benson</v>
      </c>
      <c r="P4" s="96">
        <f>IFERROR(__xludf.DUMMYFUNCTION("""COMPUTED_VALUE"""),50.0)</f>
        <v>50</v>
      </c>
      <c r="Q4" s="96">
        <f>IFERROR(__xludf.DUMMYFUNCTION("""COMPUTED_VALUE"""),0.0)</f>
        <v>0</v>
      </c>
      <c r="R4" s="96">
        <f>IFERROR(__xludf.DUMMYFUNCTION("""COMPUTED_VALUE"""),0.0)</f>
        <v>0</v>
      </c>
      <c r="S4" s="99">
        <f>IFERROR(__xludf.DUMMYFUNCTION("""COMPUTED_VALUE"""),780.0)</f>
        <v>780</v>
      </c>
      <c r="T4" s="96">
        <f>IFERROR(__xludf.DUMMYFUNCTION("""COMPUTED_VALUE"""),0.0)</f>
        <v>0</v>
      </c>
      <c r="U4" s="96">
        <f>IFERROR(__xludf.DUMMYFUNCTION("""COMPUTED_VALUE"""),50.0)</f>
        <v>50</v>
      </c>
      <c r="V4" s="100">
        <f>IFERROR(__xludf.DUMMYFUNCTION("""COMPUTED_VALUE"""),39000.0)</f>
        <v>39000</v>
      </c>
    </row>
    <row r="5">
      <c r="N5" s="98">
        <f>IFERROR(__xludf.DUMMYFUNCTION("""COMPUTED_VALUE"""),44030.0)</f>
        <v>44030</v>
      </c>
      <c r="O5" s="96" t="str">
        <f>IFERROR(__xludf.DUMMYFUNCTION("""COMPUTED_VALUE"""),"ABANG. Linnus")</f>
        <v>ABANG. Linnus</v>
      </c>
      <c r="P5" s="96">
        <f>IFERROR(__xludf.DUMMYFUNCTION("""COMPUTED_VALUE"""),9.0)</f>
        <v>9</v>
      </c>
      <c r="Q5" s="96">
        <f>IFERROR(__xludf.DUMMYFUNCTION("""COMPUTED_VALUE"""),0.0)</f>
        <v>0</v>
      </c>
      <c r="R5" s="96">
        <f>IFERROR(__xludf.DUMMYFUNCTION("""COMPUTED_VALUE"""),4.0)</f>
        <v>4</v>
      </c>
      <c r="S5" s="99">
        <f>IFERROR(__xludf.DUMMYFUNCTION("""COMPUTED_VALUE"""),700.0)</f>
        <v>700</v>
      </c>
      <c r="T5" s="96">
        <f>IFERROR(__xludf.DUMMYFUNCTION("""COMPUTED_VALUE"""),0.0)</f>
        <v>0</v>
      </c>
      <c r="U5" s="96">
        <f>IFERROR(__xludf.DUMMYFUNCTION("""COMPUTED_VALUE"""),5.0)</f>
        <v>5</v>
      </c>
      <c r="V5" s="100">
        <f>IFERROR(__xludf.DUMMYFUNCTION("""COMPUTED_VALUE"""),3500.0)</f>
        <v>3500</v>
      </c>
    </row>
    <row r="6">
      <c r="N6" s="98">
        <f>IFERROR(__xludf.DUMMYFUNCTION("""COMPUTED_VALUE"""),44030.0)</f>
        <v>44030</v>
      </c>
      <c r="O6" s="96" t="str">
        <f>IFERROR(__xludf.DUMMYFUNCTION("""COMPUTED_VALUE"""),"OBI")</f>
        <v>OBI</v>
      </c>
      <c r="P6" s="96">
        <f>IFERROR(__xludf.DUMMYFUNCTION("""COMPUTED_VALUE"""),4.0)</f>
        <v>4</v>
      </c>
      <c r="Q6" s="96">
        <f>IFERROR(__xludf.DUMMYFUNCTION("""COMPUTED_VALUE"""),0.0)</f>
        <v>0</v>
      </c>
      <c r="R6" s="96">
        <f>IFERROR(__xludf.DUMMYFUNCTION("""COMPUTED_VALUE"""),0.0)</f>
        <v>0</v>
      </c>
      <c r="S6" s="99">
        <f>IFERROR(__xludf.DUMMYFUNCTION("""COMPUTED_VALUE"""),700.0)</f>
        <v>700</v>
      </c>
      <c r="T6" s="96">
        <f>IFERROR(__xludf.DUMMYFUNCTION("""COMPUTED_VALUE"""),0.0)</f>
        <v>0</v>
      </c>
      <c r="U6" s="96">
        <f>IFERROR(__xludf.DUMMYFUNCTION("""COMPUTED_VALUE"""),4.0)</f>
        <v>4</v>
      </c>
      <c r="V6" s="100">
        <f>IFERROR(__xludf.DUMMYFUNCTION("""COMPUTED_VALUE"""),2800.0)</f>
        <v>2800</v>
      </c>
    </row>
    <row r="7">
      <c r="N7" s="98">
        <f>IFERROR(__xludf.DUMMYFUNCTION("""COMPUTED_VALUE"""),44032.0)</f>
        <v>44032</v>
      </c>
      <c r="O7" s="96" t="str">
        <f>IFERROR(__xludf.DUMMYFUNCTION("""COMPUTED_VALUE"""),"ABANG. ALFRED")</f>
        <v>ABANG. ALFRED</v>
      </c>
      <c r="P7" s="96">
        <f>IFERROR(__xludf.DUMMYFUNCTION("""COMPUTED_VALUE"""),113.0)</f>
        <v>113</v>
      </c>
      <c r="Q7" s="96">
        <f>IFERROR(__xludf.DUMMYFUNCTION("""COMPUTED_VALUE"""),2.0)</f>
        <v>2</v>
      </c>
      <c r="R7" s="96">
        <f>IFERROR(__xludf.DUMMYFUNCTION("""COMPUTED_VALUE"""),8.0)</f>
        <v>8</v>
      </c>
      <c r="S7" s="99">
        <f>IFERROR(__xludf.DUMMYFUNCTION("""COMPUTED_VALUE"""),792.31)</f>
        <v>792.31</v>
      </c>
      <c r="T7" s="96">
        <f>IFERROR(__xludf.DUMMYFUNCTION("""COMPUTED_VALUE"""),1.0)</f>
        <v>1</v>
      </c>
      <c r="U7" s="96">
        <f>IFERROR(__xludf.DUMMYFUNCTION("""COMPUTED_VALUE"""),40.0)</f>
        <v>40</v>
      </c>
      <c r="V7" s="100">
        <f>IFERROR(__xludf.DUMMYFUNCTION("""COMPUTED_VALUE"""),82400.0)</f>
        <v>82400</v>
      </c>
    </row>
    <row r="8">
      <c r="N8" s="98">
        <f>IFERROR(__xludf.DUMMYFUNCTION("""COMPUTED_VALUE"""),44032.0)</f>
        <v>44032</v>
      </c>
      <c r="O8" s="96" t="str">
        <f>IFERROR(__xludf.DUMMYFUNCTION("""COMPUTED_VALUE"""),"ABANG. Peter NDOMA")</f>
        <v>ABANG. Peter NDOMA</v>
      </c>
      <c r="P8" s="96">
        <f>IFERROR(__xludf.DUMMYFUNCTION("""COMPUTED_VALUE"""),440.0)</f>
        <v>440</v>
      </c>
      <c r="Q8" s="96">
        <f>IFERROR(__xludf.DUMMYFUNCTION("""COMPUTED_VALUE"""),6.0)</f>
        <v>6</v>
      </c>
      <c r="R8" s="96">
        <f>IFERROR(__xludf.DUMMYFUNCTION("""COMPUTED_VALUE"""),0.0)</f>
        <v>0</v>
      </c>
      <c r="S8" s="99">
        <f>IFERROR(__xludf.DUMMYFUNCTION("""COMPUTED_VALUE"""),815.91)</f>
        <v>815.91</v>
      </c>
      <c r="T8" s="96">
        <f>IFERROR(__xludf.DUMMYFUNCTION("""COMPUTED_VALUE"""),6.0)</f>
        <v>6</v>
      </c>
      <c r="U8" s="96">
        <f>IFERROR(__xludf.DUMMYFUNCTION("""COMPUTED_VALUE"""),56.0)</f>
        <v>56</v>
      </c>
      <c r="V8" s="100">
        <f>IFERROR(__xludf.DUMMYFUNCTION("""COMPUTED_VALUE"""),359000.0)</f>
        <v>359000</v>
      </c>
    </row>
    <row r="9">
      <c r="N9" s="98">
        <f>IFERROR(__xludf.DUMMYFUNCTION("""COMPUTED_VALUE"""),44034.0)</f>
        <v>44034</v>
      </c>
      <c r="O9" s="96" t="str">
        <f>IFERROR(__xludf.DUMMYFUNCTION("""COMPUTED_VALUE"""),"Palos Nelson")</f>
        <v>Palos Nelson</v>
      </c>
      <c r="P9" s="96">
        <f>IFERROR(__xludf.DUMMYFUNCTION("""COMPUTED_VALUE"""),331.0)</f>
        <v>331</v>
      </c>
      <c r="Q9" s="96">
        <f>IFERROR(__xludf.DUMMYFUNCTION("""COMPUTED_VALUE"""),5.0)</f>
        <v>5</v>
      </c>
      <c r="R9" s="96">
        <f>IFERROR(__xludf.DUMMYFUNCTION("""COMPUTED_VALUE"""),0.0)</f>
        <v>0</v>
      </c>
      <c r="S9" s="99">
        <f>IFERROR(__xludf.DUMMYFUNCTION("""COMPUTED_VALUE"""),768.22)</f>
        <v>768.22</v>
      </c>
      <c r="T9" s="96">
        <f>IFERROR(__xludf.DUMMYFUNCTION("""COMPUTED_VALUE"""),5.0)</f>
        <v>5</v>
      </c>
      <c r="U9" s="96">
        <f>IFERROR(__xludf.DUMMYFUNCTION("""COMPUTED_VALUE"""),11.0)</f>
        <v>11</v>
      </c>
      <c r="V9" s="100">
        <f>IFERROR(__xludf.DUMMYFUNCTION("""COMPUTED_VALUE"""),254280.0)</f>
        <v>254280</v>
      </c>
    </row>
    <row r="10">
      <c r="N10" s="98">
        <f>IFERROR(__xludf.DUMMYFUNCTION("""COMPUTED_VALUE"""),44034.0)</f>
        <v>44034</v>
      </c>
      <c r="O10" s="96" t="str">
        <f>IFERROR(__xludf.DUMMYFUNCTION("""COMPUTED_VALUE"""),"Alfred  Alabi")</f>
        <v>Alfred  Alabi</v>
      </c>
      <c r="P10" s="96">
        <f>IFERROR(__xludf.DUMMYFUNCTION("""COMPUTED_VALUE"""),159.0)</f>
        <v>159</v>
      </c>
      <c r="Q10" s="96">
        <f>IFERROR(__xludf.DUMMYFUNCTION("""COMPUTED_VALUE"""),2.0)</f>
        <v>2</v>
      </c>
      <c r="R10" s="96">
        <f>IFERROR(__xludf.DUMMYFUNCTION("""COMPUTED_VALUE"""),0.0)</f>
        <v>0</v>
      </c>
      <c r="S10" s="99">
        <f>IFERROR(__xludf.DUMMYFUNCTION("""COMPUTED_VALUE"""),754.72)</f>
        <v>754.72</v>
      </c>
      <c r="T10" s="96">
        <f>IFERROR(__xludf.DUMMYFUNCTION("""COMPUTED_VALUE"""),2.0)</f>
        <v>2</v>
      </c>
      <c r="U10" s="96">
        <f>IFERROR(__xludf.DUMMYFUNCTION("""COMPUTED_VALUE"""),31.0)</f>
        <v>31</v>
      </c>
      <c r="V10" s="100">
        <f>IFERROR(__xludf.DUMMYFUNCTION("""COMPUTED_VALUE"""),120000.0)</f>
        <v>120000</v>
      </c>
    </row>
    <row r="11">
      <c r="N11" s="98">
        <f>IFERROR(__xludf.DUMMYFUNCTION("""COMPUTED_VALUE"""),44036.0)</f>
        <v>44036</v>
      </c>
      <c r="O11" s="96" t="str">
        <f>IFERROR(__xludf.DUMMYFUNCTION("""COMPUTED_VALUE"""),"AGEGE-BOY")</f>
        <v>AGEGE-BOY</v>
      </c>
      <c r="P11" s="96">
        <f>IFERROR(__xludf.DUMMYFUNCTION("""COMPUTED_VALUE"""),444.0)</f>
        <v>444</v>
      </c>
      <c r="Q11" s="96">
        <f>IFERROR(__xludf.DUMMYFUNCTION("""COMPUTED_VALUE"""),0.0)</f>
        <v>0</v>
      </c>
      <c r="R11" s="96">
        <f>IFERROR(__xludf.DUMMYFUNCTION("""COMPUTED_VALUE"""),11.0)</f>
        <v>11</v>
      </c>
      <c r="S11" s="99">
        <f>IFERROR(__xludf.DUMMYFUNCTION("""COMPUTED_VALUE"""),779.2)</f>
        <v>779.2</v>
      </c>
      <c r="T11" s="96">
        <f>IFERROR(__xludf.DUMMYFUNCTION("""COMPUTED_VALUE"""),6.0)</f>
        <v>6</v>
      </c>
      <c r="U11" s="96">
        <f>IFERROR(__xludf.DUMMYFUNCTION("""COMPUTED_VALUE"""),55.0)</f>
        <v>55</v>
      </c>
      <c r="V11" s="100">
        <f>IFERROR(__xludf.DUMMYFUNCTION("""COMPUTED_VALUE"""),342070.0)</f>
        <v>342070</v>
      </c>
    </row>
    <row r="12">
      <c r="N12" s="98">
        <f>IFERROR(__xludf.DUMMYFUNCTION("""COMPUTED_VALUE"""),44039.0)</f>
        <v>44039</v>
      </c>
      <c r="O12" s="96" t="str">
        <f>IFERROR(__xludf.DUMMYFUNCTION("""COMPUTED_VALUE"""),"CHINWE")</f>
        <v>CHINWE</v>
      </c>
      <c r="P12" s="96">
        <f>IFERROR(__xludf.DUMMYFUNCTION("""COMPUTED_VALUE"""),180.0)</f>
        <v>180</v>
      </c>
      <c r="Q12" s="96">
        <f>IFERROR(__xludf.DUMMYFUNCTION("""COMPUTED_VALUE"""),4.0)</f>
        <v>4</v>
      </c>
      <c r="R12" s="96">
        <f>IFERROR(__xludf.DUMMYFUNCTION("""COMPUTED_VALUE"""),4.0)</f>
        <v>4</v>
      </c>
      <c r="S12" s="99">
        <f>IFERROR(__xludf.DUMMYFUNCTION("""COMPUTED_VALUE"""),862.07)</f>
        <v>862.07</v>
      </c>
      <c r="T12" s="96">
        <f>IFERROR(__xludf.DUMMYFUNCTION("""COMPUTED_VALUE"""),2.0)</f>
        <v>2</v>
      </c>
      <c r="U12" s="96">
        <f>IFERROR(__xludf.DUMMYFUNCTION("""COMPUTED_VALUE"""),46.0)</f>
        <v>46</v>
      </c>
      <c r="V12" s="100">
        <f>IFERROR(__xludf.DUMMYFUNCTION("""COMPUTED_VALUE"""),150000.0)</f>
        <v>150000</v>
      </c>
    </row>
    <row r="13">
      <c r="N13" s="98">
        <f>IFERROR(__xludf.DUMMYFUNCTION("""COMPUTED_VALUE"""),44040.0)</f>
        <v>44040</v>
      </c>
      <c r="O13" s="96" t="str">
        <f>IFERROR(__xludf.DUMMYFUNCTION("""COMPUTED_VALUE"""),"PAPA BETTE")</f>
        <v>PAPA BETTE</v>
      </c>
      <c r="P13" s="96">
        <f>IFERROR(__xludf.DUMMYFUNCTION("""COMPUTED_VALUE"""),766.0)</f>
        <v>766</v>
      </c>
      <c r="Q13" s="96">
        <f>IFERROR(__xludf.DUMMYFUNCTION("""COMPUTED_VALUE"""),10.0)</f>
        <v>10</v>
      </c>
      <c r="R13" s="96"/>
      <c r="S13" s="99">
        <f>IFERROR(__xludf.DUMMYFUNCTION("""COMPUTED_VALUE"""),531.9)</f>
        <v>531.9</v>
      </c>
      <c r="T13" s="96">
        <f>IFERROR(__xludf.DUMMYFUNCTION("""COMPUTED_VALUE"""),12.0)</f>
        <v>12</v>
      </c>
      <c r="U13" s="96">
        <f>IFERROR(__xludf.DUMMYFUNCTION("""COMPUTED_VALUE"""),0.0)</f>
        <v>0</v>
      </c>
      <c r="V13" s="100">
        <f>IFERROR(__xludf.DUMMYFUNCTION("""COMPUTED_VALUE"""),408500.0)</f>
        <v>408500</v>
      </c>
    </row>
    <row r="14">
      <c r="I14" s="101"/>
      <c r="N14" s="98">
        <f>IFERROR(__xludf.DUMMYFUNCTION("""COMPUTED_VALUE"""),44040.0)</f>
        <v>44040</v>
      </c>
      <c r="O14" s="96" t="str">
        <f>IFERROR(__xludf.DUMMYFUNCTION("""COMPUTED_VALUE"""),"MATIAT BLESSING")</f>
        <v>MATIAT BLESSING</v>
      </c>
      <c r="P14" s="96">
        <f>IFERROR(__xludf.DUMMYFUNCTION("""COMPUTED_VALUE"""),39.0)</f>
        <v>39</v>
      </c>
      <c r="Q14" s="96">
        <f>IFERROR(__xludf.DUMMYFUNCTION("""COMPUTED_VALUE"""),0.0)</f>
        <v>0</v>
      </c>
      <c r="R14" s="96">
        <f>IFERROR(__xludf.DUMMYFUNCTION("""COMPUTED_VALUE"""),3.0)</f>
        <v>3</v>
      </c>
      <c r="S14" s="99">
        <f>IFERROR(__xludf.DUMMYFUNCTION("""COMPUTED_VALUE"""),758.33)</f>
        <v>758.33</v>
      </c>
      <c r="T14" s="96">
        <f>IFERROR(__xludf.DUMMYFUNCTION("""COMPUTED_VALUE"""),0.0)</f>
        <v>0</v>
      </c>
      <c r="U14" s="96">
        <f>IFERROR(__xludf.DUMMYFUNCTION("""COMPUTED_VALUE"""),36.0)</f>
        <v>36</v>
      </c>
      <c r="V14" s="100">
        <f>IFERROR(__xludf.DUMMYFUNCTION("""COMPUTED_VALUE"""),27300.0)</f>
        <v>27300</v>
      </c>
    </row>
    <row r="15">
      <c r="N15" s="98">
        <f>IFERROR(__xludf.DUMMYFUNCTION("""COMPUTED_VALUE"""),44041.0)</f>
        <v>44041</v>
      </c>
      <c r="O15" s="96" t="str">
        <f>IFERROR(__xludf.DUMMYFUNCTION("""COMPUTED_VALUE"""),"KARIEN EBAN")</f>
        <v>KARIEN EBAN</v>
      </c>
      <c r="P15" s="96">
        <f>IFERROR(__xludf.DUMMYFUNCTION("""COMPUTED_VALUE"""),1418.0)</f>
        <v>1418</v>
      </c>
      <c r="Q15" s="96">
        <f>IFERROR(__xludf.DUMMYFUNCTION("""COMPUTED_VALUE"""),22.0)</f>
        <v>22</v>
      </c>
      <c r="R15" s="96">
        <f>IFERROR(__xludf.DUMMYFUNCTION("""COMPUTED_VALUE"""),17.0)</f>
        <v>17</v>
      </c>
      <c r="S15" s="99">
        <f>IFERROR(__xludf.DUMMYFUNCTION("""COMPUTED_VALUE"""),430.86)</f>
        <v>430.86</v>
      </c>
      <c r="T15" s="96">
        <f>IFERROR(__xludf.DUMMYFUNCTION("""COMPUTED_VALUE"""),21.0)</f>
        <v>21</v>
      </c>
      <c r="U15" s="96">
        <f>IFERROR(__xludf.DUMMYFUNCTION("""COMPUTED_VALUE"""),56.0)</f>
        <v>56</v>
      </c>
      <c r="V15" s="100">
        <f>IFERROR(__xludf.DUMMYFUNCTION("""COMPUTED_VALUE"""),603200.0)</f>
        <v>603200</v>
      </c>
    </row>
    <row r="16">
      <c r="N16" s="98">
        <f>IFERROR(__xludf.DUMMYFUNCTION("""COMPUTED_VALUE"""),44042.0)</f>
        <v>44042</v>
      </c>
      <c r="O16" s="96" t="str">
        <f>IFERROR(__xludf.DUMMYFUNCTION("""COMPUTED_VALUE"""),"KOKOk Ndifon")</f>
        <v>KOKOk Ndifon</v>
      </c>
      <c r="P16" s="96">
        <f>IFERROR(__xludf.DUMMYFUNCTION("""COMPUTED_VALUE"""),134.0)</f>
        <v>134</v>
      </c>
      <c r="Q16" s="96">
        <f>IFERROR(__xludf.DUMMYFUNCTION("""COMPUTED_VALUE"""),0.0)</f>
        <v>0</v>
      </c>
      <c r="R16" s="96">
        <f>IFERROR(__xludf.DUMMYFUNCTION("""COMPUTED_VALUE"""),0.0)</f>
        <v>0</v>
      </c>
      <c r="S16" s="99">
        <f>IFERROR(__xludf.DUMMYFUNCTION("""COMPUTED_VALUE"""),768.38)</f>
        <v>768.38</v>
      </c>
      <c r="T16" s="96">
        <f>IFERROR(__xludf.DUMMYFUNCTION("""COMPUTED_VALUE"""),2.0)</f>
        <v>2</v>
      </c>
      <c r="U16" s="96">
        <f>IFERROR(__xludf.DUMMYFUNCTION("""COMPUTED_VALUE"""),8.0)</f>
        <v>8</v>
      </c>
      <c r="V16" s="100">
        <f>IFERROR(__xludf.DUMMYFUNCTION("""COMPUTED_VALUE"""),104500.0)</f>
        <v>104500</v>
      </c>
    </row>
    <row r="17">
      <c r="N17" s="98">
        <f>IFERROR(__xludf.DUMMYFUNCTION("""COMPUTED_VALUE"""),44043.0)</f>
        <v>44043</v>
      </c>
      <c r="O17" s="96" t="str">
        <f>IFERROR(__xludf.DUMMYFUNCTION("""COMPUTED_VALUE"""),"ABANG. Confidence")</f>
        <v>ABANG. Confidence</v>
      </c>
      <c r="P17" s="96">
        <f>IFERROR(__xludf.DUMMYFUNCTION("""COMPUTED_VALUE"""),66.0)</f>
        <v>66</v>
      </c>
      <c r="Q17" s="96">
        <f>IFERROR(__xludf.DUMMYFUNCTION("""COMPUTED_VALUE"""),1.0)</f>
        <v>1</v>
      </c>
      <c r="R17" s="96">
        <f>IFERROR(__xludf.DUMMYFUNCTION("""COMPUTED_VALUE"""),3.0)</f>
        <v>3</v>
      </c>
      <c r="S17" s="99">
        <f>IFERROR(__xludf.DUMMYFUNCTION("""COMPUTED_VALUE"""),774.19)</f>
        <v>774.19</v>
      </c>
      <c r="T17" s="96">
        <f>IFERROR(__xludf.DUMMYFUNCTION("""COMPUTED_VALUE"""),0.0)</f>
        <v>0</v>
      </c>
      <c r="U17" s="96">
        <f>IFERROR(__xludf.DUMMYFUNCTION("""COMPUTED_VALUE"""),62.0)</f>
        <v>62</v>
      </c>
      <c r="V17" s="100">
        <f>IFERROR(__xludf.DUMMYFUNCTION("""COMPUTED_VALUE"""),48000.0)</f>
        <v>48000</v>
      </c>
    </row>
    <row r="18">
      <c r="N18" s="98">
        <f>IFERROR(__xludf.DUMMYFUNCTION("""COMPUTED_VALUE"""),44047.0)</f>
        <v>44047</v>
      </c>
      <c r="O18" s="96" t="str">
        <f>IFERROR(__xludf.DUMMYFUNCTION("""COMPUTED_VALUE"""),"HIGH PAPA")</f>
        <v>HIGH PAPA</v>
      </c>
      <c r="P18" s="96">
        <f>IFERROR(__xludf.DUMMYFUNCTION("""COMPUTED_VALUE"""),30.0)</f>
        <v>30</v>
      </c>
      <c r="Q18" s="96">
        <f>IFERROR(__xludf.DUMMYFUNCTION("""COMPUTED_VALUE"""),0.0)</f>
        <v>0</v>
      </c>
      <c r="R18" s="96">
        <f>IFERROR(__xludf.DUMMYFUNCTION("""COMPUTED_VALUE"""),0.0)</f>
        <v>0</v>
      </c>
      <c r="S18" s="99">
        <f>IFERROR(__xludf.DUMMYFUNCTION("""COMPUTED_VALUE"""),766.67)</f>
        <v>766.67</v>
      </c>
      <c r="T18" s="96">
        <f>IFERROR(__xludf.DUMMYFUNCTION("""COMPUTED_VALUE"""),0.0)</f>
        <v>0</v>
      </c>
      <c r="U18" s="96">
        <f>IFERROR(__xludf.DUMMYFUNCTION("""COMPUTED_VALUE"""),30.0)</f>
        <v>30</v>
      </c>
      <c r="V18" s="100">
        <f>IFERROR(__xludf.DUMMYFUNCTION("""COMPUTED_VALUE"""),23000.0)</f>
        <v>23000</v>
      </c>
    </row>
    <row r="19">
      <c r="N19" s="98">
        <f>IFERROR(__xludf.DUMMYFUNCTION("""COMPUTED_VALUE"""),44048.0)</f>
        <v>44048</v>
      </c>
      <c r="O19" s="96" t="str">
        <f>IFERROR(__xludf.DUMMYFUNCTION("""COMPUTED_VALUE"""),"Confidence")</f>
        <v>Confidence</v>
      </c>
      <c r="P19" s="96">
        <f>IFERROR(__xludf.DUMMYFUNCTION("""COMPUTED_VALUE"""),204.0)</f>
        <v>204</v>
      </c>
      <c r="Q19" s="96">
        <f>IFERROR(__xludf.DUMMYFUNCTION("""COMPUTED_VALUE"""),4.0)</f>
        <v>4</v>
      </c>
      <c r="R19" s="96">
        <f>IFERROR(__xludf.DUMMYFUNCTION("""COMPUTED_VALUE"""),10.0)</f>
        <v>10</v>
      </c>
      <c r="S19" s="99">
        <f>IFERROR(__xludf.DUMMYFUNCTION("""COMPUTED_VALUE"""),681.25)</f>
        <v>681.25</v>
      </c>
      <c r="T19" s="96">
        <f>IFERROR(__xludf.DUMMYFUNCTION("""COMPUTED_VALUE"""),3.0)</f>
        <v>3</v>
      </c>
      <c r="U19" s="96">
        <f>IFERROR(__xludf.DUMMYFUNCTION("""COMPUTED_VALUE"""),0.0)</f>
        <v>0</v>
      </c>
      <c r="V19" s="100">
        <f>IFERROR(__xludf.DUMMYFUNCTION("""COMPUTED_VALUE"""),130800.0)</f>
        <v>130800</v>
      </c>
    </row>
    <row r="20">
      <c r="N20" s="98">
        <f>IFERROR(__xludf.DUMMYFUNCTION("""COMPUTED_VALUE"""),44048.0)</f>
        <v>44048</v>
      </c>
      <c r="O20" s="96" t="str">
        <f>IFERROR(__xludf.DUMMYFUNCTION("""COMPUTED_VALUE"""),"Chimwe")</f>
        <v>Chimwe</v>
      </c>
      <c r="P20" s="96">
        <f>IFERROR(__xludf.DUMMYFUNCTION("""COMPUTED_VALUE"""),605.0)</f>
        <v>605</v>
      </c>
      <c r="Q20" s="96">
        <f>IFERROR(__xludf.DUMMYFUNCTION("""COMPUTED_VALUE"""),8.0)</f>
        <v>8</v>
      </c>
      <c r="R20" s="96">
        <f>IFERROR(__xludf.DUMMYFUNCTION("""COMPUTED_VALUE"""),0.0)</f>
        <v>0</v>
      </c>
      <c r="S20" s="99">
        <f>IFERROR(__xludf.DUMMYFUNCTION("""COMPUTED_VALUE"""),781.19)</f>
        <v>781.19</v>
      </c>
      <c r="T20" s="96">
        <f>IFERROR(__xludf.DUMMYFUNCTION("""COMPUTED_VALUE"""),9.0)</f>
        <v>9</v>
      </c>
      <c r="U20" s="96">
        <f>IFERROR(__xludf.DUMMYFUNCTION("""COMPUTED_VALUE"""),30.0)</f>
        <v>30</v>
      </c>
      <c r="V20" s="100">
        <f>IFERROR(__xludf.DUMMYFUNCTION("""COMPUTED_VALUE"""),473400.0)</f>
        <v>473400</v>
      </c>
    </row>
    <row r="21">
      <c r="N21" s="98">
        <f>IFERROR(__xludf.DUMMYFUNCTION("""COMPUTED_VALUE"""),44049.0)</f>
        <v>44049</v>
      </c>
      <c r="O21" s="96" t="str">
        <f>IFERROR(__xludf.DUMMYFUNCTION("""COMPUTED_VALUE"""),"ABANG. Andrew")</f>
        <v>ABANG. Andrew</v>
      </c>
      <c r="P21" s="96">
        <f>IFERROR(__xludf.DUMMYFUNCTION("""COMPUTED_VALUE"""),422.0)</f>
        <v>422</v>
      </c>
      <c r="Q21" s="96">
        <f>IFERROR(__xludf.DUMMYFUNCTION("""COMPUTED_VALUE"""),7.0)</f>
        <v>7</v>
      </c>
      <c r="R21" s="96">
        <f>IFERROR(__xludf.DUMMYFUNCTION("""COMPUTED_VALUE"""),9.0)</f>
        <v>9</v>
      </c>
      <c r="S21" s="99">
        <f>IFERROR(__xludf.DUMMYFUNCTION("""COMPUTED_VALUE"""),788.35)</f>
        <v>788.35</v>
      </c>
      <c r="T21" s="96">
        <f>IFERROR(__xludf.DUMMYFUNCTION("""COMPUTED_VALUE"""),6.0)</f>
        <v>6</v>
      </c>
      <c r="U21" s="96">
        <f>IFERROR(__xludf.DUMMYFUNCTION("""COMPUTED_VALUE"""),28.0)</f>
        <v>28</v>
      </c>
      <c r="V21" s="100">
        <f>IFERROR(__xludf.DUMMYFUNCTION("""COMPUTED_VALUE"""),324800.0)</f>
        <v>324800</v>
      </c>
    </row>
    <row r="22">
      <c r="N22" s="98">
        <f>IFERROR(__xludf.DUMMYFUNCTION("""COMPUTED_VALUE"""),44049.0)</f>
        <v>44049</v>
      </c>
      <c r="O22" s="96" t="str">
        <f>IFERROR(__xludf.DUMMYFUNCTION("""COMPUTED_VALUE"""),"A.D. FREDERICK")</f>
        <v>A.D. FREDERICK</v>
      </c>
      <c r="P22" s="96">
        <f>IFERROR(__xludf.DUMMYFUNCTION("""COMPUTED_VALUE"""),117.0)</f>
        <v>117</v>
      </c>
      <c r="Q22" s="96">
        <f>IFERROR(__xludf.DUMMYFUNCTION("""COMPUTED_VALUE"""),2.0)</f>
        <v>2</v>
      </c>
      <c r="R22" s="96">
        <f>IFERROR(__xludf.DUMMYFUNCTION("""COMPUTED_VALUE"""),8.0)</f>
        <v>8</v>
      </c>
      <c r="S22" s="99">
        <f>IFERROR(__xludf.DUMMYFUNCTION("""COMPUTED_VALUE"""),792.59)</f>
        <v>792.59</v>
      </c>
      <c r="T22" s="96">
        <f>IFERROR(__xludf.DUMMYFUNCTION("""COMPUTED_VALUE"""),1.0)</f>
        <v>1</v>
      </c>
      <c r="U22" s="96">
        <f>IFERROR(__xludf.DUMMYFUNCTION("""COMPUTED_VALUE"""),44.0)</f>
        <v>44</v>
      </c>
      <c r="V22" s="100">
        <f>IFERROR(__xludf.DUMMYFUNCTION("""COMPUTED_VALUE"""),85600.0)</f>
        <v>85600</v>
      </c>
    </row>
    <row r="23">
      <c r="N23" s="98">
        <f>IFERROR(__xludf.DUMMYFUNCTION("""COMPUTED_VALUE"""),44050.0)</f>
        <v>44050</v>
      </c>
      <c r="O23" s="96" t="str">
        <f>IFERROR(__xludf.DUMMYFUNCTION("""COMPUTED_VALUE"""),"St. Pual")</f>
        <v>St. Pual</v>
      </c>
      <c r="P23" s="96">
        <f>IFERROR(__xludf.DUMMYFUNCTION("""COMPUTED_VALUE"""),41.0)</f>
        <v>41</v>
      </c>
      <c r="Q23" s="96">
        <f>IFERROR(__xludf.DUMMYFUNCTION("""COMPUTED_VALUE"""),1.0)</f>
        <v>1</v>
      </c>
      <c r="R23" s="96">
        <f>IFERROR(__xludf.DUMMYFUNCTION("""COMPUTED_VALUE"""),3.0)</f>
        <v>3</v>
      </c>
      <c r="S23" s="99">
        <f>IFERROR(__xludf.DUMMYFUNCTION("""COMPUTED_VALUE"""),791.89)</f>
        <v>791.89</v>
      </c>
      <c r="T23" s="96">
        <f>IFERROR(__xludf.DUMMYFUNCTION("""COMPUTED_VALUE"""),0.0)</f>
        <v>0</v>
      </c>
      <c r="U23" s="96">
        <f>IFERROR(__xludf.DUMMYFUNCTION("""COMPUTED_VALUE"""),37.0)</f>
        <v>37</v>
      </c>
      <c r="V23" s="100">
        <f>IFERROR(__xludf.DUMMYFUNCTION("""COMPUTED_VALUE"""),29300.0)</f>
        <v>29300</v>
      </c>
    </row>
    <row r="24">
      <c r="N24" s="98">
        <f>IFERROR(__xludf.DUMMYFUNCTION("""COMPUTED_VALUE"""),44054.0)</f>
        <v>44054</v>
      </c>
      <c r="O24" s="96" t="str">
        <f>IFERROR(__xludf.DUMMYFUNCTION("""COMPUTED_VALUE"""),"SIR OBIM KEN.")</f>
        <v>SIR OBIM KEN.</v>
      </c>
      <c r="P24" s="96">
        <f>IFERROR(__xludf.DUMMYFUNCTION("""COMPUTED_VALUE"""),104.0)</f>
        <v>104</v>
      </c>
      <c r="Q24" s="96">
        <f>IFERROR(__xludf.DUMMYFUNCTION("""COMPUTED_VALUE"""),0.0)</f>
        <v>0</v>
      </c>
      <c r="R24" s="96">
        <f>IFERROR(__xludf.DUMMYFUNCTION("""COMPUTED_VALUE"""),4.0)</f>
        <v>4</v>
      </c>
      <c r="S24" s="99">
        <f>IFERROR(__xludf.DUMMYFUNCTION("""COMPUTED_VALUE"""),792.08)</f>
        <v>792.08</v>
      </c>
      <c r="T24" s="96">
        <f>IFERROR(__xludf.DUMMYFUNCTION("""COMPUTED_VALUE"""),1.0)</f>
        <v>1</v>
      </c>
      <c r="U24" s="96">
        <f>IFERROR(__xludf.DUMMYFUNCTION("""COMPUTED_VALUE"""),37.0)</f>
        <v>37</v>
      </c>
      <c r="V24" s="100">
        <f>IFERROR(__xludf.DUMMYFUNCTION("""COMPUTED_VALUE"""),80000.0)</f>
        <v>80000</v>
      </c>
    </row>
    <row r="25">
      <c r="N25" s="98">
        <f>IFERROR(__xludf.DUMMYFUNCTION("""COMPUTED_VALUE"""),44054.0)</f>
        <v>44054</v>
      </c>
      <c r="O25" s="96" t="str">
        <f>IFERROR(__xludf.DUMMYFUNCTION("""COMPUTED_VALUE"""),"SIR ZULU")</f>
        <v>SIR ZULU</v>
      </c>
      <c r="P25" s="96">
        <f>IFERROR(__xludf.DUMMYFUNCTION("""COMPUTED_VALUE"""),8.0)</f>
        <v>8</v>
      </c>
      <c r="Q25" s="96">
        <f>IFERROR(__xludf.DUMMYFUNCTION("""COMPUTED_VALUE"""),0.0)</f>
        <v>0</v>
      </c>
      <c r="R25" s="96">
        <f>IFERROR(__xludf.DUMMYFUNCTION("""COMPUTED_VALUE"""),0.0)</f>
        <v>0</v>
      </c>
      <c r="S25" s="99">
        <f>IFERROR(__xludf.DUMMYFUNCTION("""COMPUTED_VALUE"""),800.0)</f>
        <v>800</v>
      </c>
      <c r="T25" s="96">
        <f>IFERROR(__xludf.DUMMYFUNCTION("""COMPUTED_VALUE"""),0.0)</f>
        <v>0</v>
      </c>
      <c r="U25" s="96">
        <f>IFERROR(__xludf.DUMMYFUNCTION("""COMPUTED_VALUE"""),8.0)</f>
        <v>8</v>
      </c>
      <c r="V25" s="100">
        <f>IFERROR(__xludf.DUMMYFUNCTION("""COMPUTED_VALUE"""),6400.0)</f>
        <v>6400</v>
      </c>
    </row>
    <row r="26">
      <c r="N26" s="98">
        <f>IFERROR(__xludf.DUMMYFUNCTION("""COMPUTED_VALUE"""),44054.0)</f>
        <v>44054</v>
      </c>
      <c r="O26" s="96" t="str">
        <f>IFERROR(__xludf.DUMMYFUNCTION("""COMPUTED_VALUE"""),"NDOMA NDOMA")</f>
        <v>NDOMA NDOMA</v>
      </c>
      <c r="P26" s="96">
        <f>IFERROR(__xludf.DUMMYFUNCTION("""COMPUTED_VALUE"""),192.0)</f>
        <v>192</v>
      </c>
      <c r="Q26" s="96">
        <f>IFERROR(__xludf.DUMMYFUNCTION("""COMPUTED_VALUE"""),3.0)</f>
        <v>3</v>
      </c>
      <c r="R26" s="96"/>
      <c r="S26" s="99">
        <f>IFERROR(__xludf.DUMMYFUNCTION("""COMPUTED_VALUE"""),791.67)</f>
        <v>791.67</v>
      </c>
      <c r="T26" s="96">
        <f>IFERROR(__xludf.DUMMYFUNCTION("""COMPUTED_VALUE"""),3.0)</f>
        <v>3</v>
      </c>
      <c r="U26" s="96">
        <f>IFERROR(__xludf.DUMMYFUNCTION("""COMPUTED_VALUE"""),0.0)</f>
        <v>0</v>
      </c>
      <c r="V26" s="100">
        <f>IFERROR(__xludf.DUMMYFUNCTION("""COMPUTED_VALUE"""),152000.0)</f>
        <v>152000</v>
      </c>
    </row>
    <row r="27">
      <c r="N27" s="98">
        <f>IFERROR(__xludf.DUMMYFUNCTION("""COMPUTED_VALUE"""),44056.0)</f>
        <v>44056</v>
      </c>
      <c r="O27" s="96" t="str">
        <f>IFERROR(__xludf.DUMMYFUNCTION("""COMPUTED_VALUE"""),"ABANG. Chinwe")</f>
        <v>ABANG. Chinwe</v>
      </c>
      <c r="P27" s="96">
        <f>IFERROR(__xludf.DUMMYFUNCTION("""COMPUTED_VALUE"""),350.0)</f>
        <v>350</v>
      </c>
      <c r="Q27" s="96">
        <f>IFERROR(__xludf.DUMMYFUNCTION("""COMPUTED_VALUE"""),4.0)</f>
        <v>4</v>
      </c>
      <c r="R27" s="96">
        <f>IFERROR(__xludf.DUMMYFUNCTION("""COMPUTED_VALUE"""),6.0)</f>
        <v>6</v>
      </c>
      <c r="S27" s="99">
        <f>IFERROR(__xludf.DUMMYFUNCTION("""COMPUTED_VALUE"""),798.55)</f>
        <v>798.55</v>
      </c>
      <c r="T27" s="96">
        <f>IFERROR(__xludf.DUMMYFUNCTION("""COMPUTED_VALUE"""),5.0)</f>
        <v>5</v>
      </c>
      <c r="U27" s="96">
        <f>IFERROR(__xludf.DUMMYFUNCTION("""COMPUTED_VALUE"""),25.0)</f>
        <v>25</v>
      </c>
      <c r="V27" s="100">
        <f>IFERROR(__xludf.DUMMYFUNCTION("""COMPUTED_VALUE"""),275500.0)</f>
        <v>275500</v>
      </c>
    </row>
    <row r="28">
      <c r="N28" s="98">
        <f>IFERROR(__xludf.DUMMYFUNCTION("""COMPUTED_VALUE"""),44062.0)</f>
        <v>44062</v>
      </c>
      <c r="O28" s="96" t="str">
        <f>IFERROR(__xludf.DUMMYFUNCTION("""COMPUTED_VALUE"""),"Ashanti")</f>
        <v>Ashanti</v>
      </c>
      <c r="P28" s="96">
        <f>IFERROR(__xludf.DUMMYFUNCTION("""COMPUTED_VALUE"""),174.0)</f>
        <v>174</v>
      </c>
      <c r="Q28" s="96">
        <f>IFERROR(__xludf.DUMMYFUNCTION("""COMPUTED_VALUE"""),3.0)</f>
        <v>3</v>
      </c>
      <c r="R28" s="96">
        <f>IFERROR(__xludf.DUMMYFUNCTION("""COMPUTED_VALUE"""),5.0)</f>
        <v>5</v>
      </c>
      <c r="S28" s="99">
        <f>IFERROR(__xludf.DUMMYFUNCTION("""COMPUTED_VALUE"""),810.12)</f>
        <v>810.12</v>
      </c>
      <c r="T28" s="96">
        <f>IFERROR(__xludf.DUMMYFUNCTION("""COMPUTED_VALUE"""),2.0)</f>
        <v>2</v>
      </c>
      <c r="U28" s="96">
        <f>IFERROR(__xludf.DUMMYFUNCTION("""COMPUTED_VALUE"""),40.0)</f>
        <v>40</v>
      </c>
      <c r="V28" s="100">
        <f>IFERROR(__xludf.DUMMYFUNCTION("""COMPUTED_VALUE"""),136100.0)</f>
        <v>136100</v>
      </c>
    </row>
    <row r="29">
      <c r="N29" s="98">
        <f>IFERROR(__xludf.DUMMYFUNCTION("""COMPUTED_VALUE"""),44062.0)</f>
        <v>44062</v>
      </c>
      <c r="O29" s="96" t="str">
        <f>IFERROR(__xludf.DUMMYFUNCTION("""COMPUTED_VALUE"""),"Tom Mku")</f>
        <v>Tom Mku</v>
      </c>
      <c r="P29" s="96">
        <f>IFERROR(__xludf.DUMMYFUNCTION("""COMPUTED_VALUE"""),84.0)</f>
        <v>84</v>
      </c>
      <c r="Q29" s="96">
        <f>IFERROR(__xludf.DUMMYFUNCTION("""COMPUTED_VALUE"""),1.0)</f>
        <v>1</v>
      </c>
      <c r="R29" s="96">
        <f>IFERROR(__xludf.DUMMYFUNCTION("""COMPUTED_VALUE"""),0.0)</f>
        <v>0</v>
      </c>
      <c r="S29" s="99">
        <f>IFERROR(__xludf.DUMMYFUNCTION("""COMPUTED_VALUE"""),819.05)</f>
        <v>819.05</v>
      </c>
      <c r="T29" s="96">
        <f>IFERROR(__xludf.DUMMYFUNCTION("""COMPUTED_VALUE"""),1.0)</f>
        <v>1</v>
      </c>
      <c r="U29" s="96">
        <f>IFERROR(__xludf.DUMMYFUNCTION("""COMPUTED_VALUE"""),20.0)</f>
        <v>20</v>
      </c>
      <c r="V29" s="100">
        <f>IFERROR(__xludf.DUMMYFUNCTION("""COMPUTED_VALUE"""),68800.0)</f>
        <v>68800</v>
      </c>
    </row>
    <row r="30">
      <c r="N30" s="98">
        <f>IFERROR(__xludf.DUMMYFUNCTION("""COMPUTED_VALUE"""),44067.0)</f>
        <v>44067</v>
      </c>
      <c r="O30" s="96" t="str">
        <f>IFERROR(__xludf.DUMMYFUNCTION("""COMPUTED_VALUE"""),"ABANG. CONFIDENCE")</f>
        <v>ABANG. CONFIDENCE</v>
      </c>
      <c r="P30" s="96">
        <f>IFERROR(__xludf.DUMMYFUNCTION("""COMPUTED_VALUE"""),39.0)</f>
        <v>39</v>
      </c>
      <c r="Q30" s="96">
        <f>IFERROR(__xludf.DUMMYFUNCTION("""COMPUTED_VALUE"""),1.0)</f>
        <v>1</v>
      </c>
      <c r="R30" s="96">
        <f>IFERROR(__xludf.DUMMYFUNCTION("""COMPUTED_VALUE"""),0.0)</f>
        <v>0</v>
      </c>
      <c r="S30" s="99">
        <f>IFERROR(__xludf.DUMMYFUNCTION("""COMPUTED_VALUE"""),818.42)</f>
        <v>818.42</v>
      </c>
      <c r="T30" s="96">
        <f>IFERROR(__xludf.DUMMYFUNCTION("""COMPUTED_VALUE"""),0.0)</f>
        <v>0</v>
      </c>
      <c r="U30" s="96">
        <f>IFERROR(__xludf.DUMMYFUNCTION("""COMPUTED_VALUE"""),38.0)</f>
        <v>38</v>
      </c>
      <c r="V30" s="100">
        <f>IFERROR(__xludf.DUMMYFUNCTION("""COMPUTED_VALUE"""),31100.0)</f>
        <v>31100</v>
      </c>
    </row>
    <row r="31">
      <c r="N31" s="98">
        <f>IFERROR(__xludf.DUMMYFUNCTION("""COMPUTED_VALUE"""),44067.0)</f>
        <v>44067</v>
      </c>
      <c r="O31" s="96" t="str">
        <f>IFERROR(__xludf.DUMMYFUNCTION("""COMPUTED_VALUE"""),"ABANG. ANDREW")</f>
        <v>ABANG. ANDREW</v>
      </c>
      <c r="P31" s="96">
        <f>IFERROR(__xludf.DUMMYFUNCTION("""COMPUTED_VALUE"""),402.0)</f>
        <v>402</v>
      </c>
      <c r="Q31" s="96">
        <f>IFERROR(__xludf.DUMMYFUNCTION("""COMPUTED_VALUE"""),11.0)</f>
        <v>11</v>
      </c>
      <c r="R31" s="96">
        <f>IFERROR(__xludf.DUMMYFUNCTION("""COMPUTED_VALUE"""),0.0)</f>
        <v>0</v>
      </c>
      <c r="S31" s="99">
        <f>IFERROR(__xludf.DUMMYFUNCTION("""COMPUTED_VALUE"""),827.2)</f>
        <v>827.2</v>
      </c>
      <c r="T31" s="96">
        <f>IFERROR(__xludf.DUMMYFUNCTION("""COMPUTED_VALUE"""),6.0)</f>
        <v>6</v>
      </c>
      <c r="U31" s="96">
        <f>IFERROR(__xludf.DUMMYFUNCTION("""COMPUTED_VALUE"""),13.0)</f>
        <v>13</v>
      </c>
      <c r="V31" s="100">
        <f>IFERROR(__xludf.DUMMYFUNCTION("""COMPUTED_VALUE"""),328400.0)</f>
        <v>328400</v>
      </c>
    </row>
    <row r="32">
      <c r="N32" s="98">
        <f>IFERROR(__xludf.DUMMYFUNCTION("""COMPUTED_VALUE"""),44067.0)</f>
        <v>44067</v>
      </c>
      <c r="O32" s="96" t="str">
        <f>IFERROR(__xludf.DUMMYFUNCTION("""COMPUTED_VALUE"""),"ABANG. TIWA HNSON")</f>
        <v>ABANG. TIWA HNSON</v>
      </c>
      <c r="P32" s="96">
        <f>IFERROR(__xludf.DUMMYFUNCTION("""COMPUTED_VALUE"""),185.0)</f>
        <v>185</v>
      </c>
      <c r="Q32" s="96">
        <f>IFERROR(__xludf.DUMMYFUNCTION("""COMPUTED_VALUE"""),0.0)</f>
        <v>0</v>
      </c>
      <c r="R32" s="96">
        <f>IFERROR(__xludf.DUMMYFUNCTION("""COMPUTED_VALUE"""),0.0)</f>
        <v>0</v>
      </c>
      <c r="S32" s="99">
        <f>IFERROR(__xludf.DUMMYFUNCTION("""COMPUTED_VALUE"""),756.68)</f>
        <v>756.68</v>
      </c>
      <c r="T32" s="96">
        <f>IFERROR(__xludf.DUMMYFUNCTION("""COMPUTED_VALUE"""),2.0)</f>
        <v>2</v>
      </c>
      <c r="U32" s="96">
        <f>IFERROR(__xludf.DUMMYFUNCTION("""COMPUTED_VALUE"""),59.0)</f>
        <v>59</v>
      </c>
      <c r="V32" s="100">
        <f>IFERROR(__xludf.DUMMYFUNCTION("""COMPUTED_VALUE"""),141500.0)</f>
        <v>141500</v>
      </c>
    </row>
    <row r="33">
      <c r="N33" s="98">
        <f>IFERROR(__xludf.DUMMYFUNCTION("""COMPUTED_VALUE"""),44069.0)</f>
        <v>44069</v>
      </c>
      <c r="O33" s="96" t="str">
        <f>IFERROR(__xludf.DUMMYFUNCTION("""COMPUTED_VALUE"""),"ABANGS. HNSON")</f>
        <v>ABANGS. HNSON</v>
      </c>
      <c r="P33" s="96">
        <f>IFERROR(__xludf.DUMMYFUNCTION("""COMPUTED_VALUE"""),758.0)</f>
        <v>758</v>
      </c>
      <c r="Q33" s="96">
        <f>IFERROR(__xludf.DUMMYFUNCTION("""COMPUTED_VALUE"""),12.0)</f>
        <v>12</v>
      </c>
      <c r="R33" s="96">
        <f>IFERROR(__xludf.DUMMYFUNCTION("""COMPUTED_VALUE"""),0.0)</f>
        <v>0</v>
      </c>
      <c r="S33" s="99">
        <f>IFERROR(__xludf.DUMMYFUNCTION("""COMPUTED_VALUE"""),389.04)</f>
        <v>389.04</v>
      </c>
      <c r="T33" s="96">
        <f>IFERROR(__xludf.DUMMYFUNCTION("""COMPUTED_VALUE"""),11.0)</f>
        <v>11</v>
      </c>
      <c r="U33" s="96">
        <f>IFERROR(__xludf.DUMMYFUNCTION("""COMPUTED_VALUE"""),53.0)</f>
        <v>53</v>
      </c>
      <c r="V33" s="100">
        <f>IFERROR(__xludf.DUMMYFUNCTION("""COMPUTED_VALUE"""),294500.0)</f>
        <v>294500</v>
      </c>
    </row>
    <row r="34">
      <c r="N34" s="98">
        <f>IFERROR(__xludf.DUMMYFUNCTION("""COMPUTED_VALUE"""),44070.0)</f>
        <v>44070</v>
      </c>
      <c r="O34" s="96" t="str">
        <f>IFERROR(__xludf.DUMMYFUNCTION("""COMPUTED_VALUE"""),"ORU")</f>
        <v>ORU</v>
      </c>
      <c r="P34" s="96">
        <f>IFERROR(__xludf.DUMMYFUNCTION("""COMPUTED_VALUE"""),86.0)</f>
        <v>86</v>
      </c>
      <c r="Q34" s="96">
        <f>IFERROR(__xludf.DUMMYFUNCTION("""COMPUTED_VALUE"""),2.0)</f>
        <v>2</v>
      </c>
      <c r="R34" s="96"/>
      <c r="S34" s="99">
        <f>IFERROR(__xludf.DUMMYFUNCTION("""COMPUTED_VALUE"""),839.76)</f>
        <v>839.76</v>
      </c>
      <c r="T34" s="96">
        <f>IFERROR(__xludf.DUMMYFUNCTION("""COMPUTED_VALUE"""),1.0)</f>
        <v>1</v>
      </c>
      <c r="U34" s="96">
        <f>IFERROR(__xludf.DUMMYFUNCTION("""COMPUTED_VALUE"""),21.0)</f>
        <v>21</v>
      </c>
      <c r="V34" s="100">
        <f>IFERROR(__xludf.DUMMYFUNCTION("""COMPUTED_VALUE"""),71380.0)</f>
        <v>71380</v>
      </c>
    </row>
    <row r="35">
      <c r="N35" s="98">
        <f>IFERROR(__xludf.DUMMYFUNCTION("""COMPUTED_VALUE"""),44070.0)</f>
        <v>44070</v>
      </c>
      <c r="O35" s="96" t="str">
        <f>IFERROR(__xludf.DUMMYFUNCTION("""COMPUTED_VALUE"""),"NELSON &amp; PALUS")</f>
        <v>NELSON &amp; PALUS</v>
      </c>
      <c r="P35" s="96">
        <f>IFERROR(__xludf.DUMMYFUNCTION("""COMPUTED_VALUE"""),449.0)</f>
        <v>449</v>
      </c>
      <c r="Q35" s="96">
        <f>IFERROR(__xludf.DUMMYFUNCTION("""COMPUTED_VALUE"""),7.0)</f>
        <v>7</v>
      </c>
      <c r="R35" s="96"/>
      <c r="S35" s="99">
        <f>IFERROR(__xludf.DUMMYFUNCTION("""COMPUTED_VALUE"""),828.57)</f>
        <v>828.57</v>
      </c>
      <c r="T35" s="96">
        <f>IFERROR(__xludf.DUMMYFUNCTION("""COMPUTED_VALUE"""),7.0)</f>
        <v>7</v>
      </c>
      <c r="U35" s="96">
        <f>IFERROR(__xludf.DUMMYFUNCTION("""COMPUTED_VALUE"""),0.0)</f>
        <v>0</v>
      </c>
      <c r="V35" s="100">
        <f>IFERROR(__xludf.DUMMYFUNCTION("""COMPUTED_VALUE"""),371200.0)</f>
        <v>371200</v>
      </c>
    </row>
    <row r="36">
      <c r="N36" s="98">
        <f>IFERROR(__xludf.DUMMYFUNCTION("""COMPUTED_VALUE"""),44071.0)</f>
        <v>44071</v>
      </c>
      <c r="O36" s="96" t="str">
        <f>IFERROR(__xludf.DUMMYFUNCTION("""COMPUTED_VALUE"""),"ETUK EFFI")</f>
        <v>ETUK EFFI</v>
      </c>
      <c r="P36" s="96">
        <f>IFERROR(__xludf.DUMMYFUNCTION("""COMPUTED_VALUE"""),1477.0)</f>
        <v>1477</v>
      </c>
      <c r="Q36" s="96">
        <f>IFERROR(__xludf.DUMMYFUNCTION("""COMPUTED_VALUE"""),23.0)</f>
        <v>23</v>
      </c>
      <c r="R36" s="96">
        <f>IFERROR(__xludf.DUMMYFUNCTION("""COMPUTED_VALUE"""),6.0)</f>
        <v>6</v>
      </c>
      <c r="S36" s="99">
        <f>IFERROR(__xludf.DUMMYFUNCTION("""COMPUTED_VALUE"""),875.44)</f>
        <v>875.44</v>
      </c>
      <c r="T36" s="96">
        <f>IFERROR(__xludf.DUMMYFUNCTION("""COMPUTED_VALUE"""),22.0)</f>
        <v>22</v>
      </c>
      <c r="U36" s="96">
        <f>IFERROR(__xludf.DUMMYFUNCTION("""COMPUTED_VALUE"""),62.0)</f>
        <v>62</v>
      </c>
      <c r="V36" s="100">
        <f>IFERROR(__xludf.DUMMYFUNCTION("""COMPUTED_VALUE"""),1286900.0)</f>
        <v>1286900</v>
      </c>
    </row>
    <row r="37">
      <c r="N37" s="98">
        <f>IFERROR(__xludf.DUMMYFUNCTION("""COMPUTED_VALUE"""),44071.0)</f>
        <v>44071</v>
      </c>
      <c r="O37" s="96" t="str">
        <f>IFERROR(__xludf.DUMMYFUNCTION("""COMPUTED_VALUE"""),"SEPH")</f>
        <v>SEPH</v>
      </c>
      <c r="P37" s="96">
        <f>IFERROR(__xludf.DUMMYFUNCTION("""COMPUTED_VALUE"""),3.0)</f>
        <v>3</v>
      </c>
      <c r="Q37" s="96">
        <f>IFERROR(__xludf.DUMMYFUNCTION("""COMPUTED_VALUE"""),0.0)</f>
        <v>0</v>
      </c>
      <c r="R37" s="96">
        <f>IFERROR(__xludf.DUMMYFUNCTION("""COMPUTED_VALUE"""),0.0)</f>
        <v>0</v>
      </c>
      <c r="S37" s="99">
        <f>IFERROR(__xludf.DUMMYFUNCTION("""COMPUTED_VALUE"""),833.33)</f>
        <v>833.33</v>
      </c>
      <c r="T37" s="96">
        <f>IFERROR(__xludf.DUMMYFUNCTION("""COMPUTED_VALUE"""),0.0)</f>
        <v>0</v>
      </c>
      <c r="U37" s="96">
        <f>IFERROR(__xludf.DUMMYFUNCTION("""COMPUTED_VALUE"""),3.0)</f>
        <v>3</v>
      </c>
      <c r="V37" s="100">
        <f>IFERROR(__xludf.DUMMYFUNCTION("""COMPUTED_VALUE"""),2500.0)</f>
        <v>2500</v>
      </c>
    </row>
    <row r="38">
      <c r="N38" s="98">
        <f>IFERROR(__xludf.DUMMYFUNCTION("""COMPUTED_VALUE"""),44074.0)</f>
        <v>44074</v>
      </c>
      <c r="O38" s="96" t="str">
        <f>IFERROR(__xludf.DUMMYFUNCTION("""COMPUTED_VALUE"""),"ABANG. ANDREW")</f>
        <v>ABANG. ANDREW</v>
      </c>
      <c r="P38" s="96">
        <f>IFERROR(__xludf.DUMMYFUNCTION("""COMPUTED_VALUE"""),798.0)</f>
        <v>798</v>
      </c>
      <c r="Q38" s="96">
        <f>IFERROR(__xludf.DUMMYFUNCTION("""COMPUTED_VALUE"""),6.0)</f>
        <v>6</v>
      </c>
      <c r="R38" s="96">
        <f>IFERROR(__xludf.DUMMYFUNCTION("""COMPUTED_VALUE"""),20.0)</f>
        <v>20</v>
      </c>
      <c r="S38" s="99">
        <f>IFERROR(__xludf.DUMMYFUNCTION("""COMPUTED_VALUE"""),837.05)</f>
        <v>837.05</v>
      </c>
      <c r="T38" s="96">
        <f>IFERROR(__xludf.DUMMYFUNCTION("""COMPUTED_VALUE"""),12.0)</f>
        <v>12</v>
      </c>
      <c r="U38" s="96">
        <f>IFERROR(__xludf.DUMMYFUNCTION("""COMPUTED_VALUE"""),16.0)</f>
        <v>16</v>
      </c>
      <c r="V38" s="100">
        <f>IFERROR(__xludf.DUMMYFUNCTION("""COMPUTED_VALUE"""),656250.0)</f>
        <v>656250</v>
      </c>
    </row>
    <row r="39">
      <c r="N39" s="98">
        <f>IFERROR(__xludf.DUMMYFUNCTION("""COMPUTED_VALUE"""),44074.0)</f>
        <v>44074</v>
      </c>
      <c r="O39" s="96" t="str">
        <f>IFERROR(__xludf.DUMMYFUNCTION("""COMPUTED_VALUE"""),"ABANG. ANDREW")</f>
        <v>ABANG. ANDREW</v>
      </c>
      <c r="P39" s="96">
        <f>IFERROR(__xludf.DUMMYFUNCTION("""COMPUTED_VALUE"""),16.0)</f>
        <v>16</v>
      </c>
      <c r="Q39" s="96">
        <f>IFERROR(__xludf.DUMMYFUNCTION("""COMPUTED_VALUE"""),1.0)</f>
        <v>1</v>
      </c>
      <c r="R39" s="96">
        <f>IFERROR(__xludf.DUMMYFUNCTION("""COMPUTED_VALUE"""),0.0)</f>
        <v>0</v>
      </c>
      <c r="S39" s="99">
        <f>IFERROR(__xludf.DUMMYFUNCTION("""COMPUTED_VALUE"""),850.0)</f>
        <v>850</v>
      </c>
      <c r="T39" s="96">
        <f>IFERROR(__xludf.DUMMYFUNCTION("""COMPUTED_VALUE"""),0.0)</f>
        <v>0</v>
      </c>
      <c r="U39" s="96">
        <f>IFERROR(__xludf.DUMMYFUNCTION("""COMPUTED_VALUE"""),15.0)</f>
        <v>15</v>
      </c>
      <c r="V39" s="100">
        <f>IFERROR(__xludf.DUMMYFUNCTION("""COMPUTED_VALUE"""),12750.0)</f>
        <v>12750</v>
      </c>
    </row>
    <row r="40">
      <c r="N40" s="98">
        <f>IFERROR(__xludf.DUMMYFUNCTION("""COMPUTED_VALUE"""),44075.0)</f>
        <v>44075</v>
      </c>
      <c r="O40" s="96" t="str">
        <f>IFERROR(__xludf.DUMMYFUNCTION("""COMPUTED_VALUE"""),"CHINWE MGWUJA")</f>
        <v>CHINWE MGWUJA</v>
      </c>
      <c r="P40" s="96">
        <f>IFERROR(__xludf.DUMMYFUNCTION("""COMPUTED_VALUE"""),790.0)</f>
        <v>790</v>
      </c>
      <c r="Q40" s="96">
        <f>IFERROR(__xludf.DUMMYFUNCTION("""COMPUTED_VALUE"""),10.0)</f>
        <v>10</v>
      </c>
      <c r="R40" s="96">
        <f>IFERROR(__xludf.DUMMYFUNCTION("""COMPUTED_VALUE"""),32.0)</f>
        <v>32</v>
      </c>
      <c r="S40" s="99">
        <f>IFERROR(__xludf.DUMMYFUNCTION("""COMPUTED_VALUE"""),831.09)</f>
        <v>831.09</v>
      </c>
      <c r="T40" s="96">
        <f>IFERROR(__xludf.DUMMYFUNCTION("""COMPUTED_VALUE"""),11.0)</f>
        <v>11</v>
      </c>
      <c r="U40" s="96">
        <f>IFERROR(__xludf.DUMMYFUNCTION("""COMPUTED_VALUE"""),55.0)</f>
        <v>55</v>
      </c>
      <c r="V40" s="100">
        <f>IFERROR(__xludf.DUMMYFUNCTION("""COMPUTED_VALUE"""),630800.0)</f>
        <v>630800</v>
      </c>
    </row>
    <row r="41">
      <c r="N41" s="98">
        <f>IFERROR(__xludf.DUMMYFUNCTION("""COMPUTED_VALUE"""),44075.0)</f>
        <v>44075</v>
      </c>
      <c r="O41" s="96" t="str">
        <f>IFERROR(__xludf.DUMMYFUNCTION("""COMPUTED_VALUE"""),"PALOS/NELSON")</f>
        <v>PALOS/NELSON</v>
      </c>
      <c r="P41" s="96">
        <f>IFERROR(__xludf.DUMMYFUNCTION("""COMPUTED_VALUE"""),194.0)</f>
        <v>194</v>
      </c>
      <c r="Q41" s="96">
        <f>IFERROR(__xludf.DUMMYFUNCTION("""COMPUTED_VALUE"""),3.0)</f>
        <v>3</v>
      </c>
      <c r="R41" s="96">
        <f>IFERROR(__xludf.DUMMYFUNCTION("""COMPUTED_VALUE"""),0.0)</f>
        <v>0</v>
      </c>
      <c r="S41" s="99">
        <f>IFERROR(__xludf.DUMMYFUNCTION("""COMPUTED_VALUE"""),823.83)</f>
        <v>823.83</v>
      </c>
      <c r="T41" s="96">
        <f>IFERROR(__xludf.DUMMYFUNCTION("""COMPUTED_VALUE"""),3.0)</f>
        <v>3</v>
      </c>
      <c r="U41" s="96">
        <f>IFERROR(__xludf.DUMMYFUNCTION("""COMPUTED_VALUE"""),1.0)</f>
        <v>1</v>
      </c>
      <c r="V41" s="100">
        <f>IFERROR(__xludf.DUMMYFUNCTION("""COMPUTED_VALUE"""),159000.0)</f>
        <v>159000</v>
      </c>
    </row>
    <row r="42">
      <c r="N42" s="98">
        <f>IFERROR(__xludf.DUMMYFUNCTION("""COMPUTED_VALUE"""),44075.0)</f>
        <v>44075</v>
      </c>
      <c r="O42" s="96" t="str">
        <f>IFERROR(__xludf.DUMMYFUNCTION("""COMPUTED_VALUE"""),"OKONG")</f>
        <v>OKONG</v>
      </c>
      <c r="P42" s="96">
        <f>IFERROR(__xludf.DUMMYFUNCTION("""COMPUTED_VALUE"""),24.0)</f>
        <v>24</v>
      </c>
      <c r="Q42" s="96"/>
      <c r="R42" s="96"/>
      <c r="S42" s="99">
        <f>IFERROR(__xludf.DUMMYFUNCTION("""COMPUTED_VALUE"""),850.0)</f>
        <v>850</v>
      </c>
      <c r="T42" s="96">
        <f>IFERROR(__xludf.DUMMYFUNCTION("""COMPUTED_VALUE"""),0.0)</f>
        <v>0</v>
      </c>
      <c r="U42" s="96">
        <f>IFERROR(__xludf.DUMMYFUNCTION("""COMPUTED_VALUE"""),24.0)</f>
        <v>24</v>
      </c>
      <c r="V42" s="100">
        <f>IFERROR(__xludf.DUMMYFUNCTION("""COMPUTED_VALUE"""),20400.0)</f>
        <v>20400</v>
      </c>
    </row>
    <row r="43">
      <c r="N43" s="98">
        <f>IFERROR(__xludf.DUMMYFUNCTION("""COMPUTED_VALUE"""),44075.0)</f>
        <v>44075</v>
      </c>
      <c r="O43" s="96" t="str">
        <f>IFERROR(__xludf.DUMMYFUNCTION("""COMPUTED_VALUE"""),"ONG ONG")</f>
        <v>ONG ONG</v>
      </c>
      <c r="P43" s="96">
        <f>IFERROR(__xludf.DUMMYFUNCTION("""COMPUTED_VALUE"""),120.0)</f>
        <v>120</v>
      </c>
      <c r="Q43" s="96"/>
      <c r="R43" s="96"/>
      <c r="S43" s="99">
        <f>IFERROR(__xludf.DUMMYFUNCTION("""COMPUTED_VALUE"""),781.82)</f>
        <v>781.82</v>
      </c>
      <c r="T43" s="96">
        <f>IFERROR(__xludf.DUMMYFUNCTION("""COMPUTED_VALUE"""),1.0)</f>
        <v>1</v>
      </c>
      <c r="U43" s="96">
        <f>IFERROR(__xludf.DUMMYFUNCTION("""COMPUTED_VALUE"""),57.0)</f>
        <v>57</v>
      </c>
      <c r="V43" s="100">
        <f>IFERROR(__xludf.DUMMYFUNCTION("""COMPUTED_VALUE"""),94600.0)</f>
        <v>94600</v>
      </c>
    </row>
    <row r="44">
      <c r="N44" s="98">
        <f>IFERROR(__xludf.DUMMYFUNCTION("""COMPUTED_VALUE"""),44077.0)</f>
        <v>44077</v>
      </c>
      <c r="O44" s="96" t="str">
        <f>IFERROR(__xludf.DUMMYFUNCTION("""COMPUTED_VALUE"""),"ABANG. CONFIDENCE")</f>
        <v>ABANG. CONFIDENCE</v>
      </c>
      <c r="P44" s="96">
        <f>IFERROR(__xludf.DUMMYFUNCTION("""COMPUTED_VALUE"""),37.0)</f>
        <v>37</v>
      </c>
      <c r="Q44" s="96"/>
      <c r="R44" s="96">
        <f>IFERROR(__xludf.DUMMYFUNCTION("""COMPUTED_VALUE"""),2.0)</f>
        <v>2</v>
      </c>
      <c r="S44" s="99">
        <f>IFERROR(__xludf.DUMMYFUNCTION("""COMPUTED_VALUE"""),885.71)</f>
        <v>885.71</v>
      </c>
      <c r="T44" s="96">
        <f>IFERROR(__xludf.DUMMYFUNCTION("""COMPUTED_VALUE"""),0.0)</f>
        <v>0</v>
      </c>
      <c r="U44" s="96">
        <f>IFERROR(__xludf.DUMMYFUNCTION("""COMPUTED_VALUE"""),35.0)</f>
        <v>35</v>
      </c>
      <c r="V44" s="100">
        <f>IFERROR(__xludf.DUMMYFUNCTION("""COMPUTED_VALUE"""),31000.0)</f>
        <v>31000</v>
      </c>
    </row>
    <row r="45">
      <c r="N45" s="98"/>
      <c r="O45" s="96"/>
      <c r="P45" s="96"/>
      <c r="Q45" s="96"/>
      <c r="R45" s="96"/>
      <c r="S45" s="99"/>
      <c r="T45" s="96"/>
      <c r="U45" s="96"/>
      <c r="V45" s="100"/>
    </row>
    <row r="46">
      <c r="N46" s="98">
        <f>IFERROR(__xludf.DUMMYFUNCTION("""COMPUTED_VALUE"""),44079.0)</f>
        <v>44079</v>
      </c>
      <c r="O46" s="96" t="str">
        <f>IFERROR(__xludf.DUMMYFUNCTION("""COMPUTED_VALUE"""),"A.D. FREDERICK")</f>
        <v>A.D. FREDERICK</v>
      </c>
      <c r="P46" s="96">
        <f>IFERROR(__xludf.DUMMYFUNCTION("""COMPUTED_VALUE"""),35.0)</f>
        <v>35</v>
      </c>
      <c r="Q46" s="96">
        <f>IFERROR(__xludf.DUMMYFUNCTION("""COMPUTED_VALUE"""),1.0)</f>
        <v>1</v>
      </c>
      <c r="R46" s="96"/>
      <c r="S46" s="99">
        <f>IFERROR(__xludf.DUMMYFUNCTION("""COMPUTED_VALUE"""),838.24)</f>
        <v>838.24</v>
      </c>
      <c r="T46" s="96">
        <f>IFERROR(__xludf.DUMMYFUNCTION("""COMPUTED_VALUE"""),0.0)</f>
        <v>0</v>
      </c>
      <c r="U46" s="96">
        <f>IFERROR(__xludf.DUMMYFUNCTION("""COMPUTED_VALUE"""),34.0)</f>
        <v>34</v>
      </c>
      <c r="V46" s="100">
        <f>IFERROR(__xludf.DUMMYFUNCTION("""COMPUTED_VALUE"""),28500.0)</f>
        <v>28500</v>
      </c>
    </row>
    <row r="47">
      <c r="N47" s="98">
        <f>IFERROR(__xludf.DUMMYFUNCTION("""COMPUTED_VALUE"""),44081.0)</f>
        <v>44081</v>
      </c>
      <c r="O47" s="96" t="str">
        <f>IFERROR(__xludf.DUMMYFUNCTION("""COMPUTED_VALUE"""),"ABANG. TIWA HNSON")</f>
        <v>ABANG. TIWA HNSON</v>
      </c>
      <c r="P47" s="96">
        <f>IFERROR(__xludf.DUMMYFUNCTION("""COMPUTED_VALUE"""),374.0)</f>
        <v>374</v>
      </c>
      <c r="Q47" s="96"/>
      <c r="R47" s="96"/>
      <c r="S47" s="99">
        <f>IFERROR(__xludf.DUMMYFUNCTION("""COMPUTED_VALUE"""),790.24)</f>
        <v>790.24</v>
      </c>
      <c r="T47" s="96">
        <f>IFERROR(__xludf.DUMMYFUNCTION("""COMPUTED_VALUE"""),5.0)</f>
        <v>5</v>
      </c>
      <c r="U47" s="96">
        <f>IFERROR(__xludf.DUMMYFUNCTION("""COMPUTED_VALUE"""),59.0)</f>
        <v>59</v>
      </c>
      <c r="V47" s="100">
        <f>IFERROR(__xludf.DUMMYFUNCTION("""COMPUTED_VALUE"""),299500.0)</f>
        <v>299500</v>
      </c>
    </row>
    <row r="48">
      <c r="N48" s="98">
        <f>IFERROR(__xludf.DUMMYFUNCTION("""COMPUTED_VALUE"""),44086.0)</f>
        <v>44086</v>
      </c>
      <c r="O48" s="96" t="str">
        <f>IFERROR(__xludf.DUMMYFUNCTION("""COMPUTED_VALUE"""),"ABANG. CONFIDENCE")</f>
        <v>ABANG. CONFIDENCE</v>
      </c>
      <c r="P48" s="96">
        <f>IFERROR(__xludf.DUMMYFUNCTION("""COMPUTED_VALUE"""),179.0)</f>
        <v>179</v>
      </c>
      <c r="Q48" s="96">
        <f>IFERROR(__xludf.DUMMYFUNCTION("""COMPUTED_VALUE"""),3.0)</f>
        <v>3</v>
      </c>
      <c r="R48" s="96"/>
      <c r="S48" s="99">
        <f>IFERROR(__xludf.DUMMYFUNCTION("""COMPUTED_VALUE"""),840.45)</f>
        <v>840.45</v>
      </c>
      <c r="T48" s="96">
        <f>IFERROR(__xludf.DUMMYFUNCTION("""COMPUTED_VALUE"""),2.0)</f>
        <v>2</v>
      </c>
      <c r="U48" s="96">
        <f>IFERROR(__xludf.DUMMYFUNCTION("""COMPUTED_VALUE"""),50.0)</f>
        <v>50</v>
      </c>
      <c r="V48" s="100">
        <f>IFERROR(__xludf.DUMMYFUNCTION("""COMPUTED_VALUE"""),149600.0)</f>
        <v>149600</v>
      </c>
    </row>
    <row r="49">
      <c r="N49" s="98">
        <f>IFERROR(__xludf.DUMMYFUNCTION("""COMPUTED_VALUE"""),44088.0)</f>
        <v>44088</v>
      </c>
      <c r="O49" s="96" t="str">
        <f>IFERROR(__xludf.DUMMYFUNCTION("""COMPUTED_VALUE"""),"ABANG. CHINWE")</f>
        <v>ABANG. CHINWE</v>
      </c>
      <c r="P49" s="96">
        <f>IFERROR(__xludf.DUMMYFUNCTION("""COMPUTED_VALUE"""),147.0)</f>
        <v>147</v>
      </c>
      <c r="Q49" s="96"/>
      <c r="R49" s="96"/>
      <c r="S49" s="99">
        <f>IFERROR(__xludf.DUMMYFUNCTION("""COMPUTED_VALUE"""),1320.81)</f>
        <v>1320.81</v>
      </c>
      <c r="T49" s="96">
        <f>IFERROR(__xludf.DUMMYFUNCTION("""COMPUTED_VALUE"""),2.0)</f>
        <v>2</v>
      </c>
      <c r="U49" s="96">
        <f>IFERROR(__xludf.DUMMYFUNCTION("""COMPUTED_VALUE"""),21.0)</f>
        <v>21</v>
      </c>
      <c r="V49" s="100">
        <f>IFERROR(__xludf.DUMMYFUNCTION("""COMPUTED_VALUE"""),196800.0)</f>
        <v>196800</v>
      </c>
    </row>
    <row r="50">
      <c r="N50" s="98">
        <f>IFERROR(__xludf.DUMMYFUNCTION("""COMPUTED_VALUE"""),44088.0)</f>
        <v>44088</v>
      </c>
      <c r="O50" s="96" t="str">
        <f>IFERROR(__xludf.DUMMYFUNCTION("""COMPUTED_VALUE"""),"DADDY")</f>
        <v>DADDY</v>
      </c>
      <c r="P50" s="96">
        <f>IFERROR(__xludf.DUMMYFUNCTION("""COMPUTED_VALUE"""),138.0)</f>
        <v>138</v>
      </c>
      <c r="Q50" s="96"/>
      <c r="R50" s="96"/>
      <c r="S50" s="99">
        <f>IFERROR(__xludf.DUMMYFUNCTION("""COMPUTED_VALUE"""),846.43)</f>
        <v>846.43</v>
      </c>
      <c r="T50" s="96">
        <f>IFERROR(__xludf.DUMMYFUNCTION("""COMPUTED_VALUE"""),2.0)</f>
        <v>2</v>
      </c>
      <c r="U50" s="96">
        <f>IFERROR(__xludf.DUMMYFUNCTION("""COMPUTED_VALUE"""),12.0)</f>
        <v>12</v>
      </c>
      <c r="V50" s="100">
        <f>IFERROR(__xludf.DUMMYFUNCTION("""COMPUTED_VALUE"""),118500.0)</f>
        <v>118500</v>
      </c>
    </row>
    <row r="51">
      <c r="N51" s="98">
        <f>IFERROR(__xludf.DUMMYFUNCTION("""COMPUTED_VALUE"""),44090.0)</f>
        <v>44090</v>
      </c>
      <c r="O51" s="96" t="str">
        <f>IFERROR(__xludf.DUMMYFUNCTION("""COMPUTED_VALUE"""),"ASHENTEE")</f>
        <v>ASHENTEE</v>
      </c>
      <c r="P51" s="96">
        <f>IFERROR(__xludf.DUMMYFUNCTION("""COMPUTED_VALUE"""),375.0)</f>
        <v>375</v>
      </c>
      <c r="Q51" s="96">
        <f>IFERROR(__xludf.DUMMYFUNCTION("""COMPUTED_VALUE"""),7.0)</f>
        <v>7</v>
      </c>
      <c r="R51" s="96">
        <f>IFERROR(__xludf.DUMMYFUNCTION("""COMPUTED_VALUE"""),52.0)</f>
        <v>52</v>
      </c>
      <c r="S51" s="99">
        <f>IFERROR(__xludf.DUMMYFUNCTION("""COMPUTED_VALUE"""),986.88)</f>
        <v>986.88</v>
      </c>
      <c r="T51" s="96">
        <f>IFERROR(__xludf.DUMMYFUNCTION("""COMPUTED_VALUE"""),5.0)</f>
        <v>5</v>
      </c>
      <c r="U51" s="96">
        <f>IFERROR(__xludf.DUMMYFUNCTION("""COMPUTED_VALUE"""),0.0)</f>
        <v>0</v>
      </c>
      <c r="V51" s="100">
        <f>IFERROR(__xludf.DUMMYFUNCTION("""COMPUTED_VALUE"""),315800.0)</f>
        <v>315800</v>
      </c>
    </row>
    <row r="52">
      <c r="N52" s="98">
        <f>IFERROR(__xludf.DUMMYFUNCTION("""COMPUTED_VALUE"""),44092.0)</f>
        <v>44092</v>
      </c>
      <c r="O52" s="96" t="str">
        <f>IFERROR(__xludf.DUMMYFUNCTION("""COMPUTED_VALUE"""),"ABANG. CONFIDENCE")</f>
        <v>ABANG. CONFIDENCE</v>
      </c>
      <c r="P52" s="96">
        <f>IFERROR(__xludf.DUMMYFUNCTION("""COMPUTED_VALUE"""),270.0)</f>
        <v>270</v>
      </c>
      <c r="Q52" s="96">
        <f>IFERROR(__xludf.DUMMYFUNCTION("""COMPUTED_VALUE"""),4.0)</f>
        <v>4</v>
      </c>
      <c r="R52" s="96">
        <f>IFERROR(__xludf.DUMMYFUNCTION("""COMPUTED_VALUE"""),21.0)</f>
        <v>21</v>
      </c>
      <c r="S52" s="99">
        <f>IFERROR(__xludf.DUMMYFUNCTION("""COMPUTED_VALUE"""),385.48)</f>
        <v>385.48</v>
      </c>
      <c r="T52" s="96">
        <f>IFERROR(__xludf.DUMMYFUNCTION("""COMPUTED_VALUE"""),3.0)</f>
        <v>3</v>
      </c>
      <c r="U52" s="96">
        <f>IFERROR(__xludf.DUMMYFUNCTION("""COMPUTED_VALUE"""),56.0)</f>
        <v>56</v>
      </c>
      <c r="V52" s="100">
        <f>IFERROR(__xludf.DUMMYFUNCTION("""COMPUTED_VALUE"""),95600.0)</f>
        <v>95600</v>
      </c>
    </row>
    <row r="53">
      <c r="N53" s="98">
        <f>IFERROR(__xludf.DUMMYFUNCTION("""COMPUTED_VALUE"""),44095.0)</f>
        <v>44095</v>
      </c>
      <c r="O53" s="96" t="str">
        <f>IFERROR(__xludf.DUMMYFUNCTION("""COMPUTED_VALUE"""),"CHELECHI")</f>
        <v>CHELECHI</v>
      </c>
      <c r="P53" s="96">
        <f>IFERROR(__xludf.DUMMYFUNCTION("""COMPUTED_VALUE"""),135.0)</f>
        <v>135</v>
      </c>
      <c r="Q53" s="96">
        <f>IFERROR(__xludf.DUMMYFUNCTION("""COMPUTED_VALUE"""),2.0)</f>
        <v>2</v>
      </c>
      <c r="R53" s="96"/>
      <c r="S53" s="99">
        <f>IFERROR(__xludf.DUMMYFUNCTION("""COMPUTED_VALUE"""),885.19)</f>
        <v>885.19</v>
      </c>
      <c r="T53" s="96">
        <f>IFERROR(__xludf.DUMMYFUNCTION("""COMPUTED_VALUE"""),2.0)</f>
        <v>2</v>
      </c>
      <c r="U53" s="96">
        <f>IFERROR(__xludf.DUMMYFUNCTION("""COMPUTED_VALUE"""),7.0)</f>
        <v>7</v>
      </c>
      <c r="V53" s="100">
        <f>IFERROR(__xludf.DUMMYFUNCTION("""COMPUTED_VALUE"""),119500.0)</f>
        <v>119500</v>
      </c>
    </row>
    <row r="54">
      <c r="N54" s="98">
        <f>IFERROR(__xludf.DUMMYFUNCTION("""COMPUTED_VALUE"""),44095.0)</f>
        <v>44095</v>
      </c>
      <c r="O54" s="96" t="str">
        <f>IFERROR(__xludf.DUMMYFUNCTION("""COMPUTED_VALUE"""),"ABANG. HN")</f>
        <v>ABANG. HN</v>
      </c>
      <c r="P54" s="96">
        <f>IFERROR(__xludf.DUMMYFUNCTION("""COMPUTED_VALUE"""),91.0)</f>
        <v>91</v>
      </c>
      <c r="Q54" s="96">
        <f>IFERROR(__xludf.DUMMYFUNCTION("""COMPUTED_VALUE"""),2.0)</f>
        <v>2</v>
      </c>
      <c r="R54" s="96">
        <f>IFERROR(__xludf.DUMMYFUNCTION("""COMPUTED_VALUE"""),8.0)</f>
        <v>8</v>
      </c>
      <c r="S54" s="99">
        <f>IFERROR(__xludf.DUMMYFUNCTION("""COMPUTED_VALUE"""),889.02)</f>
        <v>889.02</v>
      </c>
      <c r="T54" s="96">
        <f>IFERROR(__xludf.DUMMYFUNCTION("""COMPUTED_VALUE"""),1.0)</f>
        <v>1</v>
      </c>
      <c r="U54" s="96">
        <f>IFERROR(__xludf.DUMMYFUNCTION("""COMPUTED_VALUE"""),18.0)</f>
        <v>18</v>
      </c>
      <c r="V54" s="100">
        <f>IFERROR(__xludf.DUMMYFUNCTION("""COMPUTED_VALUE"""),72900.0)</f>
        <v>72900</v>
      </c>
    </row>
    <row r="55">
      <c r="N55" s="98">
        <f>IFERROR(__xludf.DUMMYFUNCTION("""COMPUTED_VALUE"""),44095.0)</f>
        <v>44095</v>
      </c>
      <c r="O55" s="96" t="str">
        <f>IFERROR(__xludf.DUMMYFUNCTION("""COMPUTED_VALUE"""),"ABANG. ORU")</f>
        <v>ABANG. ORU</v>
      </c>
      <c r="P55" s="96">
        <f>IFERROR(__xludf.DUMMYFUNCTION("""COMPUTED_VALUE"""),67.0)</f>
        <v>67</v>
      </c>
      <c r="Q55" s="96">
        <f>IFERROR(__xludf.DUMMYFUNCTION("""COMPUTED_VALUE"""),0.0)</f>
        <v>0</v>
      </c>
      <c r="R55" s="96">
        <f>IFERROR(__xludf.DUMMYFUNCTION("""COMPUTED_VALUE"""),4.0)</f>
        <v>4</v>
      </c>
      <c r="S55" s="99">
        <f>IFERROR(__xludf.DUMMYFUNCTION("""COMPUTED_VALUE"""),865.63)</f>
        <v>865.63</v>
      </c>
      <c r="T55" s="96">
        <f>IFERROR(__xludf.DUMMYFUNCTION("""COMPUTED_VALUE"""),1.0)</f>
        <v>1</v>
      </c>
      <c r="U55" s="96">
        <f>IFERROR(__xludf.DUMMYFUNCTION("""COMPUTED_VALUE"""),0.0)</f>
        <v>0</v>
      </c>
      <c r="V55" s="100">
        <f>IFERROR(__xludf.DUMMYFUNCTION("""COMPUTED_VALUE"""),55400.0)</f>
        <v>55400</v>
      </c>
    </row>
    <row r="56">
      <c r="N56" s="98">
        <f>IFERROR(__xludf.DUMMYFUNCTION("""COMPUTED_VALUE"""),44099.0)</f>
        <v>44099</v>
      </c>
      <c r="O56" s="96" t="str">
        <f>IFERROR(__xludf.DUMMYFUNCTION("""COMPUTED_VALUE"""),"ABANG. KOKOK")</f>
        <v>ABANG. KOKOK</v>
      </c>
      <c r="P56" s="96">
        <f>IFERROR(__xludf.DUMMYFUNCTION("""COMPUTED_VALUE"""),437.0)</f>
        <v>437</v>
      </c>
      <c r="Q56" s="96">
        <f>IFERROR(__xludf.DUMMYFUNCTION("""COMPUTED_VALUE"""),1.0)</f>
        <v>1</v>
      </c>
      <c r="R56" s="96">
        <f>IFERROR(__xludf.DUMMYFUNCTION("""COMPUTED_VALUE"""),24.0)</f>
        <v>24</v>
      </c>
      <c r="S56" s="99">
        <f>IFERROR(__xludf.DUMMYFUNCTION("""COMPUTED_VALUE"""),936.6)</f>
        <v>936.6</v>
      </c>
      <c r="T56" s="96">
        <f>IFERROR(__xludf.DUMMYFUNCTION("""COMPUTED_VALUE"""),6.0)</f>
        <v>6</v>
      </c>
      <c r="U56" s="96">
        <f>IFERROR(__xludf.DUMMYFUNCTION("""COMPUTED_VALUE"""),34.0)</f>
        <v>34</v>
      </c>
      <c r="V56" s="100">
        <f>IFERROR(__xludf.DUMMYFUNCTION("""COMPUTED_VALUE"""),391500.0)</f>
        <v>391500</v>
      </c>
    </row>
    <row r="57">
      <c r="N57" s="98">
        <f>IFERROR(__xludf.DUMMYFUNCTION("""COMPUTED_VALUE"""),44102.0)</f>
        <v>44102</v>
      </c>
      <c r="O57" s="96" t="str">
        <f>IFERROR(__xludf.DUMMYFUNCTION("""COMPUTED_VALUE"""),"NDOMA BODES")</f>
        <v>NDOMA BODES</v>
      </c>
      <c r="P57" s="96">
        <f>IFERROR(__xludf.DUMMYFUNCTION("""COMPUTED_VALUE"""),926.0)</f>
        <v>926</v>
      </c>
      <c r="Q57" s="96">
        <f>IFERROR(__xludf.DUMMYFUNCTION("""COMPUTED_VALUE"""),15.0)</f>
        <v>15</v>
      </c>
      <c r="R57" s="96"/>
      <c r="S57" s="99">
        <f>IFERROR(__xludf.DUMMYFUNCTION("""COMPUTED_VALUE"""),936.0)</f>
        <v>936</v>
      </c>
      <c r="T57" s="96">
        <f>IFERROR(__xludf.DUMMYFUNCTION("""COMPUTED_VALUE"""),14.0)</f>
        <v>14</v>
      </c>
      <c r="U57" s="96">
        <f>IFERROR(__xludf.DUMMYFUNCTION("""COMPUTED_VALUE"""),29.0)</f>
        <v>29</v>
      </c>
      <c r="V57" s="100">
        <f>IFERROR(__xludf.DUMMYFUNCTION("""COMPUTED_VALUE"""),865800.0)</f>
        <v>865800</v>
      </c>
    </row>
    <row r="58">
      <c r="N58" s="98">
        <f>IFERROR(__xludf.DUMMYFUNCTION("""COMPUTED_VALUE"""),44103.0)</f>
        <v>44103</v>
      </c>
      <c r="O58" s="96" t="str">
        <f>IFERROR(__xludf.DUMMYFUNCTION("""COMPUTED_VALUE"""),"ABANG. HN")</f>
        <v>ABANG. HN</v>
      </c>
      <c r="P58" s="96">
        <f>IFERROR(__xludf.DUMMYFUNCTION("""COMPUTED_VALUE"""),22.0)</f>
        <v>22</v>
      </c>
      <c r="Q58" s="96">
        <f>IFERROR(__xludf.DUMMYFUNCTION("""COMPUTED_VALUE"""),0.0)</f>
        <v>0</v>
      </c>
      <c r="R58" s="96">
        <f>IFERROR(__xludf.DUMMYFUNCTION("""COMPUTED_VALUE"""),0.0)</f>
        <v>0</v>
      </c>
      <c r="S58" s="99">
        <f>IFERROR(__xludf.DUMMYFUNCTION("""COMPUTED_VALUE"""),950.0)</f>
        <v>950</v>
      </c>
      <c r="T58" s="96">
        <f>IFERROR(__xludf.DUMMYFUNCTION("""COMPUTED_VALUE"""),0.0)</f>
        <v>0</v>
      </c>
      <c r="U58" s="96">
        <f>IFERROR(__xludf.DUMMYFUNCTION("""COMPUTED_VALUE"""),22.0)</f>
        <v>22</v>
      </c>
      <c r="V58" s="100">
        <f>IFERROR(__xludf.DUMMYFUNCTION("""COMPUTED_VALUE"""),20900.0)</f>
        <v>20900</v>
      </c>
    </row>
    <row r="59">
      <c r="N59" s="98">
        <f>IFERROR(__xludf.DUMMYFUNCTION("""COMPUTED_VALUE"""),44103.0)</f>
        <v>44103</v>
      </c>
      <c r="O59" s="96" t="str">
        <f>IFERROR(__xludf.DUMMYFUNCTION("""COMPUTED_VALUE"""),"DOC. AYANG")</f>
        <v>DOC. AYANG</v>
      </c>
      <c r="P59" s="96">
        <f>IFERROR(__xludf.DUMMYFUNCTION("""COMPUTED_VALUE"""),182.0)</f>
        <v>182</v>
      </c>
      <c r="Q59" s="96"/>
      <c r="R59" s="96">
        <f>IFERROR(__xludf.DUMMYFUNCTION("""COMPUTED_VALUE"""),16.0)</f>
        <v>16</v>
      </c>
      <c r="S59" s="99">
        <f>IFERROR(__xludf.DUMMYFUNCTION("""COMPUTED_VALUE"""),908.93)</f>
        <v>908.93</v>
      </c>
      <c r="T59" s="96">
        <f>IFERROR(__xludf.DUMMYFUNCTION("""COMPUTED_VALUE"""),2.0)</f>
        <v>2</v>
      </c>
      <c r="U59" s="96">
        <f>IFERROR(__xludf.DUMMYFUNCTION("""COMPUTED_VALUE"""),40.0)</f>
        <v>40</v>
      </c>
      <c r="V59" s="100">
        <f>IFERROR(__xludf.DUMMYFUNCTION("""COMPUTED_VALUE"""),152700.0)</f>
        <v>152700</v>
      </c>
    </row>
    <row r="60">
      <c r="N60" s="98">
        <f>IFERROR(__xludf.DUMMYFUNCTION("""COMPUTED_VALUE"""),44104.0)</f>
        <v>44104</v>
      </c>
      <c r="O60" s="96" t="str">
        <f>IFERROR(__xludf.DUMMYFUNCTION("""COMPUTED_VALUE"""),"ABANG. SUNNY")</f>
        <v>ABANG. SUNNY</v>
      </c>
      <c r="P60" s="96">
        <f>IFERROR(__xludf.DUMMYFUNCTION("""COMPUTED_VALUE"""),31.0)</f>
        <v>31</v>
      </c>
      <c r="Q60" s="96"/>
      <c r="R60" s="96">
        <f>IFERROR(__xludf.DUMMYFUNCTION("""COMPUTED_VALUE"""),1.0)</f>
        <v>1</v>
      </c>
      <c r="S60" s="99">
        <f>IFERROR(__xludf.DUMMYFUNCTION("""COMPUTED_VALUE"""),950.0)</f>
        <v>950</v>
      </c>
      <c r="T60" s="96">
        <f>IFERROR(__xludf.DUMMYFUNCTION("""COMPUTED_VALUE"""),0.0)</f>
        <v>0</v>
      </c>
      <c r="U60" s="96">
        <f>IFERROR(__xludf.DUMMYFUNCTION("""COMPUTED_VALUE"""),30.0)</f>
        <v>30</v>
      </c>
      <c r="V60" s="100">
        <f>IFERROR(__xludf.DUMMYFUNCTION("""COMPUTED_VALUE"""),28500.0)</f>
        <v>28500</v>
      </c>
    </row>
    <row r="61">
      <c r="N61" s="98">
        <f>IFERROR(__xludf.DUMMYFUNCTION("""COMPUTED_VALUE"""),44104.0)</f>
        <v>44104</v>
      </c>
      <c r="O61" s="96" t="str">
        <f>IFERROR(__xludf.DUMMYFUNCTION("""COMPUTED_VALUE"""),"EMMANUEL")</f>
        <v>EMMANUEL</v>
      </c>
      <c r="P61" s="96">
        <f>IFERROR(__xludf.DUMMYFUNCTION("""COMPUTED_VALUE"""),130.0)</f>
        <v>130</v>
      </c>
      <c r="Q61" s="96">
        <f>IFERROR(__xludf.DUMMYFUNCTION("""COMPUTED_VALUE"""),2.0)</f>
        <v>2</v>
      </c>
      <c r="R61" s="96"/>
      <c r="S61" s="99">
        <f>IFERROR(__xludf.DUMMYFUNCTION("""COMPUTED_VALUE"""),976.74)</f>
        <v>976.74</v>
      </c>
      <c r="T61" s="96">
        <f>IFERROR(__xludf.DUMMYFUNCTION("""COMPUTED_VALUE"""),2.0)</f>
        <v>2</v>
      </c>
      <c r="U61" s="96">
        <f>IFERROR(__xludf.DUMMYFUNCTION("""COMPUTED_VALUE"""),1.0)</f>
        <v>1</v>
      </c>
      <c r="V61" s="100">
        <f>IFERROR(__xludf.DUMMYFUNCTION("""COMPUTED_VALUE"""),126000.0)</f>
        <v>126000</v>
      </c>
    </row>
    <row r="62">
      <c r="N62" s="98">
        <f>IFERROR(__xludf.DUMMYFUNCTION("""COMPUTED_VALUE"""),44103.0)</f>
        <v>44103</v>
      </c>
      <c r="O62" s="96" t="str">
        <f>IFERROR(__xludf.DUMMYFUNCTION("""COMPUTED_VALUE"""),"TINA")</f>
        <v>TINA</v>
      </c>
      <c r="P62" s="96">
        <f>IFERROR(__xludf.DUMMYFUNCTION("""COMPUTED_VALUE"""),5.0)</f>
        <v>5</v>
      </c>
      <c r="Q62" s="96"/>
      <c r="R62" s="96"/>
      <c r="S62" s="99">
        <f>IFERROR(__xludf.DUMMYFUNCTION("""COMPUTED_VALUE"""),600.0)</f>
        <v>600</v>
      </c>
      <c r="T62" s="96">
        <f>IFERROR(__xludf.DUMMYFUNCTION("""COMPUTED_VALUE"""),0.0)</f>
        <v>0</v>
      </c>
      <c r="U62" s="96">
        <f>IFERROR(__xludf.DUMMYFUNCTION("""COMPUTED_VALUE"""),5.0)</f>
        <v>5</v>
      </c>
      <c r="V62" s="100">
        <f>IFERROR(__xludf.DUMMYFUNCTION("""COMPUTED_VALUE"""),3000.0)</f>
        <v>3000</v>
      </c>
    </row>
    <row r="63">
      <c r="N63" s="98">
        <f>IFERROR(__xludf.DUMMYFUNCTION("""COMPUTED_VALUE"""),44103.0)</f>
        <v>44103</v>
      </c>
      <c r="O63" s="96" t="str">
        <f>IFERROR(__xludf.DUMMYFUNCTION("""COMPUTED_VALUE"""),"ABANG. OBIM")</f>
        <v>ABANG. OBIM</v>
      </c>
      <c r="P63" s="96">
        <f>IFERROR(__xludf.DUMMYFUNCTION("""COMPUTED_VALUE"""),114.0)</f>
        <v>114</v>
      </c>
      <c r="Q63" s="96"/>
      <c r="R63" s="96"/>
      <c r="S63" s="99">
        <f>IFERROR(__xludf.DUMMYFUNCTION("""COMPUTED_VALUE"""),913.04)</f>
        <v>913.04</v>
      </c>
      <c r="T63" s="96">
        <f>IFERROR(__xludf.DUMMYFUNCTION("""COMPUTED_VALUE"""),1.0)</f>
        <v>1</v>
      </c>
      <c r="U63" s="96">
        <f>IFERROR(__xludf.DUMMYFUNCTION("""COMPUTED_VALUE"""),51.0)</f>
        <v>51</v>
      </c>
      <c r="V63" s="100">
        <f>IFERROR(__xludf.DUMMYFUNCTION("""COMPUTED_VALUE"""),105000.0)</f>
        <v>105000</v>
      </c>
    </row>
    <row r="64">
      <c r="N64" s="98">
        <f>IFERROR(__xludf.DUMMYFUNCTION("""COMPUTED_VALUE"""),44105.0)</f>
        <v>44105</v>
      </c>
      <c r="O64" s="96" t="str">
        <f>IFERROR(__xludf.DUMMYFUNCTION("""COMPUTED_VALUE"""),"ONG")</f>
        <v>ONG</v>
      </c>
      <c r="P64" s="96">
        <f>IFERROR(__xludf.DUMMYFUNCTION("""COMPUTED_VALUE"""),55.0)</f>
        <v>55</v>
      </c>
      <c r="Q64" s="96">
        <f>IFERROR(__xludf.DUMMYFUNCTION("""COMPUTED_VALUE"""),1.0)</f>
        <v>1</v>
      </c>
      <c r="R64" s="96">
        <f>IFERROR(__xludf.DUMMYFUNCTION("""COMPUTED_VALUE"""),0.0)</f>
        <v>0</v>
      </c>
      <c r="S64" s="99">
        <f>IFERROR(__xludf.DUMMYFUNCTION("""COMPUTED_VALUE"""),950.0)</f>
        <v>950</v>
      </c>
      <c r="T64" s="96">
        <f>IFERROR(__xludf.DUMMYFUNCTION("""COMPUTED_VALUE"""),0.0)</f>
        <v>0</v>
      </c>
      <c r="U64" s="96">
        <f>IFERROR(__xludf.DUMMYFUNCTION("""COMPUTED_VALUE"""),54.0)</f>
        <v>54</v>
      </c>
      <c r="V64" s="100">
        <f>IFERROR(__xludf.DUMMYFUNCTION("""COMPUTED_VALUE"""),51300.0)</f>
        <v>51300</v>
      </c>
    </row>
    <row r="65">
      <c r="N65" s="98">
        <f>IFERROR(__xludf.DUMMYFUNCTION("""COMPUTED_VALUE"""),44106.0)</f>
        <v>44106</v>
      </c>
      <c r="O65" s="96" t="str">
        <f>IFERROR(__xludf.DUMMYFUNCTION("""COMPUTED_VALUE"""),"DIRECTOR FRIEND")</f>
        <v>DIRECTOR FRIEND</v>
      </c>
      <c r="P65" s="96">
        <f>IFERROR(__xludf.DUMMYFUNCTION("""COMPUTED_VALUE"""),183.0)</f>
        <v>183</v>
      </c>
      <c r="Q65" s="96">
        <f>IFERROR(__xludf.DUMMYFUNCTION("""COMPUTED_VALUE"""),3.0)</f>
        <v>3</v>
      </c>
      <c r="R65" s="96">
        <f>IFERROR(__xludf.DUMMYFUNCTION("""COMPUTED_VALUE"""),0.0)</f>
        <v>0</v>
      </c>
      <c r="S65" s="99">
        <f>IFERROR(__xludf.DUMMYFUNCTION("""COMPUTED_VALUE"""),920.33)</f>
        <v>920.33</v>
      </c>
      <c r="T65" s="96">
        <f>IFERROR(__xludf.DUMMYFUNCTION("""COMPUTED_VALUE"""),2.0)</f>
        <v>2</v>
      </c>
      <c r="U65" s="96">
        <f>IFERROR(__xludf.DUMMYFUNCTION("""COMPUTED_VALUE"""),54.0)</f>
        <v>54</v>
      </c>
      <c r="V65" s="100">
        <f>IFERROR(__xludf.DUMMYFUNCTION("""COMPUTED_VALUE"""),167500.0)</f>
        <v>167500</v>
      </c>
    </row>
    <row r="66">
      <c r="N66" s="98">
        <f>IFERROR(__xludf.DUMMYFUNCTION("""COMPUTED_VALUE"""),44109.0)</f>
        <v>44109</v>
      </c>
      <c r="O66" s="96" t="str">
        <f>IFERROR(__xludf.DUMMYFUNCTION("""COMPUTED_VALUE"""),"BENJAMIN BENSONG")</f>
        <v>BENJAMIN BENSONG</v>
      </c>
      <c r="P66" s="96">
        <f>IFERROR(__xludf.DUMMYFUNCTION("""COMPUTED_VALUE"""),115.0)</f>
        <v>115</v>
      </c>
      <c r="Q66" s="96">
        <f>IFERROR(__xludf.DUMMYFUNCTION("""COMPUTED_VALUE"""),2.0)</f>
        <v>2</v>
      </c>
      <c r="R66" s="96"/>
      <c r="S66" s="99"/>
      <c r="T66" s="96"/>
      <c r="U66" s="96"/>
      <c r="V66" s="100">
        <f>IFERROR(__xludf.DUMMYFUNCTION("""COMPUTED_VALUE"""),107300.0)</f>
        <v>107300</v>
      </c>
    </row>
    <row r="67">
      <c r="N67" s="98">
        <f>IFERROR(__xludf.DUMMYFUNCTION("""COMPUTED_VALUE"""),44109.0)</f>
        <v>44109</v>
      </c>
      <c r="O67" s="96" t="str">
        <f>IFERROR(__xludf.DUMMYFUNCTION("""COMPUTED_VALUE"""),"OSOWOCHI CLEMENT")</f>
        <v>OSOWOCHI CLEMENT</v>
      </c>
      <c r="P67" s="96">
        <f>IFERROR(__xludf.DUMMYFUNCTION("""COMPUTED_VALUE"""),242.0)</f>
        <v>242</v>
      </c>
      <c r="Q67" s="96">
        <f>IFERROR(__xludf.DUMMYFUNCTION("""COMPUTED_VALUE"""),4.0)</f>
        <v>4</v>
      </c>
      <c r="R67" s="96"/>
      <c r="S67" s="99"/>
      <c r="T67" s="96"/>
      <c r="U67" s="96"/>
      <c r="V67" s="100">
        <f>IFERROR(__xludf.DUMMYFUNCTION("""COMPUTED_VALUE"""),230800.0)</f>
        <v>230800</v>
      </c>
    </row>
    <row r="68">
      <c r="N68" s="98">
        <f>IFERROR(__xludf.DUMMYFUNCTION("""COMPUTED_VALUE"""),44109.0)</f>
        <v>44109</v>
      </c>
      <c r="O68" s="96" t="str">
        <f>IFERROR(__xludf.DUMMYFUNCTION("""COMPUTED_VALUE"""),"DANIEL AKPAN")</f>
        <v>DANIEL AKPAN</v>
      </c>
      <c r="P68" s="96">
        <f>IFERROR(__xludf.DUMMYFUNCTION("""COMPUTED_VALUE"""),325.0)</f>
        <v>325</v>
      </c>
      <c r="Q68" s="96">
        <f>IFERROR(__xludf.DUMMYFUNCTION("""COMPUTED_VALUE"""),5.0)</f>
        <v>5</v>
      </c>
      <c r="R68" s="96"/>
      <c r="S68" s="99"/>
      <c r="T68" s="96"/>
      <c r="U68" s="96"/>
      <c r="V68" s="100">
        <f>IFERROR(__xludf.DUMMYFUNCTION("""COMPUTED_VALUE"""),205700.0)</f>
        <v>205700</v>
      </c>
    </row>
    <row r="69">
      <c r="N69" s="98">
        <f>IFERROR(__xludf.DUMMYFUNCTION("""COMPUTED_VALUE"""),44109.0)</f>
        <v>44109</v>
      </c>
      <c r="O69" s="96" t="str">
        <f>IFERROR(__xludf.DUMMYFUNCTION("""COMPUTED_VALUE"""),"MIKA")</f>
        <v>MIKA</v>
      </c>
      <c r="P69" s="96">
        <f>IFERROR(__xludf.DUMMYFUNCTION("""COMPUTED_VALUE"""),41.0)</f>
        <v>41</v>
      </c>
      <c r="Q69" s="96"/>
      <c r="R69" s="96">
        <f>IFERROR(__xludf.DUMMYFUNCTION("""COMPUTED_VALUE"""),16.0)</f>
        <v>16</v>
      </c>
      <c r="S69" s="99"/>
      <c r="T69" s="96"/>
      <c r="U69" s="96"/>
      <c r="V69" s="100">
        <f>IFERROR(__xludf.DUMMYFUNCTION("""COMPUTED_VALUE"""),20500.0)</f>
        <v>20500</v>
      </c>
    </row>
    <row r="70">
      <c r="N70" s="98">
        <f>IFERROR(__xludf.DUMMYFUNCTION("""COMPUTED_VALUE"""),44110.0)</f>
        <v>44110</v>
      </c>
      <c r="O70" s="96" t="str">
        <f>IFERROR(__xludf.DUMMYFUNCTION("""COMPUTED_VALUE"""),"ODI MBEH")</f>
        <v>ODI MBEH</v>
      </c>
      <c r="P70" s="96">
        <f>IFERROR(__xludf.DUMMYFUNCTION("""COMPUTED_VALUE"""),222.0)</f>
        <v>222</v>
      </c>
      <c r="Q70" s="96">
        <f>IFERROR(__xludf.DUMMYFUNCTION("""COMPUTED_VALUE"""),3.0)</f>
        <v>3</v>
      </c>
      <c r="R70" s="96">
        <f>IFERROR(__xludf.DUMMYFUNCTION("""COMPUTED_VALUE"""),12.0)</f>
        <v>12</v>
      </c>
      <c r="S70" s="99">
        <f>IFERROR(__xludf.DUMMYFUNCTION("""COMPUTED_VALUE"""),745.71)</f>
        <v>745.71</v>
      </c>
      <c r="T70" s="96">
        <f>IFERROR(__xludf.DUMMYFUNCTION("""COMPUTED_VALUE"""),3.0)</f>
        <v>3</v>
      </c>
      <c r="U70" s="96">
        <f>IFERROR(__xludf.DUMMYFUNCTION("""COMPUTED_VALUE"""),18.0)</f>
        <v>18</v>
      </c>
      <c r="V70" s="100">
        <f>IFERROR(__xludf.DUMMYFUNCTION("""COMPUTED_VALUE"""),156600.0)</f>
        <v>156600</v>
      </c>
    </row>
    <row r="71">
      <c r="N71" s="98">
        <f>IFERROR(__xludf.DUMMYFUNCTION("""COMPUTED_VALUE"""),44110.0)</f>
        <v>44110</v>
      </c>
      <c r="O71" s="96" t="str">
        <f>IFERROR(__xludf.DUMMYFUNCTION("""COMPUTED_VALUE"""),"SUNNY")</f>
        <v>SUNNY</v>
      </c>
      <c r="P71" s="96">
        <f>IFERROR(__xludf.DUMMYFUNCTION("""COMPUTED_VALUE"""),130.0)</f>
        <v>130</v>
      </c>
      <c r="Q71" s="96">
        <f>IFERROR(__xludf.DUMMYFUNCTION("""COMPUTED_VALUE"""),2.0)</f>
        <v>2</v>
      </c>
      <c r="R71" s="96"/>
      <c r="S71" s="99">
        <f>IFERROR(__xludf.DUMMYFUNCTION("""COMPUTED_VALUE"""),775.19)</f>
        <v>775.19</v>
      </c>
      <c r="T71" s="96">
        <f>IFERROR(__xludf.DUMMYFUNCTION("""COMPUTED_VALUE"""),2.0)</f>
        <v>2</v>
      </c>
      <c r="U71" s="96">
        <f>IFERROR(__xludf.DUMMYFUNCTION("""COMPUTED_VALUE"""),1.0)</f>
        <v>1</v>
      </c>
      <c r="V71" s="100">
        <f>IFERROR(__xludf.DUMMYFUNCTION("""COMPUTED_VALUE"""),100000.0)</f>
        <v>100000</v>
      </c>
    </row>
    <row r="72">
      <c r="N72" s="98">
        <f>IFERROR(__xludf.DUMMYFUNCTION("""COMPUTED_VALUE"""),44111.0)</f>
        <v>44111</v>
      </c>
      <c r="O72" s="96" t="str">
        <f>IFERROR(__xludf.DUMMYFUNCTION("""COMPUTED_VALUE"""),"SUNNY")</f>
        <v>SUNNY</v>
      </c>
      <c r="P72" s="96">
        <f>IFERROR(__xludf.DUMMYFUNCTION("""COMPUTED_VALUE"""),9.0)</f>
        <v>9</v>
      </c>
      <c r="Q72" s="96">
        <f>IFERROR(__xludf.DUMMYFUNCTION("""COMPUTED_VALUE"""),0.0)</f>
        <v>0</v>
      </c>
      <c r="R72" s="96">
        <f>IFERROR(__xludf.DUMMYFUNCTION("""COMPUTED_VALUE"""),2.0)</f>
        <v>2</v>
      </c>
      <c r="S72" s="99">
        <f>IFERROR(__xludf.DUMMYFUNCTION("""COMPUTED_VALUE"""),4428.57)</f>
        <v>4428.57</v>
      </c>
      <c r="T72" s="96">
        <f>IFERROR(__xludf.DUMMYFUNCTION("""COMPUTED_VALUE"""),0.0)</f>
        <v>0</v>
      </c>
      <c r="U72" s="96">
        <f>IFERROR(__xludf.DUMMYFUNCTION("""COMPUTED_VALUE"""),7.0)</f>
        <v>7</v>
      </c>
      <c r="V72" s="100">
        <f>IFERROR(__xludf.DUMMYFUNCTION("""COMPUTED_VALUE"""),31000.0)</f>
        <v>31000</v>
      </c>
    </row>
    <row r="73">
      <c r="N73" s="98">
        <f>IFERROR(__xludf.DUMMYFUNCTION("""COMPUTED_VALUE"""),44111.0)</f>
        <v>44111</v>
      </c>
      <c r="O73" s="96" t="str">
        <f>IFERROR(__xludf.DUMMYFUNCTION("""COMPUTED_VALUE"""),"COPPA NKU")</f>
        <v>COPPA NKU</v>
      </c>
      <c r="P73" s="96">
        <f>IFERROR(__xludf.DUMMYFUNCTION("""COMPUTED_VALUE"""),428.0)</f>
        <v>428</v>
      </c>
      <c r="Q73" s="96">
        <f>IFERROR(__xludf.DUMMYFUNCTION("""COMPUTED_VALUE"""),4.0)</f>
        <v>4</v>
      </c>
      <c r="R73" s="96">
        <f>IFERROR(__xludf.DUMMYFUNCTION("""COMPUTED_VALUE"""),12.0)</f>
        <v>12</v>
      </c>
      <c r="S73" s="99">
        <f>IFERROR(__xludf.DUMMYFUNCTION("""COMPUTED_VALUE"""),917.46)</f>
        <v>917.46</v>
      </c>
      <c r="T73" s="96">
        <f>IFERROR(__xludf.DUMMYFUNCTION("""COMPUTED_VALUE"""),6.0)</f>
        <v>6</v>
      </c>
      <c r="U73" s="96">
        <f>IFERROR(__xludf.DUMMYFUNCTION("""COMPUTED_VALUE"""),34.0)</f>
        <v>34</v>
      </c>
      <c r="V73" s="100">
        <f>IFERROR(__xludf.DUMMYFUNCTION("""COMPUTED_VALUE"""),383500.0)</f>
        <v>383500</v>
      </c>
    </row>
    <row r="74">
      <c r="N74" s="98">
        <f>IFERROR(__xludf.DUMMYFUNCTION("""COMPUTED_VALUE"""),44112.0)</f>
        <v>44112</v>
      </c>
      <c r="O74" s="96" t="str">
        <f>IFERROR(__xludf.DUMMYFUNCTION("""COMPUTED_VALUE"""),"ELDER SUNDAY")</f>
        <v>ELDER SUNDAY</v>
      </c>
      <c r="P74" s="96">
        <f>IFERROR(__xludf.DUMMYFUNCTION("""COMPUTED_VALUE"""),142.0)</f>
        <v>142</v>
      </c>
      <c r="Q74" s="96"/>
      <c r="R74" s="96">
        <f>IFERROR(__xludf.DUMMYFUNCTION("""COMPUTED_VALUE"""),7.0)</f>
        <v>7</v>
      </c>
      <c r="S74" s="99">
        <f>IFERROR(__xludf.DUMMYFUNCTION("""COMPUTED_VALUE"""),949.64)</f>
        <v>949.64</v>
      </c>
      <c r="T74" s="96">
        <f>IFERROR(__xludf.DUMMYFUNCTION("""COMPUTED_VALUE"""),2.0)</f>
        <v>2</v>
      </c>
      <c r="U74" s="96">
        <f>IFERROR(__xludf.DUMMYFUNCTION("""COMPUTED_VALUE"""),9.0)</f>
        <v>9</v>
      </c>
      <c r="V74" s="100">
        <f>IFERROR(__xludf.DUMMYFUNCTION("""COMPUTED_VALUE"""),130100.0)</f>
        <v>130100</v>
      </c>
    </row>
    <row r="75">
      <c r="N75" s="98">
        <f>IFERROR(__xludf.DUMMYFUNCTION("""COMPUTED_VALUE"""),44114.0)</f>
        <v>44114</v>
      </c>
      <c r="O75" s="96" t="str">
        <f>IFERROR(__xludf.DUMMYFUNCTION("""COMPUTED_VALUE"""),"ABANG HN ENYA")</f>
        <v>ABANG HN ENYA</v>
      </c>
      <c r="P75" s="96">
        <f>IFERROR(__xludf.DUMMYFUNCTION("""COMPUTED_VALUE"""),92.0)</f>
        <v>92</v>
      </c>
      <c r="Q75" s="96">
        <f>IFERROR(__xludf.DUMMYFUNCTION("""COMPUTED_VALUE"""),2.0)</f>
        <v>2</v>
      </c>
      <c r="R75" s="96">
        <f>IFERROR(__xludf.DUMMYFUNCTION("""COMPUTED_VALUE"""),5.0)</f>
        <v>5</v>
      </c>
      <c r="S75" s="99">
        <f>IFERROR(__xludf.DUMMYFUNCTION("""COMPUTED_VALUE"""),958.14)</f>
        <v>958.14</v>
      </c>
      <c r="T75" s="96">
        <f>IFERROR(__xludf.DUMMYFUNCTION("""COMPUTED_VALUE"""),1.0)</f>
        <v>1</v>
      </c>
      <c r="U75" s="96">
        <f>IFERROR(__xludf.DUMMYFUNCTION("""COMPUTED_VALUE"""),22.0)</f>
        <v>22</v>
      </c>
      <c r="V75" s="100">
        <f>IFERROR(__xludf.DUMMYFUNCTION("""COMPUTED_VALUE"""),82400.0)</f>
        <v>82400</v>
      </c>
    </row>
    <row r="76">
      <c r="N76" s="98">
        <f>IFERROR(__xludf.DUMMYFUNCTION("""COMPUTED_VALUE"""),44114.0)</f>
        <v>44114</v>
      </c>
      <c r="O76" s="96" t="str">
        <f>IFERROR(__xludf.DUMMYFUNCTION("""COMPUTED_VALUE"""),"ABANG. TIMOTHY")</f>
        <v>ABANG. TIMOTHY</v>
      </c>
      <c r="P76" s="96">
        <f>IFERROR(__xludf.DUMMYFUNCTION("""COMPUTED_VALUE"""),333.0)</f>
        <v>333</v>
      </c>
      <c r="Q76" s="96">
        <f>IFERROR(__xludf.DUMMYFUNCTION("""COMPUTED_VALUE"""),5.0)</f>
        <v>5</v>
      </c>
      <c r="R76" s="96"/>
      <c r="S76" s="99">
        <f>IFERROR(__xludf.DUMMYFUNCTION("""COMPUTED_VALUE"""),150.15)</f>
        <v>150.15</v>
      </c>
      <c r="T76" s="96">
        <f>IFERROR(__xludf.DUMMYFUNCTION("""COMPUTED_VALUE"""),5.0)</f>
        <v>5</v>
      </c>
      <c r="U76" s="96">
        <f>IFERROR(__xludf.DUMMYFUNCTION("""COMPUTED_VALUE"""),13.0)</f>
        <v>13</v>
      </c>
      <c r="V76" s="100">
        <f>IFERROR(__xludf.DUMMYFUNCTION("""COMPUTED_VALUE"""),50000.0)</f>
        <v>50000</v>
      </c>
    </row>
    <row r="77">
      <c r="N77" s="98"/>
      <c r="O77" s="96"/>
      <c r="P77" s="96"/>
      <c r="Q77" s="96"/>
      <c r="R77" s="96"/>
      <c r="S77" s="99"/>
      <c r="T77" s="96"/>
      <c r="U77" s="96"/>
      <c r="V77" s="100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7" t="str">
        <f>IFERROR(__xludf.DUMMYFUNCTION("Query(SmallScale!A4:I1000,""SELECT *"" &amp; IF(COUNTBLANK(HelperFormulas!F14)=2,"""","" WHERE "" &amp; TEXTJOIN("" AND "", TRUE, HelperFormulas!F14)),1)"),"DATE")</f>
        <v>DATE</v>
      </c>
      <c r="B2" s="96" t="str">
        <f>IFERROR(__xludf.DUMMYFUNCTION("""COMPUTED_VALUE"""),"NAMES")</f>
        <v>NAMES</v>
      </c>
      <c r="C2" s="96" t="str">
        <f>IFERROR(__xludf.DUMMYFUNCTION("""COMPUTED_VALUE"""),"GROSS WT")</f>
        <v>GROSS WT</v>
      </c>
      <c r="D2" s="96" t="str">
        <f>IFERROR(__xludf.DUMMYFUNCTION("""COMPUTED_VALUE"""),"TAR WEIGHT")</f>
        <v>TAR WEIGHT</v>
      </c>
      <c r="E2" s="96" t="str">
        <f>IFERROR(__xludf.DUMMYFUNCTION("""COMPUTED_VALUE"""),"DISCOUNT")</f>
        <v>DISCOUNT</v>
      </c>
      <c r="F2" s="96" t="str">
        <f>IFERROR(__xludf.DUMMYFUNCTION("""COMPUTED_VALUE"""),"UNIT PRICE")</f>
        <v>UNIT PRICE</v>
      </c>
      <c r="G2" s="96" t="str">
        <f>IFERROR(__xludf.DUMMYFUNCTION("""COMPUTED_VALUE""")," BAGS")</f>
        <v> BAGS</v>
      </c>
      <c r="H2" s="96" t="str">
        <f>IFERROR(__xludf.DUMMYFUNCTION("""COMPUTED_VALUE"""),"KGS")</f>
        <v>KGS</v>
      </c>
      <c r="I2" s="96" t="str">
        <f>IFERROR(__xludf.DUMMYFUNCTION("""COMPUTED_VALUE"""),"AMOUNT")</f>
        <v>AMOUNT</v>
      </c>
      <c r="N2" s="97" t="str">
        <f>IFERROR(__xludf.DUMMYFUNCTION("Query(SmallScale!A4:I1000,""SELECT *"" &amp; IF(COUNTBLANK(HelperFormulas!G16)=2,"""","" WHERE "" &amp; TEXTJOIN("" AND "", TRUE, HelperFormulas!G16)),1)"),"#VALUE!")</f>
        <v>#VALUE!</v>
      </c>
    </row>
    <row r="3">
      <c r="A3" s="98">
        <f>IFERROR(__xludf.DUMMYFUNCTION("""COMPUTED_VALUE"""),44029.0)</f>
        <v>44029</v>
      </c>
      <c r="B3" s="96" t="str">
        <f>IFERROR(__xludf.DUMMYFUNCTION("""COMPUTED_VALUE"""),"Godwill")</f>
        <v>Godwill</v>
      </c>
      <c r="C3" s="96">
        <f>IFERROR(__xludf.DUMMYFUNCTION("""COMPUTED_VALUE"""),5.0)</f>
        <v>5</v>
      </c>
      <c r="D3" s="96">
        <f>IFERROR(__xludf.DUMMYFUNCTION("""COMPUTED_VALUE"""),0.0)</f>
        <v>0</v>
      </c>
      <c r="E3" s="96">
        <f>IFERROR(__xludf.DUMMYFUNCTION("""COMPUTED_VALUE"""),0.0)</f>
        <v>0</v>
      </c>
      <c r="F3" s="99">
        <f>IFERROR(__xludf.DUMMYFUNCTION("""COMPUTED_VALUE"""),700.0)</f>
        <v>700</v>
      </c>
      <c r="G3" s="96">
        <f>IFERROR(__xludf.DUMMYFUNCTION("""COMPUTED_VALUE"""),0.0)</f>
        <v>0</v>
      </c>
      <c r="H3" s="96">
        <f>IFERROR(__xludf.DUMMYFUNCTION("""COMPUTED_VALUE"""),5.0)</f>
        <v>5</v>
      </c>
      <c r="I3" s="100">
        <f>IFERROR(__xludf.DUMMYFUNCTION("""COMPUTED_VALUE"""),3500.0)</f>
        <v>3500</v>
      </c>
    </row>
    <row r="4">
      <c r="A4" s="98">
        <f>IFERROR(__xludf.DUMMYFUNCTION("""COMPUTED_VALUE"""),44030.0)</f>
        <v>44030</v>
      </c>
      <c r="B4" s="96" t="str">
        <f>IFERROR(__xludf.DUMMYFUNCTION("""COMPUTED_VALUE"""),"REImon Benson")</f>
        <v>REImon Benson</v>
      </c>
      <c r="C4" s="96">
        <f>IFERROR(__xludf.DUMMYFUNCTION("""COMPUTED_VALUE"""),50.0)</f>
        <v>50</v>
      </c>
      <c r="D4" s="96">
        <f>IFERROR(__xludf.DUMMYFUNCTION("""COMPUTED_VALUE"""),0.0)</f>
        <v>0</v>
      </c>
      <c r="E4" s="96">
        <f>IFERROR(__xludf.DUMMYFUNCTION("""COMPUTED_VALUE"""),0.0)</f>
        <v>0</v>
      </c>
      <c r="F4" s="99">
        <f>IFERROR(__xludf.DUMMYFUNCTION("""COMPUTED_VALUE"""),780.0)</f>
        <v>780</v>
      </c>
      <c r="G4" s="96">
        <f>IFERROR(__xludf.DUMMYFUNCTION("""COMPUTED_VALUE"""),0.0)</f>
        <v>0</v>
      </c>
      <c r="H4" s="96">
        <f>IFERROR(__xludf.DUMMYFUNCTION("""COMPUTED_VALUE"""),50.0)</f>
        <v>50</v>
      </c>
      <c r="I4" s="100">
        <f>IFERROR(__xludf.DUMMYFUNCTION("""COMPUTED_VALUE"""),39000.0)</f>
        <v>39000</v>
      </c>
    </row>
    <row r="5">
      <c r="A5" s="98">
        <f>IFERROR(__xludf.DUMMYFUNCTION("""COMPUTED_VALUE"""),44030.0)</f>
        <v>44030</v>
      </c>
      <c r="B5" s="96" t="str">
        <f>IFERROR(__xludf.DUMMYFUNCTION("""COMPUTED_VALUE"""),"ABANG. Linnus")</f>
        <v>ABANG. Linnus</v>
      </c>
      <c r="C5" s="96">
        <f>IFERROR(__xludf.DUMMYFUNCTION("""COMPUTED_VALUE"""),9.0)</f>
        <v>9</v>
      </c>
      <c r="D5" s="96">
        <f>IFERROR(__xludf.DUMMYFUNCTION("""COMPUTED_VALUE"""),0.0)</f>
        <v>0</v>
      </c>
      <c r="E5" s="96">
        <f>IFERROR(__xludf.DUMMYFUNCTION("""COMPUTED_VALUE"""),4.0)</f>
        <v>4</v>
      </c>
      <c r="F5" s="99">
        <f>IFERROR(__xludf.DUMMYFUNCTION("""COMPUTED_VALUE"""),700.0)</f>
        <v>700</v>
      </c>
      <c r="G5" s="96">
        <f>IFERROR(__xludf.DUMMYFUNCTION("""COMPUTED_VALUE"""),0.0)</f>
        <v>0</v>
      </c>
      <c r="H5" s="96">
        <f>IFERROR(__xludf.DUMMYFUNCTION("""COMPUTED_VALUE"""),5.0)</f>
        <v>5</v>
      </c>
      <c r="I5" s="100">
        <f>IFERROR(__xludf.DUMMYFUNCTION("""COMPUTED_VALUE"""),3500.0)</f>
        <v>3500</v>
      </c>
    </row>
    <row r="6">
      <c r="A6" s="98">
        <f>IFERROR(__xludf.DUMMYFUNCTION("""COMPUTED_VALUE"""),44030.0)</f>
        <v>44030</v>
      </c>
      <c r="B6" s="96" t="str">
        <f>IFERROR(__xludf.DUMMYFUNCTION("""COMPUTED_VALUE"""),"OBI")</f>
        <v>OBI</v>
      </c>
      <c r="C6" s="96">
        <f>IFERROR(__xludf.DUMMYFUNCTION("""COMPUTED_VALUE"""),4.0)</f>
        <v>4</v>
      </c>
      <c r="D6" s="96">
        <f>IFERROR(__xludf.DUMMYFUNCTION("""COMPUTED_VALUE"""),0.0)</f>
        <v>0</v>
      </c>
      <c r="E6" s="96">
        <f>IFERROR(__xludf.DUMMYFUNCTION("""COMPUTED_VALUE"""),0.0)</f>
        <v>0</v>
      </c>
      <c r="F6" s="99">
        <f>IFERROR(__xludf.DUMMYFUNCTION("""COMPUTED_VALUE"""),700.0)</f>
        <v>700</v>
      </c>
      <c r="G6" s="96">
        <f>IFERROR(__xludf.DUMMYFUNCTION("""COMPUTED_VALUE"""),0.0)</f>
        <v>0</v>
      </c>
      <c r="H6" s="96">
        <f>IFERROR(__xludf.DUMMYFUNCTION("""COMPUTED_VALUE"""),4.0)</f>
        <v>4</v>
      </c>
      <c r="I6" s="100">
        <f>IFERROR(__xludf.DUMMYFUNCTION("""COMPUTED_VALUE"""),2800.0)</f>
        <v>2800</v>
      </c>
    </row>
    <row r="7">
      <c r="A7" s="98">
        <f>IFERROR(__xludf.DUMMYFUNCTION("""COMPUTED_VALUE"""),44032.0)</f>
        <v>44032</v>
      </c>
      <c r="B7" s="96" t="str">
        <f>IFERROR(__xludf.DUMMYFUNCTION("""COMPUTED_VALUE"""),"ABANG. ALFRED")</f>
        <v>ABANG. ALFRED</v>
      </c>
      <c r="C7" s="96">
        <f>IFERROR(__xludf.DUMMYFUNCTION("""COMPUTED_VALUE"""),113.0)</f>
        <v>113</v>
      </c>
      <c r="D7" s="96">
        <f>IFERROR(__xludf.DUMMYFUNCTION("""COMPUTED_VALUE"""),2.0)</f>
        <v>2</v>
      </c>
      <c r="E7" s="96">
        <f>IFERROR(__xludf.DUMMYFUNCTION("""COMPUTED_VALUE"""),8.0)</f>
        <v>8</v>
      </c>
      <c r="F7" s="99">
        <f>IFERROR(__xludf.DUMMYFUNCTION("""COMPUTED_VALUE"""),792.31)</f>
        <v>792.31</v>
      </c>
      <c r="G7" s="96">
        <f>IFERROR(__xludf.DUMMYFUNCTION("""COMPUTED_VALUE"""),1.0)</f>
        <v>1</v>
      </c>
      <c r="H7" s="96">
        <f>IFERROR(__xludf.DUMMYFUNCTION("""COMPUTED_VALUE"""),40.0)</f>
        <v>40</v>
      </c>
      <c r="I7" s="100">
        <f>IFERROR(__xludf.DUMMYFUNCTION("""COMPUTED_VALUE"""),82400.0)</f>
        <v>82400</v>
      </c>
    </row>
    <row r="8">
      <c r="A8" s="98">
        <f>IFERROR(__xludf.DUMMYFUNCTION("""COMPUTED_VALUE"""),44032.0)</f>
        <v>44032</v>
      </c>
      <c r="B8" s="96" t="str">
        <f>IFERROR(__xludf.DUMMYFUNCTION("""COMPUTED_VALUE"""),"ABANG. Peter NDOMA")</f>
        <v>ABANG. Peter NDOMA</v>
      </c>
      <c r="C8" s="96">
        <f>IFERROR(__xludf.DUMMYFUNCTION("""COMPUTED_VALUE"""),440.0)</f>
        <v>440</v>
      </c>
      <c r="D8" s="96">
        <f>IFERROR(__xludf.DUMMYFUNCTION("""COMPUTED_VALUE"""),6.0)</f>
        <v>6</v>
      </c>
      <c r="E8" s="96">
        <f>IFERROR(__xludf.DUMMYFUNCTION("""COMPUTED_VALUE"""),0.0)</f>
        <v>0</v>
      </c>
      <c r="F8" s="99">
        <f>IFERROR(__xludf.DUMMYFUNCTION("""COMPUTED_VALUE"""),815.91)</f>
        <v>815.91</v>
      </c>
      <c r="G8" s="96">
        <f>IFERROR(__xludf.DUMMYFUNCTION("""COMPUTED_VALUE"""),6.0)</f>
        <v>6</v>
      </c>
      <c r="H8" s="96">
        <f>IFERROR(__xludf.DUMMYFUNCTION("""COMPUTED_VALUE"""),56.0)</f>
        <v>56</v>
      </c>
      <c r="I8" s="100">
        <f>IFERROR(__xludf.DUMMYFUNCTION("""COMPUTED_VALUE"""),359000.0)</f>
        <v>359000</v>
      </c>
    </row>
    <row r="9">
      <c r="A9" s="98">
        <f>IFERROR(__xludf.DUMMYFUNCTION("""COMPUTED_VALUE"""),44034.0)</f>
        <v>44034</v>
      </c>
      <c r="B9" s="96" t="str">
        <f>IFERROR(__xludf.DUMMYFUNCTION("""COMPUTED_VALUE"""),"Palos Nelson")</f>
        <v>Palos Nelson</v>
      </c>
      <c r="C9" s="96">
        <f>IFERROR(__xludf.DUMMYFUNCTION("""COMPUTED_VALUE"""),331.0)</f>
        <v>331</v>
      </c>
      <c r="D9" s="96">
        <f>IFERROR(__xludf.DUMMYFUNCTION("""COMPUTED_VALUE"""),5.0)</f>
        <v>5</v>
      </c>
      <c r="E9" s="96">
        <f>IFERROR(__xludf.DUMMYFUNCTION("""COMPUTED_VALUE"""),0.0)</f>
        <v>0</v>
      </c>
      <c r="F9" s="99">
        <f>IFERROR(__xludf.DUMMYFUNCTION("""COMPUTED_VALUE"""),768.22)</f>
        <v>768.22</v>
      </c>
      <c r="G9" s="96">
        <f>IFERROR(__xludf.DUMMYFUNCTION("""COMPUTED_VALUE"""),5.0)</f>
        <v>5</v>
      </c>
      <c r="H9" s="96">
        <f>IFERROR(__xludf.DUMMYFUNCTION("""COMPUTED_VALUE"""),11.0)</f>
        <v>11</v>
      </c>
      <c r="I9" s="100">
        <f>IFERROR(__xludf.DUMMYFUNCTION("""COMPUTED_VALUE"""),254280.0)</f>
        <v>254280</v>
      </c>
    </row>
    <row r="10">
      <c r="A10" s="98">
        <f>IFERROR(__xludf.DUMMYFUNCTION("""COMPUTED_VALUE"""),44034.0)</f>
        <v>44034</v>
      </c>
      <c r="B10" s="96" t="str">
        <f>IFERROR(__xludf.DUMMYFUNCTION("""COMPUTED_VALUE"""),"Alfred  Alabi")</f>
        <v>Alfred  Alabi</v>
      </c>
      <c r="C10" s="96">
        <f>IFERROR(__xludf.DUMMYFUNCTION("""COMPUTED_VALUE"""),159.0)</f>
        <v>159</v>
      </c>
      <c r="D10" s="96">
        <f>IFERROR(__xludf.DUMMYFUNCTION("""COMPUTED_VALUE"""),2.0)</f>
        <v>2</v>
      </c>
      <c r="E10" s="96">
        <f>IFERROR(__xludf.DUMMYFUNCTION("""COMPUTED_VALUE"""),0.0)</f>
        <v>0</v>
      </c>
      <c r="F10" s="99">
        <f>IFERROR(__xludf.DUMMYFUNCTION("""COMPUTED_VALUE"""),754.72)</f>
        <v>754.72</v>
      </c>
      <c r="G10" s="96">
        <f>IFERROR(__xludf.DUMMYFUNCTION("""COMPUTED_VALUE"""),2.0)</f>
        <v>2</v>
      </c>
      <c r="H10" s="96">
        <f>IFERROR(__xludf.DUMMYFUNCTION("""COMPUTED_VALUE"""),31.0)</f>
        <v>31</v>
      </c>
      <c r="I10" s="100">
        <f>IFERROR(__xludf.DUMMYFUNCTION("""COMPUTED_VALUE"""),120000.0)</f>
        <v>120000</v>
      </c>
    </row>
    <row r="11">
      <c r="A11" s="98">
        <f>IFERROR(__xludf.DUMMYFUNCTION("""COMPUTED_VALUE"""),44036.0)</f>
        <v>44036</v>
      </c>
      <c r="B11" s="96" t="str">
        <f>IFERROR(__xludf.DUMMYFUNCTION("""COMPUTED_VALUE"""),"AGEGE-BOY")</f>
        <v>AGEGE-BOY</v>
      </c>
      <c r="C11" s="96">
        <f>IFERROR(__xludf.DUMMYFUNCTION("""COMPUTED_VALUE"""),444.0)</f>
        <v>444</v>
      </c>
      <c r="D11" s="96">
        <f>IFERROR(__xludf.DUMMYFUNCTION("""COMPUTED_VALUE"""),0.0)</f>
        <v>0</v>
      </c>
      <c r="E11" s="96">
        <f>IFERROR(__xludf.DUMMYFUNCTION("""COMPUTED_VALUE"""),11.0)</f>
        <v>11</v>
      </c>
      <c r="F11" s="99">
        <f>IFERROR(__xludf.DUMMYFUNCTION("""COMPUTED_VALUE"""),779.2)</f>
        <v>779.2</v>
      </c>
      <c r="G11" s="96">
        <f>IFERROR(__xludf.DUMMYFUNCTION("""COMPUTED_VALUE"""),6.0)</f>
        <v>6</v>
      </c>
      <c r="H11" s="96">
        <f>IFERROR(__xludf.DUMMYFUNCTION("""COMPUTED_VALUE"""),55.0)</f>
        <v>55</v>
      </c>
      <c r="I11" s="100">
        <f>IFERROR(__xludf.DUMMYFUNCTION("""COMPUTED_VALUE"""),342070.0)</f>
        <v>342070</v>
      </c>
    </row>
    <row r="12">
      <c r="A12" s="98">
        <f>IFERROR(__xludf.DUMMYFUNCTION("""COMPUTED_VALUE"""),44039.0)</f>
        <v>44039</v>
      </c>
      <c r="B12" s="96" t="str">
        <f>IFERROR(__xludf.DUMMYFUNCTION("""COMPUTED_VALUE"""),"CHINWE")</f>
        <v>CHINWE</v>
      </c>
      <c r="C12" s="96">
        <f>IFERROR(__xludf.DUMMYFUNCTION("""COMPUTED_VALUE"""),180.0)</f>
        <v>180</v>
      </c>
      <c r="D12" s="96">
        <f>IFERROR(__xludf.DUMMYFUNCTION("""COMPUTED_VALUE"""),4.0)</f>
        <v>4</v>
      </c>
      <c r="E12" s="96">
        <f>IFERROR(__xludf.DUMMYFUNCTION("""COMPUTED_VALUE"""),4.0)</f>
        <v>4</v>
      </c>
      <c r="F12" s="99">
        <f>IFERROR(__xludf.DUMMYFUNCTION("""COMPUTED_VALUE"""),862.07)</f>
        <v>862.07</v>
      </c>
      <c r="G12" s="96">
        <f>IFERROR(__xludf.DUMMYFUNCTION("""COMPUTED_VALUE"""),2.0)</f>
        <v>2</v>
      </c>
      <c r="H12" s="96">
        <f>IFERROR(__xludf.DUMMYFUNCTION("""COMPUTED_VALUE"""),46.0)</f>
        <v>46</v>
      </c>
      <c r="I12" s="100">
        <f>IFERROR(__xludf.DUMMYFUNCTION("""COMPUTED_VALUE"""),150000.0)</f>
        <v>150000</v>
      </c>
    </row>
    <row r="13">
      <c r="A13" s="98">
        <f>IFERROR(__xludf.DUMMYFUNCTION("""COMPUTED_VALUE"""),44040.0)</f>
        <v>44040</v>
      </c>
      <c r="B13" s="96" t="str">
        <f>IFERROR(__xludf.DUMMYFUNCTION("""COMPUTED_VALUE"""),"PAPA BETTE")</f>
        <v>PAPA BETTE</v>
      </c>
      <c r="C13" s="96">
        <f>IFERROR(__xludf.DUMMYFUNCTION("""COMPUTED_VALUE"""),766.0)</f>
        <v>766</v>
      </c>
      <c r="D13" s="96">
        <f>IFERROR(__xludf.DUMMYFUNCTION("""COMPUTED_VALUE"""),10.0)</f>
        <v>10</v>
      </c>
      <c r="E13" s="96"/>
      <c r="F13" s="99">
        <f>IFERROR(__xludf.DUMMYFUNCTION("""COMPUTED_VALUE"""),531.9)</f>
        <v>531.9</v>
      </c>
      <c r="G13" s="96">
        <f>IFERROR(__xludf.DUMMYFUNCTION("""COMPUTED_VALUE"""),12.0)</f>
        <v>12</v>
      </c>
      <c r="H13" s="96">
        <f>IFERROR(__xludf.DUMMYFUNCTION("""COMPUTED_VALUE"""),0.0)</f>
        <v>0</v>
      </c>
      <c r="I13" s="100">
        <f>IFERROR(__xludf.DUMMYFUNCTION("""COMPUTED_VALUE"""),408500.0)</f>
        <v>408500</v>
      </c>
    </row>
    <row r="14">
      <c r="A14" s="98">
        <f>IFERROR(__xludf.DUMMYFUNCTION("""COMPUTED_VALUE"""),44040.0)</f>
        <v>44040</v>
      </c>
      <c r="B14" s="96" t="str">
        <f>IFERROR(__xludf.DUMMYFUNCTION("""COMPUTED_VALUE"""),"MATIAT BLESSING")</f>
        <v>MATIAT BLESSING</v>
      </c>
      <c r="C14" s="96">
        <f>IFERROR(__xludf.DUMMYFUNCTION("""COMPUTED_VALUE"""),39.0)</f>
        <v>39</v>
      </c>
      <c r="D14" s="96">
        <f>IFERROR(__xludf.DUMMYFUNCTION("""COMPUTED_VALUE"""),0.0)</f>
        <v>0</v>
      </c>
      <c r="E14" s="96">
        <f>IFERROR(__xludf.DUMMYFUNCTION("""COMPUTED_VALUE"""),3.0)</f>
        <v>3</v>
      </c>
      <c r="F14" s="99">
        <f>IFERROR(__xludf.DUMMYFUNCTION("""COMPUTED_VALUE"""),758.33)</f>
        <v>758.33</v>
      </c>
      <c r="G14" s="96">
        <f>IFERROR(__xludf.DUMMYFUNCTION("""COMPUTED_VALUE"""),0.0)</f>
        <v>0</v>
      </c>
      <c r="H14" s="96">
        <f>IFERROR(__xludf.DUMMYFUNCTION("""COMPUTED_VALUE"""),36.0)</f>
        <v>36</v>
      </c>
      <c r="I14" s="100">
        <f>IFERROR(__xludf.DUMMYFUNCTION("""COMPUTED_VALUE"""),27300.0)</f>
        <v>27300</v>
      </c>
    </row>
    <row r="15">
      <c r="A15" s="98">
        <f>IFERROR(__xludf.DUMMYFUNCTION("""COMPUTED_VALUE"""),44041.0)</f>
        <v>44041</v>
      </c>
      <c r="B15" s="96" t="str">
        <f>IFERROR(__xludf.DUMMYFUNCTION("""COMPUTED_VALUE"""),"KARIEN EBAN")</f>
        <v>KARIEN EBAN</v>
      </c>
      <c r="C15" s="96">
        <f>IFERROR(__xludf.DUMMYFUNCTION("""COMPUTED_VALUE"""),1418.0)</f>
        <v>1418</v>
      </c>
      <c r="D15" s="96">
        <f>IFERROR(__xludf.DUMMYFUNCTION("""COMPUTED_VALUE"""),22.0)</f>
        <v>22</v>
      </c>
      <c r="E15" s="96">
        <f>IFERROR(__xludf.DUMMYFUNCTION("""COMPUTED_VALUE"""),17.0)</f>
        <v>17</v>
      </c>
      <c r="F15" s="99">
        <f>IFERROR(__xludf.DUMMYFUNCTION("""COMPUTED_VALUE"""),430.86)</f>
        <v>430.86</v>
      </c>
      <c r="G15" s="96">
        <f>IFERROR(__xludf.DUMMYFUNCTION("""COMPUTED_VALUE"""),21.0)</f>
        <v>21</v>
      </c>
      <c r="H15" s="96">
        <f>IFERROR(__xludf.DUMMYFUNCTION("""COMPUTED_VALUE"""),56.0)</f>
        <v>56</v>
      </c>
      <c r="I15" s="100">
        <f>IFERROR(__xludf.DUMMYFUNCTION("""COMPUTED_VALUE"""),603200.0)</f>
        <v>603200</v>
      </c>
    </row>
    <row r="16">
      <c r="A16" s="98">
        <f>IFERROR(__xludf.DUMMYFUNCTION("""COMPUTED_VALUE"""),44042.0)</f>
        <v>44042</v>
      </c>
      <c r="B16" s="96" t="str">
        <f>IFERROR(__xludf.DUMMYFUNCTION("""COMPUTED_VALUE"""),"KOKOk Ndifon")</f>
        <v>KOKOk Ndifon</v>
      </c>
      <c r="C16" s="96">
        <f>IFERROR(__xludf.DUMMYFUNCTION("""COMPUTED_VALUE"""),134.0)</f>
        <v>134</v>
      </c>
      <c r="D16" s="96">
        <f>IFERROR(__xludf.DUMMYFUNCTION("""COMPUTED_VALUE"""),0.0)</f>
        <v>0</v>
      </c>
      <c r="E16" s="96">
        <f>IFERROR(__xludf.DUMMYFUNCTION("""COMPUTED_VALUE"""),0.0)</f>
        <v>0</v>
      </c>
      <c r="F16" s="99">
        <f>IFERROR(__xludf.DUMMYFUNCTION("""COMPUTED_VALUE"""),768.38)</f>
        <v>768.38</v>
      </c>
      <c r="G16" s="96">
        <f>IFERROR(__xludf.DUMMYFUNCTION("""COMPUTED_VALUE"""),2.0)</f>
        <v>2</v>
      </c>
      <c r="H16" s="96">
        <f>IFERROR(__xludf.DUMMYFUNCTION("""COMPUTED_VALUE"""),8.0)</f>
        <v>8</v>
      </c>
      <c r="I16" s="100">
        <f>IFERROR(__xludf.DUMMYFUNCTION("""COMPUTED_VALUE"""),104500.0)</f>
        <v>104500</v>
      </c>
    </row>
    <row r="17">
      <c r="A17" s="98">
        <f>IFERROR(__xludf.DUMMYFUNCTION("""COMPUTED_VALUE"""),44043.0)</f>
        <v>44043</v>
      </c>
      <c r="B17" s="96" t="str">
        <f>IFERROR(__xludf.DUMMYFUNCTION("""COMPUTED_VALUE"""),"ABANG. Confidence")</f>
        <v>ABANG. Confidence</v>
      </c>
      <c r="C17" s="96">
        <f>IFERROR(__xludf.DUMMYFUNCTION("""COMPUTED_VALUE"""),66.0)</f>
        <v>66</v>
      </c>
      <c r="D17" s="96">
        <f>IFERROR(__xludf.DUMMYFUNCTION("""COMPUTED_VALUE"""),1.0)</f>
        <v>1</v>
      </c>
      <c r="E17" s="96">
        <f>IFERROR(__xludf.DUMMYFUNCTION("""COMPUTED_VALUE"""),3.0)</f>
        <v>3</v>
      </c>
      <c r="F17" s="99">
        <f>IFERROR(__xludf.DUMMYFUNCTION("""COMPUTED_VALUE"""),774.19)</f>
        <v>774.19</v>
      </c>
      <c r="G17" s="96">
        <f>IFERROR(__xludf.DUMMYFUNCTION("""COMPUTED_VALUE"""),0.0)</f>
        <v>0</v>
      </c>
      <c r="H17" s="96">
        <f>IFERROR(__xludf.DUMMYFUNCTION("""COMPUTED_VALUE"""),62.0)</f>
        <v>62</v>
      </c>
      <c r="I17" s="100">
        <f>IFERROR(__xludf.DUMMYFUNCTION("""COMPUTED_VALUE"""),48000.0)</f>
        <v>48000</v>
      </c>
    </row>
    <row r="18">
      <c r="A18" s="98">
        <f>IFERROR(__xludf.DUMMYFUNCTION("""COMPUTED_VALUE"""),44047.0)</f>
        <v>44047</v>
      </c>
      <c r="B18" s="96" t="str">
        <f>IFERROR(__xludf.DUMMYFUNCTION("""COMPUTED_VALUE"""),"HIGH PAPA")</f>
        <v>HIGH PAPA</v>
      </c>
      <c r="C18" s="96">
        <f>IFERROR(__xludf.DUMMYFUNCTION("""COMPUTED_VALUE"""),30.0)</f>
        <v>30</v>
      </c>
      <c r="D18" s="96">
        <f>IFERROR(__xludf.DUMMYFUNCTION("""COMPUTED_VALUE"""),0.0)</f>
        <v>0</v>
      </c>
      <c r="E18" s="96">
        <f>IFERROR(__xludf.DUMMYFUNCTION("""COMPUTED_VALUE"""),0.0)</f>
        <v>0</v>
      </c>
      <c r="F18" s="99">
        <f>IFERROR(__xludf.DUMMYFUNCTION("""COMPUTED_VALUE"""),766.67)</f>
        <v>766.67</v>
      </c>
      <c r="G18" s="96">
        <f>IFERROR(__xludf.DUMMYFUNCTION("""COMPUTED_VALUE"""),0.0)</f>
        <v>0</v>
      </c>
      <c r="H18" s="96">
        <f>IFERROR(__xludf.DUMMYFUNCTION("""COMPUTED_VALUE"""),30.0)</f>
        <v>30</v>
      </c>
      <c r="I18" s="100">
        <f>IFERROR(__xludf.DUMMYFUNCTION("""COMPUTED_VALUE"""),23000.0)</f>
        <v>23000</v>
      </c>
    </row>
    <row r="19">
      <c r="A19" s="98">
        <f>IFERROR(__xludf.DUMMYFUNCTION("""COMPUTED_VALUE"""),44048.0)</f>
        <v>44048</v>
      </c>
      <c r="B19" s="96" t="str">
        <f>IFERROR(__xludf.DUMMYFUNCTION("""COMPUTED_VALUE"""),"Confidence")</f>
        <v>Confidence</v>
      </c>
      <c r="C19" s="96">
        <f>IFERROR(__xludf.DUMMYFUNCTION("""COMPUTED_VALUE"""),204.0)</f>
        <v>204</v>
      </c>
      <c r="D19" s="96">
        <f>IFERROR(__xludf.DUMMYFUNCTION("""COMPUTED_VALUE"""),4.0)</f>
        <v>4</v>
      </c>
      <c r="E19" s="96">
        <f>IFERROR(__xludf.DUMMYFUNCTION("""COMPUTED_VALUE"""),10.0)</f>
        <v>10</v>
      </c>
      <c r="F19" s="99">
        <f>IFERROR(__xludf.DUMMYFUNCTION("""COMPUTED_VALUE"""),681.25)</f>
        <v>681.25</v>
      </c>
      <c r="G19" s="96">
        <f>IFERROR(__xludf.DUMMYFUNCTION("""COMPUTED_VALUE"""),3.0)</f>
        <v>3</v>
      </c>
      <c r="H19" s="96">
        <f>IFERROR(__xludf.DUMMYFUNCTION("""COMPUTED_VALUE"""),0.0)</f>
        <v>0</v>
      </c>
      <c r="I19" s="100">
        <f>IFERROR(__xludf.DUMMYFUNCTION("""COMPUTED_VALUE"""),130800.0)</f>
        <v>130800</v>
      </c>
    </row>
    <row r="20">
      <c r="A20" s="98">
        <f>IFERROR(__xludf.DUMMYFUNCTION("""COMPUTED_VALUE"""),44048.0)</f>
        <v>44048</v>
      </c>
      <c r="B20" s="96" t="str">
        <f>IFERROR(__xludf.DUMMYFUNCTION("""COMPUTED_VALUE"""),"Chimwe")</f>
        <v>Chimwe</v>
      </c>
      <c r="C20" s="96">
        <f>IFERROR(__xludf.DUMMYFUNCTION("""COMPUTED_VALUE"""),605.0)</f>
        <v>605</v>
      </c>
      <c r="D20" s="96">
        <f>IFERROR(__xludf.DUMMYFUNCTION("""COMPUTED_VALUE"""),8.0)</f>
        <v>8</v>
      </c>
      <c r="E20" s="96">
        <f>IFERROR(__xludf.DUMMYFUNCTION("""COMPUTED_VALUE"""),0.0)</f>
        <v>0</v>
      </c>
      <c r="F20" s="99">
        <f>IFERROR(__xludf.DUMMYFUNCTION("""COMPUTED_VALUE"""),781.19)</f>
        <v>781.19</v>
      </c>
      <c r="G20" s="96">
        <f>IFERROR(__xludf.DUMMYFUNCTION("""COMPUTED_VALUE"""),9.0)</f>
        <v>9</v>
      </c>
      <c r="H20" s="96">
        <f>IFERROR(__xludf.DUMMYFUNCTION("""COMPUTED_VALUE"""),30.0)</f>
        <v>30</v>
      </c>
      <c r="I20" s="100">
        <f>IFERROR(__xludf.DUMMYFUNCTION("""COMPUTED_VALUE"""),473400.0)</f>
        <v>473400</v>
      </c>
    </row>
    <row r="21">
      <c r="A21" s="98">
        <f>IFERROR(__xludf.DUMMYFUNCTION("""COMPUTED_VALUE"""),44049.0)</f>
        <v>44049</v>
      </c>
      <c r="B21" s="96" t="str">
        <f>IFERROR(__xludf.DUMMYFUNCTION("""COMPUTED_VALUE"""),"ABANG. Andrew")</f>
        <v>ABANG. Andrew</v>
      </c>
      <c r="C21" s="96">
        <f>IFERROR(__xludf.DUMMYFUNCTION("""COMPUTED_VALUE"""),422.0)</f>
        <v>422</v>
      </c>
      <c r="D21" s="96">
        <f>IFERROR(__xludf.DUMMYFUNCTION("""COMPUTED_VALUE"""),7.0)</f>
        <v>7</v>
      </c>
      <c r="E21" s="96">
        <f>IFERROR(__xludf.DUMMYFUNCTION("""COMPUTED_VALUE"""),9.0)</f>
        <v>9</v>
      </c>
      <c r="F21" s="99">
        <f>IFERROR(__xludf.DUMMYFUNCTION("""COMPUTED_VALUE"""),788.35)</f>
        <v>788.35</v>
      </c>
      <c r="G21" s="96">
        <f>IFERROR(__xludf.DUMMYFUNCTION("""COMPUTED_VALUE"""),6.0)</f>
        <v>6</v>
      </c>
      <c r="H21" s="96">
        <f>IFERROR(__xludf.DUMMYFUNCTION("""COMPUTED_VALUE"""),28.0)</f>
        <v>28</v>
      </c>
      <c r="I21" s="100">
        <f>IFERROR(__xludf.DUMMYFUNCTION("""COMPUTED_VALUE"""),324800.0)</f>
        <v>324800</v>
      </c>
    </row>
    <row r="22">
      <c r="A22" s="98">
        <f>IFERROR(__xludf.DUMMYFUNCTION("""COMPUTED_VALUE"""),44049.0)</f>
        <v>44049</v>
      </c>
      <c r="B22" s="96" t="str">
        <f>IFERROR(__xludf.DUMMYFUNCTION("""COMPUTED_VALUE"""),"A.D. FREDERICK")</f>
        <v>A.D. FREDERICK</v>
      </c>
      <c r="C22" s="96">
        <f>IFERROR(__xludf.DUMMYFUNCTION("""COMPUTED_VALUE"""),117.0)</f>
        <v>117</v>
      </c>
      <c r="D22" s="96">
        <f>IFERROR(__xludf.DUMMYFUNCTION("""COMPUTED_VALUE"""),2.0)</f>
        <v>2</v>
      </c>
      <c r="E22" s="96">
        <f>IFERROR(__xludf.DUMMYFUNCTION("""COMPUTED_VALUE"""),8.0)</f>
        <v>8</v>
      </c>
      <c r="F22" s="99">
        <f>IFERROR(__xludf.DUMMYFUNCTION("""COMPUTED_VALUE"""),792.59)</f>
        <v>792.59</v>
      </c>
      <c r="G22" s="96">
        <f>IFERROR(__xludf.DUMMYFUNCTION("""COMPUTED_VALUE"""),1.0)</f>
        <v>1</v>
      </c>
      <c r="H22" s="96">
        <f>IFERROR(__xludf.DUMMYFUNCTION("""COMPUTED_VALUE"""),44.0)</f>
        <v>44</v>
      </c>
      <c r="I22" s="100">
        <f>IFERROR(__xludf.DUMMYFUNCTION("""COMPUTED_VALUE"""),85600.0)</f>
        <v>85600</v>
      </c>
    </row>
    <row r="23">
      <c r="A23" s="98">
        <f>IFERROR(__xludf.DUMMYFUNCTION("""COMPUTED_VALUE"""),44050.0)</f>
        <v>44050</v>
      </c>
      <c r="B23" s="96" t="str">
        <f>IFERROR(__xludf.DUMMYFUNCTION("""COMPUTED_VALUE"""),"St. Pual")</f>
        <v>St. Pual</v>
      </c>
      <c r="C23" s="96">
        <f>IFERROR(__xludf.DUMMYFUNCTION("""COMPUTED_VALUE"""),41.0)</f>
        <v>41</v>
      </c>
      <c r="D23" s="96">
        <f>IFERROR(__xludf.DUMMYFUNCTION("""COMPUTED_VALUE"""),1.0)</f>
        <v>1</v>
      </c>
      <c r="E23" s="96">
        <f>IFERROR(__xludf.DUMMYFUNCTION("""COMPUTED_VALUE"""),3.0)</f>
        <v>3</v>
      </c>
      <c r="F23" s="99">
        <f>IFERROR(__xludf.DUMMYFUNCTION("""COMPUTED_VALUE"""),791.89)</f>
        <v>791.89</v>
      </c>
      <c r="G23" s="96">
        <f>IFERROR(__xludf.DUMMYFUNCTION("""COMPUTED_VALUE"""),0.0)</f>
        <v>0</v>
      </c>
      <c r="H23" s="96">
        <f>IFERROR(__xludf.DUMMYFUNCTION("""COMPUTED_VALUE"""),37.0)</f>
        <v>37</v>
      </c>
      <c r="I23" s="100">
        <f>IFERROR(__xludf.DUMMYFUNCTION("""COMPUTED_VALUE"""),29300.0)</f>
        <v>29300</v>
      </c>
    </row>
    <row r="24">
      <c r="A24" s="98">
        <f>IFERROR(__xludf.DUMMYFUNCTION("""COMPUTED_VALUE"""),44054.0)</f>
        <v>44054</v>
      </c>
      <c r="B24" s="96" t="str">
        <f>IFERROR(__xludf.DUMMYFUNCTION("""COMPUTED_VALUE"""),"SIR OBIM KEN.")</f>
        <v>SIR OBIM KEN.</v>
      </c>
      <c r="C24" s="96">
        <f>IFERROR(__xludf.DUMMYFUNCTION("""COMPUTED_VALUE"""),104.0)</f>
        <v>104</v>
      </c>
      <c r="D24" s="96">
        <f>IFERROR(__xludf.DUMMYFUNCTION("""COMPUTED_VALUE"""),0.0)</f>
        <v>0</v>
      </c>
      <c r="E24" s="96">
        <f>IFERROR(__xludf.DUMMYFUNCTION("""COMPUTED_VALUE"""),4.0)</f>
        <v>4</v>
      </c>
      <c r="F24" s="99">
        <f>IFERROR(__xludf.DUMMYFUNCTION("""COMPUTED_VALUE"""),792.08)</f>
        <v>792.08</v>
      </c>
      <c r="G24" s="96">
        <f>IFERROR(__xludf.DUMMYFUNCTION("""COMPUTED_VALUE"""),1.0)</f>
        <v>1</v>
      </c>
      <c r="H24" s="96">
        <f>IFERROR(__xludf.DUMMYFUNCTION("""COMPUTED_VALUE"""),37.0)</f>
        <v>37</v>
      </c>
      <c r="I24" s="100">
        <f>IFERROR(__xludf.DUMMYFUNCTION("""COMPUTED_VALUE"""),80000.0)</f>
        <v>80000</v>
      </c>
    </row>
    <row r="25">
      <c r="A25" s="98">
        <f>IFERROR(__xludf.DUMMYFUNCTION("""COMPUTED_VALUE"""),44054.0)</f>
        <v>44054</v>
      </c>
      <c r="B25" s="96" t="str">
        <f>IFERROR(__xludf.DUMMYFUNCTION("""COMPUTED_VALUE"""),"SIR ZULU")</f>
        <v>SIR ZULU</v>
      </c>
      <c r="C25" s="96">
        <f>IFERROR(__xludf.DUMMYFUNCTION("""COMPUTED_VALUE"""),8.0)</f>
        <v>8</v>
      </c>
      <c r="D25" s="96">
        <f>IFERROR(__xludf.DUMMYFUNCTION("""COMPUTED_VALUE"""),0.0)</f>
        <v>0</v>
      </c>
      <c r="E25" s="96">
        <f>IFERROR(__xludf.DUMMYFUNCTION("""COMPUTED_VALUE"""),0.0)</f>
        <v>0</v>
      </c>
      <c r="F25" s="99">
        <f>IFERROR(__xludf.DUMMYFUNCTION("""COMPUTED_VALUE"""),800.0)</f>
        <v>800</v>
      </c>
      <c r="G25" s="96">
        <f>IFERROR(__xludf.DUMMYFUNCTION("""COMPUTED_VALUE"""),0.0)</f>
        <v>0</v>
      </c>
      <c r="H25" s="96">
        <f>IFERROR(__xludf.DUMMYFUNCTION("""COMPUTED_VALUE"""),8.0)</f>
        <v>8</v>
      </c>
      <c r="I25" s="100">
        <f>IFERROR(__xludf.DUMMYFUNCTION("""COMPUTED_VALUE"""),6400.0)</f>
        <v>6400</v>
      </c>
    </row>
    <row r="26">
      <c r="A26" s="98">
        <f>IFERROR(__xludf.DUMMYFUNCTION("""COMPUTED_VALUE"""),44054.0)</f>
        <v>44054</v>
      </c>
      <c r="B26" s="96" t="str">
        <f>IFERROR(__xludf.DUMMYFUNCTION("""COMPUTED_VALUE"""),"NDOMA NDOMA")</f>
        <v>NDOMA NDOMA</v>
      </c>
      <c r="C26" s="96">
        <f>IFERROR(__xludf.DUMMYFUNCTION("""COMPUTED_VALUE"""),192.0)</f>
        <v>192</v>
      </c>
      <c r="D26" s="96">
        <f>IFERROR(__xludf.DUMMYFUNCTION("""COMPUTED_VALUE"""),3.0)</f>
        <v>3</v>
      </c>
      <c r="E26" s="96"/>
      <c r="F26" s="99">
        <f>IFERROR(__xludf.DUMMYFUNCTION("""COMPUTED_VALUE"""),791.67)</f>
        <v>791.67</v>
      </c>
      <c r="G26" s="96">
        <f>IFERROR(__xludf.DUMMYFUNCTION("""COMPUTED_VALUE"""),3.0)</f>
        <v>3</v>
      </c>
      <c r="H26" s="96">
        <f>IFERROR(__xludf.DUMMYFUNCTION("""COMPUTED_VALUE"""),0.0)</f>
        <v>0</v>
      </c>
      <c r="I26" s="100">
        <f>IFERROR(__xludf.DUMMYFUNCTION("""COMPUTED_VALUE"""),152000.0)</f>
        <v>152000</v>
      </c>
    </row>
    <row r="27">
      <c r="A27" s="98">
        <f>IFERROR(__xludf.DUMMYFUNCTION("""COMPUTED_VALUE"""),44056.0)</f>
        <v>44056</v>
      </c>
      <c r="B27" s="96" t="str">
        <f>IFERROR(__xludf.DUMMYFUNCTION("""COMPUTED_VALUE"""),"ABANG. Chinwe")</f>
        <v>ABANG. Chinwe</v>
      </c>
      <c r="C27" s="96">
        <f>IFERROR(__xludf.DUMMYFUNCTION("""COMPUTED_VALUE"""),350.0)</f>
        <v>350</v>
      </c>
      <c r="D27" s="96">
        <f>IFERROR(__xludf.DUMMYFUNCTION("""COMPUTED_VALUE"""),4.0)</f>
        <v>4</v>
      </c>
      <c r="E27" s="96">
        <f>IFERROR(__xludf.DUMMYFUNCTION("""COMPUTED_VALUE"""),6.0)</f>
        <v>6</v>
      </c>
      <c r="F27" s="99">
        <f>IFERROR(__xludf.DUMMYFUNCTION("""COMPUTED_VALUE"""),798.55)</f>
        <v>798.55</v>
      </c>
      <c r="G27" s="96">
        <f>IFERROR(__xludf.DUMMYFUNCTION("""COMPUTED_VALUE"""),5.0)</f>
        <v>5</v>
      </c>
      <c r="H27" s="96">
        <f>IFERROR(__xludf.DUMMYFUNCTION("""COMPUTED_VALUE"""),25.0)</f>
        <v>25</v>
      </c>
      <c r="I27" s="100">
        <f>IFERROR(__xludf.DUMMYFUNCTION("""COMPUTED_VALUE"""),275500.0)</f>
        <v>275500</v>
      </c>
    </row>
    <row r="28">
      <c r="A28" s="98">
        <f>IFERROR(__xludf.DUMMYFUNCTION("""COMPUTED_VALUE"""),44062.0)</f>
        <v>44062</v>
      </c>
      <c r="B28" s="96" t="str">
        <f>IFERROR(__xludf.DUMMYFUNCTION("""COMPUTED_VALUE"""),"Ashanti")</f>
        <v>Ashanti</v>
      </c>
      <c r="C28" s="96">
        <f>IFERROR(__xludf.DUMMYFUNCTION("""COMPUTED_VALUE"""),174.0)</f>
        <v>174</v>
      </c>
      <c r="D28" s="96">
        <f>IFERROR(__xludf.DUMMYFUNCTION("""COMPUTED_VALUE"""),3.0)</f>
        <v>3</v>
      </c>
      <c r="E28" s="96">
        <f>IFERROR(__xludf.DUMMYFUNCTION("""COMPUTED_VALUE"""),5.0)</f>
        <v>5</v>
      </c>
      <c r="F28" s="99">
        <f>IFERROR(__xludf.DUMMYFUNCTION("""COMPUTED_VALUE"""),810.12)</f>
        <v>810.12</v>
      </c>
      <c r="G28" s="96">
        <f>IFERROR(__xludf.DUMMYFUNCTION("""COMPUTED_VALUE"""),2.0)</f>
        <v>2</v>
      </c>
      <c r="H28" s="96">
        <f>IFERROR(__xludf.DUMMYFUNCTION("""COMPUTED_VALUE"""),40.0)</f>
        <v>40</v>
      </c>
      <c r="I28" s="100">
        <f>IFERROR(__xludf.DUMMYFUNCTION("""COMPUTED_VALUE"""),136100.0)</f>
        <v>136100</v>
      </c>
    </row>
    <row r="29">
      <c r="A29" s="98">
        <f>IFERROR(__xludf.DUMMYFUNCTION("""COMPUTED_VALUE"""),44062.0)</f>
        <v>44062</v>
      </c>
      <c r="B29" s="96" t="str">
        <f>IFERROR(__xludf.DUMMYFUNCTION("""COMPUTED_VALUE"""),"Tom Mku")</f>
        <v>Tom Mku</v>
      </c>
      <c r="C29" s="96">
        <f>IFERROR(__xludf.DUMMYFUNCTION("""COMPUTED_VALUE"""),84.0)</f>
        <v>84</v>
      </c>
      <c r="D29" s="96">
        <f>IFERROR(__xludf.DUMMYFUNCTION("""COMPUTED_VALUE"""),1.0)</f>
        <v>1</v>
      </c>
      <c r="E29" s="96">
        <f>IFERROR(__xludf.DUMMYFUNCTION("""COMPUTED_VALUE"""),0.0)</f>
        <v>0</v>
      </c>
      <c r="F29" s="99">
        <f>IFERROR(__xludf.DUMMYFUNCTION("""COMPUTED_VALUE"""),819.05)</f>
        <v>819.05</v>
      </c>
      <c r="G29" s="96">
        <f>IFERROR(__xludf.DUMMYFUNCTION("""COMPUTED_VALUE"""),1.0)</f>
        <v>1</v>
      </c>
      <c r="H29" s="96">
        <f>IFERROR(__xludf.DUMMYFUNCTION("""COMPUTED_VALUE"""),20.0)</f>
        <v>20</v>
      </c>
      <c r="I29" s="100">
        <f>IFERROR(__xludf.DUMMYFUNCTION("""COMPUTED_VALUE"""),68800.0)</f>
        <v>68800</v>
      </c>
    </row>
    <row r="30">
      <c r="A30" s="98">
        <f>IFERROR(__xludf.DUMMYFUNCTION("""COMPUTED_VALUE"""),44067.0)</f>
        <v>44067</v>
      </c>
      <c r="B30" s="96" t="str">
        <f>IFERROR(__xludf.DUMMYFUNCTION("""COMPUTED_VALUE"""),"ABANG. CONFIDENCE")</f>
        <v>ABANG. CONFIDENCE</v>
      </c>
      <c r="C30" s="96">
        <f>IFERROR(__xludf.DUMMYFUNCTION("""COMPUTED_VALUE"""),39.0)</f>
        <v>39</v>
      </c>
      <c r="D30" s="96">
        <f>IFERROR(__xludf.DUMMYFUNCTION("""COMPUTED_VALUE"""),1.0)</f>
        <v>1</v>
      </c>
      <c r="E30" s="96">
        <f>IFERROR(__xludf.DUMMYFUNCTION("""COMPUTED_VALUE"""),0.0)</f>
        <v>0</v>
      </c>
      <c r="F30" s="99">
        <f>IFERROR(__xludf.DUMMYFUNCTION("""COMPUTED_VALUE"""),818.42)</f>
        <v>818.42</v>
      </c>
      <c r="G30" s="96">
        <f>IFERROR(__xludf.DUMMYFUNCTION("""COMPUTED_VALUE"""),0.0)</f>
        <v>0</v>
      </c>
      <c r="H30" s="96">
        <f>IFERROR(__xludf.DUMMYFUNCTION("""COMPUTED_VALUE"""),38.0)</f>
        <v>38</v>
      </c>
      <c r="I30" s="100">
        <f>IFERROR(__xludf.DUMMYFUNCTION("""COMPUTED_VALUE"""),31100.0)</f>
        <v>31100</v>
      </c>
    </row>
    <row r="31">
      <c r="A31" s="98">
        <f>IFERROR(__xludf.DUMMYFUNCTION("""COMPUTED_VALUE"""),44067.0)</f>
        <v>44067</v>
      </c>
      <c r="B31" s="96" t="str">
        <f>IFERROR(__xludf.DUMMYFUNCTION("""COMPUTED_VALUE"""),"ABANG. ANDREW")</f>
        <v>ABANG. ANDREW</v>
      </c>
      <c r="C31" s="96">
        <f>IFERROR(__xludf.DUMMYFUNCTION("""COMPUTED_VALUE"""),402.0)</f>
        <v>402</v>
      </c>
      <c r="D31" s="96">
        <f>IFERROR(__xludf.DUMMYFUNCTION("""COMPUTED_VALUE"""),11.0)</f>
        <v>11</v>
      </c>
      <c r="E31" s="96">
        <f>IFERROR(__xludf.DUMMYFUNCTION("""COMPUTED_VALUE"""),0.0)</f>
        <v>0</v>
      </c>
      <c r="F31" s="99">
        <f>IFERROR(__xludf.DUMMYFUNCTION("""COMPUTED_VALUE"""),827.2)</f>
        <v>827.2</v>
      </c>
      <c r="G31" s="96">
        <f>IFERROR(__xludf.DUMMYFUNCTION("""COMPUTED_VALUE"""),6.0)</f>
        <v>6</v>
      </c>
      <c r="H31" s="96">
        <f>IFERROR(__xludf.DUMMYFUNCTION("""COMPUTED_VALUE"""),13.0)</f>
        <v>13</v>
      </c>
      <c r="I31" s="100">
        <f>IFERROR(__xludf.DUMMYFUNCTION("""COMPUTED_VALUE"""),328400.0)</f>
        <v>328400</v>
      </c>
    </row>
    <row r="32">
      <c r="A32" s="98">
        <f>IFERROR(__xludf.DUMMYFUNCTION("""COMPUTED_VALUE"""),44067.0)</f>
        <v>44067</v>
      </c>
      <c r="B32" s="96" t="str">
        <f>IFERROR(__xludf.DUMMYFUNCTION("""COMPUTED_VALUE"""),"ABANG. TIWA HNSON")</f>
        <v>ABANG. TIWA HNSON</v>
      </c>
      <c r="C32" s="96">
        <f>IFERROR(__xludf.DUMMYFUNCTION("""COMPUTED_VALUE"""),185.0)</f>
        <v>185</v>
      </c>
      <c r="D32" s="96">
        <f>IFERROR(__xludf.DUMMYFUNCTION("""COMPUTED_VALUE"""),0.0)</f>
        <v>0</v>
      </c>
      <c r="E32" s="96">
        <f>IFERROR(__xludf.DUMMYFUNCTION("""COMPUTED_VALUE"""),0.0)</f>
        <v>0</v>
      </c>
      <c r="F32" s="99">
        <f>IFERROR(__xludf.DUMMYFUNCTION("""COMPUTED_VALUE"""),756.68)</f>
        <v>756.68</v>
      </c>
      <c r="G32" s="96">
        <f>IFERROR(__xludf.DUMMYFUNCTION("""COMPUTED_VALUE"""),2.0)</f>
        <v>2</v>
      </c>
      <c r="H32" s="96">
        <f>IFERROR(__xludf.DUMMYFUNCTION("""COMPUTED_VALUE"""),59.0)</f>
        <v>59</v>
      </c>
      <c r="I32" s="100">
        <f>IFERROR(__xludf.DUMMYFUNCTION("""COMPUTED_VALUE"""),141500.0)</f>
        <v>141500</v>
      </c>
    </row>
    <row r="33">
      <c r="A33" s="98">
        <f>IFERROR(__xludf.DUMMYFUNCTION("""COMPUTED_VALUE"""),44069.0)</f>
        <v>44069</v>
      </c>
      <c r="B33" s="96" t="str">
        <f>IFERROR(__xludf.DUMMYFUNCTION("""COMPUTED_VALUE"""),"ABANGS. HNSON")</f>
        <v>ABANGS. HNSON</v>
      </c>
      <c r="C33" s="96">
        <f>IFERROR(__xludf.DUMMYFUNCTION("""COMPUTED_VALUE"""),758.0)</f>
        <v>758</v>
      </c>
      <c r="D33" s="96">
        <f>IFERROR(__xludf.DUMMYFUNCTION("""COMPUTED_VALUE"""),12.0)</f>
        <v>12</v>
      </c>
      <c r="E33" s="96">
        <f>IFERROR(__xludf.DUMMYFUNCTION("""COMPUTED_VALUE"""),0.0)</f>
        <v>0</v>
      </c>
      <c r="F33" s="99">
        <f>IFERROR(__xludf.DUMMYFUNCTION("""COMPUTED_VALUE"""),389.04)</f>
        <v>389.04</v>
      </c>
      <c r="G33" s="96">
        <f>IFERROR(__xludf.DUMMYFUNCTION("""COMPUTED_VALUE"""),11.0)</f>
        <v>11</v>
      </c>
      <c r="H33" s="96">
        <f>IFERROR(__xludf.DUMMYFUNCTION("""COMPUTED_VALUE"""),53.0)</f>
        <v>53</v>
      </c>
      <c r="I33" s="100">
        <f>IFERROR(__xludf.DUMMYFUNCTION("""COMPUTED_VALUE"""),294500.0)</f>
        <v>294500</v>
      </c>
    </row>
    <row r="34">
      <c r="A34" s="98">
        <f>IFERROR(__xludf.DUMMYFUNCTION("""COMPUTED_VALUE"""),44070.0)</f>
        <v>44070</v>
      </c>
      <c r="B34" s="96" t="str">
        <f>IFERROR(__xludf.DUMMYFUNCTION("""COMPUTED_VALUE"""),"ORU")</f>
        <v>ORU</v>
      </c>
      <c r="C34" s="96">
        <f>IFERROR(__xludf.DUMMYFUNCTION("""COMPUTED_VALUE"""),86.0)</f>
        <v>86</v>
      </c>
      <c r="D34" s="96">
        <f>IFERROR(__xludf.DUMMYFUNCTION("""COMPUTED_VALUE"""),2.0)</f>
        <v>2</v>
      </c>
      <c r="E34" s="96"/>
      <c r="F34" s="99">
        <f>IFERROR(__xludf.DUMMYFUNCTION("""COMPUTED_VALUE"""),839.76)</f>
        <v>839.76</v>
      </c>
      <c r="G34" s="96">
        <f>IFERROR(__xludf.DUMMYFUNCTION("""COMPUTED_VALUE"""),1.0)</f>
        <v>1</v>
      </c>
      <c r="H34" s="96">
        <f>IFERROR(__xludf.DUMMYFUNCTION("""COMPUTED_VALUE"""),21.0)</f>
        <v>21</v>
      </c>
      <c r="I34" s="100">
        <f>IFERROR(__xludf.DUMMYFUNCTION("""COMPUTED_VALUE"""),71380.0)</f>
        <v>71380</v>
      </c>
    </row>
    <row r="35">
      <c r="A35" s="98">
        <f>IFERROR(__xludf.DUMMYFUNCTION("""COMPUTED_VALUE"""),44070.0)</f>
        <v>44070</v>
      </c>
      <c r="B35" s="96" t="str">
        <f>IFERROR(__xludf.DUMMYFUNCTION("""COMPUTED_VALUE"""),"NELSON &amp; PALUS")</f>
        <v>NELSON &amp; PALUS</v>
      </c>
      <c r="C35" s="96">
        <f>IFERROR(__xludf.DUMMYFUNCTION("""COMPUTED_VALUE"""),449.0)</f>
        <v>449</v>
      </c>
      <c r="D35" s="96">
        <f>IFERROR(__xludf.DUMMYFUNCTION("""COMPUTED_VALUE"""),7.0)</f>
        <v>7</v>
      </c>
      <c r="E35" s="96"/>
      <c r="F35" s="99">
        <f>IFERROR(__xludf.DUMMYFUNCTION("""COMPUTED_VALUE"""),828.57)</f>
        <v>828.57</v>
      </c>
      <c r="G35" s="96">
        <f>IFERROR(__xludf.DUMMYFUNCTION("""COMPUTED_VALUE"""),7.0)</f>
        <v>7</v>
      </c>
      <c r="H35" s="96">
        <f>IFERROR(__xludf.DUMMYFUNCTION("""COMPUTED_VALUE"""),0.0)</f>
        <v>0</v>
      </c>
      <c r="I35" s="100">
        <f>IFERROR(__xludf.DUMMYFUNCTION("""COMPUTED_VALUE"""),371200.0)</f>
        <v>371200</v>
      </c>
    </row>
    <row r="36">
      <c r="A36" s="98">
        <f>IFERROR(__xludf.DUMMYFUNCTION("""COMPUTED_VALUE"""),44071.0)</f>
        <v>44071</v>
      </c>
      <c r="B36" s="96" t="str">
        <f>IFERROR(__xludf.DUMMYFUNCTION("""COMPUTED_VALUE"""),"ETUK EFFI")</f>
        <v>ETUK EFFI</v>
      </c>
      <c r="C36" s="96">
        <f>IFERROR(__xludf.DUMMYFUNCTION("""COMPUTED_VALUE"""),1477.0)</f>
        <v>1477</v>
      </c>
      <c r="D36" s="96">
        <f>IFERROR(__xludf.DUMMYFUNCTION("""COMPUTED_VALUE"""),23.0)</f>
        <v>23</v>
      </c>
      <c r="E36" s="96">
        <f>IFERROR(__xludf.DUMMYFUNCTION("""COMPUTED_VALUE"""),6.0)</f>
        <v>6</v>
      </c>
      <c r="F36" s="99">
        <f>IFERROR(__xludf.DUMMYFUNCTION("""COMPUTED_VALUE"""),875.44)</f>
        <v>875.44</v>
      </c>
      <c r="G36" s="96">
        <f>IFERROR(__xludf.DUMMYFUNCTION("""COMPUTED_VALUE"""),22.0)</f>
        <v>22</v>
      </c>
      <c r="H36" s="96">
        <f>IFERROR(__xludf.DUMMYFUNCTION("""COMPUTED_VALUE"""),62.0)</f>
        <v>62</v>
      </c>
      <c r="I36" s="100">
        <f>IFERROR(__xludf.DUMMYFUNCTION("""COMPUTED_VALUE"""),1286900.0)</f>
        <v>1286900</v>
      </c>
    </row>
    <row r="37">
      <c r="A37" s="98">
        <f>IFERROR(__xludf.DUMMYFUNCTION("""COMPUTED_VALUE"""),44071.0)</f>
        <v>44071</v>
      </c>
      <c r="B37" s="96" t="str">
        <f>IFERROR(__xludf.DUMMYFUNCTION("""COMPUTED_VALUE"""),"SEPH")</f>
        <v>SEPH</v>
      </c>
      <c r="C37" s="96">
        <f>IFERROR(__xludf.DUMMYFUNCTION("""COMPUTED_VALUE"""),3.0)</f>
        <v>3</v>
      </c>
      <c r="D37" s="96">
        <f>IFERROR(__xludf.DUMMYFUNCTION("""COMPUTED_VALUE"""),0.0)</f>
        <v>0</v>
      </c>
      <c r="E37" s="96">
        <f>IFERROR(__xludf.DUMMYFUNCTION("""COMPUTED_VALUE"""),0.0)</f>
        <v>0</v>
      </c>
      <c r="F37" s="99">
        <f>IFERROR(__xludf.DUMMYFUNCTION("""COMPUTED_VALUE"""),833.33)</f>
        <v>833.33</v>
      </c>
      <c r="G37" s="96">
        <f>IFERROR(__xludf.DUMMYFUNCTION("""COMPUTED_VALUE"""),0.0)</f>
        <v>0</v>
      </c>
      <c r="H37" s="96">
        <f>IFERROR(__xludf.DUMMYFUNCTION("""COMPUTED_VALUE"""),3.0)</f>
        <v>3</v>
      </c>
      <c r="I37" s="100">
        <f>IFERROR(__xludf.DUMMYFUNCTION("""COMPUTED_VALUE"""),2500.0)</f>
        <v>2500</v>
      </c>
    </row>
    <row r="38">
      <c r="A38" s="98">
        <f>IFERROR(__xludf.DUMMYFUNCTION("""COMPUTED_VALUE"""),44074.0)</f>
        <v>44074</v>
      </c>
      <c r="B38" s="96" t="str">
        <f>IFERROR(__xludf.DUMMYFUNCTION("""COMPUTED_VALUE"""),"ABANG. ANDREW")</f>
        <v>ABANG. ANDREW</v>
      </c>
      <c r="C38" s="96">
        <f>IFERROR(__xludf.DUMMYFUNCTION("""COMPUTED_VALUE"""),798.0)</f>
        <v>798</v>
      </c>
      <c r="D38" s="96">
        <f>IFERROR(__xludf.DUMMYFUNCTION("""COMPUTED_VALUE"""),6.0)</f>
        <v>6</v>
      </c>
      <c r="E38" s="96">
        <f>IFERROR(__xludf.DUMMYFUNCTION("""COMPUTED_VALUE"""),20.0)</f>
        <v>20</v>
      </c>
      <c r="F38" s="99">
        <f>IFERROR(__xludf.DUMMYFUNCTION("""COMPUTED_VALUE"""),837.05)</f>
        <v>837.05</v>
      </c>
      <c r="G38" s="96">
        <f>IFERROR(__xludf.DUMMYFUNCTION("""COMPUTED_VALUE"""),12.0)</f>
        <v>12</v>
      </c>
      <c r="H38" s="96">
        <f>IFERROR(__xludf.DUMMYFUNCTION("""COMPUTED_VALUE"""),16.0)</f>
        <v>16</v>
      </c>
      <c r="I38" s="100">
        <f>IFERROR(__xludf.DUMMYFUNCTION("""COMPUTED_VALUE"""),656250.0)</f>
        <v>656250</v>
      </c>
    </row>
    <row r="39">
      <c r="A39" s="98">
        <f>IFERROR(__xludf.DUMMYFUNCTION("""COMPUTED_VALUE"""),44074.0)</f>
        <v>44074</v>
      </c>
      <c r="B39" s="96" t="str">
        <f>IFERROR(__xludf.DUMMYFUNCTION("""COMPUTED_VALUE"""),"ABANG. ANDREW")</f>
        <v>ABANG. ANDREW</v>
      </c>
      <c r="C39" s="96">
        <f>IFERROR(__xludf.DUMMYFUNCTION("""COMPUTED_VALUE"""),16.0)</f>
        <v>16</v>
      </c>
      <c r="D39" s="96">
        <f>IFERROR(__xludf.DUMMYFUNCTION("""COMPUTED_VALUE"""),1.0)</f>
        <v>1</v>
      </c>
      <c r="E39" s="96">
        <f>IFERROR(__xludf.DUMMYFUNCTION("""COMPUTED_VALUE"""),0.0)</f>
        <v>0</v>
      </c>
      <c r="F39" s="99">
        <f>IFERROR(__xludf.DUMMYFUNCTION("""COMPUTED_VALUE"""),850.0)</f>
        <v>850</v>
      </c>
      <c r="G39" s="96">
        <f>IFERROR(__xludf.DUMMYFUNCTION("""COMPUTED_VALUE"""),0.0)</f>
        <v>0</v>
      </c>
      <c r="H39" s="96">
        <f>IFERROR(__xludf.DUMMYFUNCTION("""COMPUTED_VALUE"""),15.0)</f>
        <v>15</v>
      </c>
      <c r="I39" s="100">
        <f>IFERROR(__xludf.DUMMYFUNCTION("""COMPUTED_VALUE"""),12750.0)</f>
        <v>12750</v>
      </c>
    </row>
    <row r="40">
      <c r="A40" s="98">
        <f>IFERROR(__xludf.DUMMYFUNCTION("""COMPUTED_VALUE"""),44075.0)</f>
        <v>44075</v>
      </c>
      <c r="B40" s="96" t="str">
        <f>IFERROR(__xludf.DUMMYFUNCTION("""COMPUTED_VALUE"""),"CHINWE MGWUJA")</f>
        <v>CHINWE MGWUJA</v>
      </c>
      <c r="C40" s="96">
        <f>IFERROR(__xludf.DUMMYFUNCTION("""COMPUTED_VALUE"""),790.0)</f>
        <v>790</v>
      </c>
      <c r="D40" s="96">
        <f>IFERROR(__xludf.DUMMYFUNCTION("""COMPUTED_VALUE"""),10.0)</f>
        <v>10</v>
      </c>
      <c r="E40" s="96">
        <f>IFERROR(__xludf.DUMMYFUNCTION("""COMPUTED_VALUE"""),32.0)</f>
        <v>32</v>
      </c>
      <c r="F40" s="99">
        <f>IFERROR(__xludf.DUMMYFUNCTION("""COMPUTED_VALUE"""),831.09)</f>
        <v>831.09</v>
      </c>
      <c r="G40" s="96">
        <f>IFERROR(__xludf.DUMMYFUNCTION("""COMPUTED_VALUE"""),11.0)</f>
        <v>11</v>
      </c>
      <c r="H40" s="96">
        <f>IFERROR(__xludf.DUMMYFUNCTION("""COMPUTED_VALUE"""),55.0)</f>
        <v>55</v>
      </c>
      <c r="I40" s="100">
        <f>IFERROR(__xludf.DUMMYFUNCTION("""COMPUTED_VALUE"""),630800.0)</f>
        <v>630800</v>
      </c>
    </row>
    <row r="41">
      <c r="A41" s="98">
        <f>IFERROR(__xludf.DUMMYFUNCTION("""COMPUTED_VALUE"""),44075.0)</f>
        <v>44075</v>
      </c>
      <c r="B41" s="96" t="str">
        <f>IFERROR(__xludf.DUMMYFUNCTION("""COMPUTED_VALUE"""),"PALOS/NELSON")</f>
        <v>PALOS/NELSON</v>
      </c>
      <c r="C41" s="96">
        <f>IFERROR(__xludf.DUMMYFUNCTION("""COMPUTED_VALUE"""),194.0)</f>
        <v>194</v>
      </c>
      <c r="D41" s="96">
        <f>IFERROR(__xludf.DUMMYFUNCTION("""COMPUTED_VALUE"""),3.0)</f>
        <v>3</v>
      </c>
      <c r="E41" s="96">
        <f>IFERROR(__xludf.DUMMYFUNCTION("""COMPUTED_VALUE"""),0.0)</f>
        <v>0</v>
      </c>
      <c r="F41" s="99">
        <f>IFERROR(__xludf.DUMMYFUNCTION("""COMPUTED_VALUE"""),823.83)</f>
        <v>823.83</v>
      </c>
      <c r="G41" s="96">
        <f>IFERROR(__xludf.DUMMYFUNCTION("""COMPUTED_VALUE"""),3.0)</f>
        <v>3</v>
      </c>
      <c r="H41" s="96">
        <f>IFERROR(__xludf.DUMMYFUNCTION("""COMPUTED_VALUE"""),1.0)</f>
        <v>1</v>
      </c>
      <c r="I41" s="100">
        <f>IFERROR(__xludf.DUMMYFUNCTION("""COMPUTED_VALUE"""),159000.0)</f>
        <v>159000</v>
      </c>
    </row>
    <row r="42">
      <c r="A42" s="98">
        <f>IFERROR(__xludf.DUMMYFUNCTION("""COMPUTED_VALUE"""),44075.0)</f>
        <v>44075</v>
      </c>
      <c r="B42" s="96" t="str">
        <f>IFERROR(__xludf.DUMMYFUNCTION("""COMPUTED_VALUE"""),"OKONG")</f>
        <v>OKONG</v>
      </c>
      <c r="C42" s="96">
        <f>IFERROR(__xludf.DUMMYFUNCTION("""COMPUTED_VALUE"""),24.0)</f>
        <v>24</v>
      </c>
      <c r="D42" s="96"/>
      <c r="E42" s="96"/>
      <c r="F42" s="99">
        <f>IFERROR(__xludf.DUMMYFUNCTION("""COMPUTED_VALUE"""),850.0)</f>
        <v>850</v>
      </c>
      <c r="G42" s="96">
        <f>IFERROR(__xludf.DUMMYFUNCTION("""COMPUTED_VALUE"""),0.0)</f>
        <v>0</v>
      </c>
      <c r="H42" s="96">
        <f>IFERROR(__xludf.DUMMYFUNCTION("""COMPUTED_VALUE"""),24.0)</f>
        <v>24</v>
      </c>
      <c r="I42" s="100">
        <f>IFERROR(__xludf.DUMMYFUNCTION("""COMPUTED_VALUE"""),20400.0)</f>
        <v>20400</v>
      </c>
    </row>
    <row r="43">
      <c r="A43" s="98">
        <f>IFERROR(__xludf.DUMMYFUNCTION("""COMPUTED_VALUE"""),44075.0)</f>
        <v>44075</v>
      </c>
      <c r="B43" s="96" t="str">
        <f>IFERROR(__xludf.DUMMYFUNCTION("""COMPUTED_VALUE"""),"ONG ONG")</f>
        <v>ONG ONG</v>
      </c>
      <c r="C43" s="96">
        <f>IFERROR(__xludf.DUMMYFUNCTION("""COMPUTED_VALUE"""),120.0)</f>
        <v>120</v>
      </c>
      <c r="D43" s="96"/>
      <c r="E43" s="96"/>
      <c r="F43" s="99">
        <f>IFERROR(__xludf.DUMMYFUNCTION("""COMPUTED_VALUE"""),781.82)</f>
        <v>781.82</v>
      </c>
      <c r="G43" s="96">
        <f>IFERROR(__xludf.DUMMYFUNCTION("""COMPUTED_VALUE"""),1.0)</f>
        <v>1</v>
      </c>
      <c r="H43" s="96">
        <f>IFERROR(__xludf.DUMMYFUNCTION("""COMPUTED_VALUE"""),57.0)</f>
        <v>57</v>
      </c>
      <c r="I43" s="100">
        <f>IFERROR(__xludf.DUMMYFUNCTION("""COMPUTED_VALUE"""),94600.0)</f>
        <v>94600</v>
      </c>
    </row>
    <row r="44">
      <c r="A44" s="98">
        <f>IFERROR(__xludf.DUMMYFUNCTION("""COMPUTED_VALUE"""),44077.0)</f>
        <v>44077</v>
      </c>
      <c r="B44" s="96" t="str">
        <f>IFERROR(__xludf.DUMMYFUNCTION("""COMPUTED_VALUE"""),"ABANG. CONFIDENCE")</f>
        <v>ABANG. CONFIDENCE</v>
      </c>
      <c r="C44" s="96">
        <f>IFERROR(__xludf.DUMMYFUNCTION("""COMPUTED_VALUE"""),37.0)</f>
        <v>37</v>
      </c>
      <c r="D44" s="96"/>
      <c r="E44" s="96">
        <f>IFERROR(__xludf.DUMMYFUNCTION("""COMPUTED_VALUE"""),2.0)</f>
        <v>2</v>
      </c>
      <c r="F44" s="99">
        <f>IFERROR(__xludf.DUMMYFUNCTION("""COMPUTED_VALUE"""),885.71)</f>
        <v>885.71</v>
      </c>
      <c r="G44" s="96">
        <f>IFERROR(__xludf.DUMMYFUNCTION("""COMPUTED_VALUE"""),0.0)</f>
        <v>0</v>
      </c>
      <c r="H44" s="96">
        <f>IFERROR(__xludf.DUMMYFUNCTION("""COMPUTED_VALUE"""),35.0)</f>
        <v>35</v>
      </c>
      <c r="I44" s="100">
        <f>IFERROR(__xludf.DUMMYFUNCTION("""COMPUTED_VALUE"""),31000.0)</f>
        <v>31000</v>
      </c>
    </row>
    <row r="45">
      <c r="A45" s="98"/>
      <c r="B45" s="96"/>
      <c r="C45" s="96"/>
      <c r="D45" s="96"/>
      <c r="E45" s="96"/>
      <c r="F45" s="99"/>
      <c r="G45" s="96"/>
      <c r="H45" s="96"/>
      <c r="I45" s="100"/>
    </row>
    <row r="46">
      <c r="A46" s="98">
        <f>IFERROR(__xludf.DUMMYFUNCTION("""COMPUTED_VALUE"""),44079.0)</f>
        <v>44079</v>
      </c>
      <c r="B46" s="96" t="str">
        <f>IFERROR(__xludf.DUMMYFUNCTION("""COMPUTED_VALUE"""),"A.D. FREDERICK")</f>
        <v>A.D. FREDERICK</v>
      </c>
      <c r="C46" s="96">
        <f>IFERROR(__xludf.DUMMYFUNCTION("""COMPUTED_VALUE"""),35.0)</f>
        <v>35</v>
      </c>
      <c r="D46" s="96">
        <f>IFERROR(__xludf.DUMMYFUNCTION("""COMPUTED_VALUE"""),1.0)</f>
        <v>1</v>
      </c>
      <c r="E46" s="96"/>
      <c r="F46" s="99">
        <f>IFERROR(__xludf.DUMMYFUNCTION("""COMPUTED_VALUE"""),838.24)</f>
        <v>838.24</v>
      </c>
      <c r="G46" s="96">
        <f>IFERROR(__xludf.DUMMYFUNCTION("""COMPUTED_VALUE"""),0.0)</f>
        <v>0</v>
      </c>
      <c r="H46" s="96">
        <f>IFERROR(__xludf.DUMMYFUNCTION("""COMPUTED_VALUE"""),34.0)</f>
        <v>34</v>
      </c>
      <c r="I46" s="100">
        <f>IFERROR(__xludf.DUMMYFUNCTION("""COMPUTED_VALUE"""),28500.0)</f>
        <v>28500</v>
      </c>
    </row>
    <row r="47">
      <c r="A47" s="98">
        <f>IFERROR(__xludf.DUMMYFUNCTION("""COMPUTED_VALUE"""),44081.0)</f>
        <v>44081</v>
      </c>
      <c r="B47" s="96" t="str">
        <f>IFERROR(__xludf.DUMMYFUNCTION("""COMPUTED_VALUE"""),"ABANG. TIWA HNSON")</f>
        <v>ABANG. TIWA HNSON</v>
      </c>
      <c r="C47" s="96">
        <f>IFERROR(__xludf.DUMMYFUNCTION("""COMPUTED_VALUE"""),374.0)</f>
        <v>374</v>
      </c>
      <c r="D47" s="96"/>
      <c r="E47" s="96"/>
      <c r="F47" s="99">
        <f>IFERROR(__xludf.DUMMYFUNCTION("""COMPUTED_VALUE"""),790.24)</f>
        <v>790.24</v>
      </c>
      <c r="G47" s="96">
        <f>IFERROR(__xludf.DUMMYFUNCTION("""COMPUTED_VALUE"""),5.0)</f>
        <v>5</v>
      </c>
      <c r="H47" s="96">
        <f>IFERROR(__xludf.DUMMYFUNCTION("""COMPUTED_VALUE"""),59.0)</f>
        <v>59</v>
      </c>
      <c r="I47" s="100">
        <f>IFERROR(__xludf.DUMMYFUNCTION("""COMPUTED_VALUE"""),299500.0)</f>
        <v>299500</v>
      </c>
    </row>
    <row r="48">
      <c r="A48" s="98">
        <f>IFERROR(__xludf.DUMMYFUNCTION("""COMPUTED_VALUE"""),44086.0)</f>
        <v>44086</v>
      </c>
      <c r="B48" s="96" t="str">
        <f>IFERROR(__xludf.DUMMYFUNCTION("""COMPUTED_VALUE"""),"ABANG. CONFIDENCE")</f>
        <v>ABANG. CONFIDENCE</v>
      </c>
      <c r="C48" s="96">
        <f>IFERROR(__xludf.DUMMYFUNCTION("""COMPUTED_VALUE"""),179.0)</f>
        <v>179</v>
      </c>
      <c r="D48" s="96">
        <f>IFERROR(__xludf.DUMMYFUNCTION("""COMPUTED_VALUE"""),3.0)</f>
        <v>3</v>
      </c>
      <c r="E48" s="96"/>
      <c r="F48" s="99">
        <f>IFERROR(__xludf.DUMMYFUNCTION("""COMPUTED_VALUE"""),840.45)</f>
        <v>840.45</v>
      </c>
      <c r="G48" s="96">
        <f>IFERROR(__xludf.DUMMYFUNCTION("""COMPUTED_VALUE"""),2.0)</f>
        <v>2</v>
      </c>
      <c r="H48" s="96">
        <f>IFERROR(__xludf.DUMMYFUNCTION("""COMPUTED_VALUE"""),50.0)</f>
        <v>50</v>
      </c>
      <c r="I48" s="100">
        <f>IFERROR(__xludf.DUMMYFUNCTION("""COMPUTED_VALUE"""),149600.0)</f>
        <v>149600</v>
      </c>
    </row>
    <row r="49">
      <c r="A49" s="98">
        <f>IFERROR(__xludf.DUMMYFUNCTION("""COMPUTED_VALUE"""),44088.0)</f>
        <v>44088</v>
      </c>
      <c r="B49" s="96" t="str">
        <f>IFERROR(__xludf.DUMMYFUNCTION("""COMPUTED_VALUE"""),"ABANG. CHINWE")</f>
        <v>ABANG. CHINWE</v>
      </c>
      <c r="C49" s="96">
        <f>IFERROR(__xludf.DUMMYFUNCTION("""COMPUTED_VALUE"""),147.0)</f>
        <v>147</v>
      </c>
      <c r="D49" s="96"/>
      <c r="E49" s="96"/>
      <c r="F49" s="99">
        <f>IFERROR(__xludf.DUMMYFUNCTION("""COMPUTED_VALUE"""),1320.81)</f>
        <v>1320.81</v>
      </c>
      <c r="G49" s="96">
        <f>IFERROR(__xludf.DUMMYFUNCTION("""COMPUTED_VALUE"""),2.0)</f>
        <v>2</v>
      </c>
      <c r="H49" s="96">
        <f>IFERROR(__xludf.DUMMYFUNCTION("""COMPUTED_VALUE"""),21.0)</f>
        <v>21</v>
      </c>
      <c r="I49" s="100">
        <f>IFERROR(__xludf.DUMMYFUNCTION("""COMPUTED_VALUE"""),196800.0)</f>
        <v>196800</v>
      </c>
    </row>
    <row r="50">
      <c r="A50" s="98">
        <f>IFERROR(__xludf.DUMMYFUNCTION("""COMPUTED_VALUE"""),44088.0)</f>
        <v>44088</v>
      </c>
      <c r="B50" s="96" t="str">
        <f>IFERROR(__xludf.DUMMYFUNCTION("""COMPUTED_VALUE"""),"DADDY")</f>
        <v>DADDY</v>
      </c>
      <c r="C50" s="96">
        <f>IFERROR(__xludf.DUMMYFUNCTION("""COMPUTED_VALUE"""),138.0)</f>
        <v>138</v>
      </c>
      <c r="D50" s="96"/>
      <c r="E50" s="96"/>
      <c r="F50" s="99">
        <f>IFERROR(__xludf.DUMMYFUNCTION("""COMPUTED_VALUE"""),846.43)</f>
        <v>846.43</v>
      </c>
      <c r="G50" s="96">
        <f>IFERROR(__xludf.DUMMYFUNCTION("""COMPUTED_VALUE"""),2.0)</f>
        <v>2</v>
      </c>
      <c r="H50" s="96">
        <f>IFERROR(__xludf.DUMMYFUNCTION("""COMPUTED_VALUE"""),12.0)</f>
        <v>12</v>
      </c>
      <c r="I50" s="100">
        <f>IFERROR(__xludf.DUMMYFUNCTION("""COMPUTED_VALUE"""),118500.0)</f>
        <v>118500</v>
      </c>
    </row>
    <row r="51">
      <c r="A51" s="98">
        <f>IFERROR(__xludf.DUMMYFUNCTION("""COMPUTED_VALUE"""),44090.0)</f>
        <v>44090</v>
      </c>
      <c r="B51" s="96" t="str">
        <f>IFERROR(__xludf.DUMMYFUNCTION("""COMPUTED_VALUE"""),"ASHENTEE")</f>
        <v>ASHENTEE</v>
      </c>
      <c r="C51" s="96">
        <f>IFERROR(__xludf.DUMMYFUNCTION("""COMPUTED_VALUE"""),375.0)</f>
        <v>375</v>
      </c>
      <c r="D51" s="96">
        <f>IFERROR(__xludf.DUMMYFUNCTION("""COMPUTED_VALUE"""),7.0)</f>
        <v>7</v>
      </c>
      <c r="E51" s="96">
        <f>IFERROR(__xludf.DUMMYFUNCTION("""COMPUTED_VALUE"""),52.0)</f>
        <v>52</v>
      </c>
      <c r="F51" s="99">
        <f>IFERROR(__xludf.DUMMYFUNCTION("""COMPUTED_VALUE"""),986.88)</f>
        <v>986.88</v>
      </c>
      <c r="G51" s="96">
        <f>IFERROR(__xludf.DUMMYFUNCTION("""COMPUTED_VALUE"""),5.0)</f>
        <v>5</v>
      </c>
      <c r="H51" s="96">
        <f>IFERROR(__xludf.DUMMYFUNCTION("""COMPUTED_VALUE"""),0.0)</f>
        <v>0</v>
      </c>
      <c r="I51" s="100">
        <f>IFERROR(__xludf.DUMMYFUNCTION("""COMPUTED_VALUE"""),315800.0)</f>
        <v>315800</v>
      </c>
    </row>
    <row r="52">
      <c r="A52" s="98">
        <f>IFERROR(__xludf.DUMMYFUNCTION("""COMPUTED_VALUE"""),44092.0)</f>
        <v>44092</v>
      </c>
      <c r="B52" s="96" t="str">
        <f>IFERROR(__xludf.DUMMYFUNCTION("""COMPUTED_VALUE"""),"ABANG. CONFIDENCE")</f>
        <v>ABANG. CONFIDENCE</v>
      </c>
      <c r="C52" s="96">
        <f>IFERROR(__xludf.DUMMYFUNCTION("""COMPUTED_VALUE"""),270.0)</f>
        <v>270</v>
      </c>
      <c r="D52" s="96">
        <f>IFERROR(__xludf.DUMMYFUNCTION("""COMPUTED_VALUE"""),4.0)</f>
        <v>4</v>
      </c>
      <c r="E52" s="96">
        <f>IFERROR(__xludf.DUMMYFUNCTION("""COMPUTED_VALUE"""),21.0)</f>
        <v>21</v>
      </c>
      <c r="F52" s="99">
        <f>IFERROR(__xludf.DUMMYFUNCTION("""COMPUTED_VALUE"""),385.48)</f>
        <v>385.48</v>
      </c>
      <c r="G52" s="96">
        <f>IFERROR(__xludf.DUMMYFUNCTION("""COMPUTED_VALUE"""),3.0)</f>
        <v>3</v>
      </c>
      <c r="H52" s="96">
        <f>IFERROR(__xludf.DUMMYFUNCTION("""COMPUTED_VALUE"""),56.0)</f>
        <v>56</v>
      </c>
      <c r="I52" s="100">
        <f>IFERROR(__xludf.DUMMYFUNCTION("""COMPUTED_VALUE"""),95600.0)</f>
        <v>95600</v>
      </c>
    </row>
    <row r="53">
      <c r="A53" s="98">
        <f>IFERROR(__xludf.DUMMYFUNCTION("""COMPUTED_VALUE"""),44095.0)</f>
        <v>44095</v>
      </c>
      <c r="B53" s="96" t="str">
        <f>IFERROR(__xludf.DUMMYFUNCTION("""COMPUTED_VALUE"""),"CHELECHI")</f>
        <v>CHELECHI</v>
      </c>
      <c r="C53" s="96">
        <f>IFERROR(__xludf.DUMMYFUNCTION("""COMPUTED_VALUE"""),135.0)</f>
        <v>135</v>
      </c>
      <c r="D53" s="96">
        <f>IFERROR(__xludf.DUMMYFUNCTION("""COMPUTED_VALUE"""),2.0)</f>
        <v>2</v>
      </c>
      <c r="E53" s="96"/>
      <c r="F53" s="99">
        <f>IFERROR(__xludf.DUMMYFUNCTION("""COMPUTED_VALUE"""),885.19)</f>
        <v>885.19</v>
      </c>
      <c r="G53" s="96">
        <f>IFERROR(__xludf.DUMMYFUNCTION("""COMPUTED_VALUE"""),2.0)</f>
        <v>2</v>
      </c>
      <c r="H53" s="96">
        <f>IFERROR(__xludf.DUMMYFUNCTION("""COMPUTED_VALUE"""),7.0)</f>
        <v>7</v>
      </c>
      <c r="I53" s="100">
        <f>IFERROR(__xludf.DUMMYFUNCTION("""COMPUTED_VALUE"""),119500.0)</f>
        <v>119500</v>
      </c>
    </row>
    <row r="54">
      <c r="A54" s="98">
        <f>IFERROR(__xludf.DUMMYFUNCTION("""COMPUTED_VALUE"""),44095.0)</f>
        <v>44095</v>
      </c>
      <c r="B54" s="96" t="str">
        <f>IFERROR(__xludf.DUMMYFUNCTION("""COMPUTED_VALUE"""),"ABANG. HN")</f>
        <v>ABANG. HN</v>
      </c>
      <c r="C54" s="96">
        <f>IFERROR(__xludf.DUMMYFUNCTION("""COMPUTED_VALUE"""),91.0)</f>
        <v>91</v>
      </c>
      <c r="D54" s="96">
        <f>IFERROR(__xludf.DUMMYFUNCTION("""COMPUTED_VALUE"""),2.0)</f>
        <v>2</v>
      </c>
      <c r="E54" s="96">
        <f>IFERROR(__xludf.DUMMYFUNCTION("""COMPUTED_VALUE"""),8.0)</f>
        <v>8</v>
      </c>
      <c r="F54" s="99">
        <f>IFERROR(__xludf.DUMMYFUNCTION("""COMPUTED_VALUE"""),889.02)</f>
        <v>889.02</v>
      </c>
      <c r="G54" s="96">
        <f>IFERROR(__xludf.DUMMYFUNCTION("""COMPUTED_VALUE"""),1.0)</f>
        <v>1</v>
      </c>
      <c r="H54" s="96">
        <f>IFERROR(__xludf.DUMMYFUNCTION("""COMPUTED_VALUE"""),18.0)</f>
        <v>18</v>
      </c>
      <c r="I54" s="100">
        <f>IFERROR(__xludf.DUMMYFUNCTION("""COMPUTED_VALUE"""),72900.0)</f>
        <v>72900</v>
      </c>
    </row>
    <row r="55">
      <c r="A55" s="98">
        <f>IFERROR(__xludf.DUMMYFUNCTION("""COMPUTED_VALUE"""),44095.0)</f>
        <v>44095</v>
      </c>
      <c r="B55" s="96" t="str">
        <f>IFERROR(__xludf.DUMMYFUNCTION("""COMPUTED_VALUE"""),"ABANG. ORU")</f>
        <v>ABANG. ORU</v>
      </c>
      <c r="C55" s="96">
        <f>IFERROR(__xludf.DUMMYFUNCTION("""COMPUTED_VALUE"""),67.0)</f>
        <v>67</v>
      </c>
      <c r="D55" s="96">
        <f>IFERROR(__xludf.DUMMYFUNCTION("""COMPUTED_VALUE"""),0.0)</f>
        <v>0</v>
      </c>
      <c r="E55" s="96">
        <f>IFERROR(__xludf.DUMMYFUNCTION("""COMPUTED_VALUE"""),4.0)</f>
        <v>4</v>
      </c>
      <c r="F55" s="99">
        <f>IFERROR(__xludf.DUMMYFUNCTION("""COMPUTED_VALUE"""),865.63)</f>
        <v>865.63</v>
      </c>
      <c r="G55" s="96">
        <f>IFERROR(__xludf.DUMMYFUNCTION("""COMPUTED_VALUE"""),1.0)</f>
        <v>1</v>
      </c>
      <c r="H55" s="96">
        <f>IFERROR(__xludf.DUMMYFUNCTION("""COMPUTED_VALUE"""),0.0)</f>
        <v>0</v>
      </c>
      <c r="I55" s="100">
        <f>IFERROR(__xludf.DUMMYFUNCTION("""COMPUTED_VALUE"""),55400.0)</f>
        <v>55400</v>
      </c>
    </row>
    <row r="56">
      <c r="A56" s="98">
        <f>IFERROR(__xludf.DUMMYFUNCTION("""COMPUTED_VALUE"""),44099.0)</f>
        <v>44099</v>
      </c>
      <c r="B56" s="96" t="str">
        <f>IFERROR(__xludf.DUMMYFUNCTION("""COMPUTED_VALUE"""),"ABANG. KOKOK")</f>
        <v>ABANG. KOKOK</v>
      </c>
      <c r="C56" s="96">
        <f>IFERROR(__xludf.DUMMYFUNCTION("""COMPUTED_VALUE"""),437.0)</f>
        <v>437</v>
      </c>
      <c r="D56" s="96">
        <f>IFERROR(__xludf.DUMMYFUNCTION("""COMPUTED_VALUE"""),1.0)</f>
        <v>1</v>
      </c>
      <c r="E56" s="96">
        <f>IFERROR(__xludf.DUMMYFUNCTION("""COMPUTED_VALUE"""),24.0)</f>
        <v>24</v>
      </c>
      <c r="F56" s="99">
        <f>IFERROR(__xludf.DUMMYFUNCTION("""COMPUTED_VALUE"""),936.6)</f>
        <v>936.6</v>
      </c>
      <c r="G56" s="96">
        <f>IFERROR(__xludf.DUMMYFUNCTION("""COMPUTED_VALUE"""),6.0)</f>
        <v>6</v>
      </c>
      <c r="H56" s="96">
        <f>IFERROR(__xludf.DUMMYFUNCTION("""COMPUTED_VALUE"""),34.0)</f>
        <v>34</v>
      </c>
      <c r="I56" s="100">
        <f>IFERROR(__xludf.DUMMYFUNCTION("""COMPUTED_VALUE"""),391500.0)</f>
        <v>391500</v>
      </c>
    </row>
    <row r="57">
      <c r="A57" s="98">
        <f>IFERROR(__xludf.DUMMYFUNCTION("""COMPUTED_VALUE"""),44102.0)</f>
        <v>44102</v>
      </c>
      <c r="B57" s="96" t="str">
        <f>IFERROR(__xludf.DUMMYFUNCTION("""COMPUTED_VALUE"""),"NDOMA BODES")</f>
        <v>NDOMA BODES</v>
      </c>
      <c r="C57" s="96">
        <f>IFERROR(__xludf.DUMMYFUNCTION("""COMPUTED_VALUE"""),926.0)</f>
        <v>926</v>
      </c>
      <c r="D57" s="96">
        <f>IFERROR(__xludf.DUMMYFUNCTION("""COMPUTED_VALUE"""),15.0)</f>
        <v>15</v>
      </c>
      <c r="E57" s="96"/>
      <c r="F57" s="99">
        <f>IFERROR(__xludf.DUMMYFUNCTION("""COMPUTED_VALUE"""),936.0)</f>
        <v>936</v>
      </c>
      <c r="G57" s="96">
        <f>IFERROR(__xludf.DUMMYFUNCTION("""COMPUTED_VALUE"""),14.0)</f>
        <v>14</v>
      </c>
      <c r="H57" s="96">
        <f>IFERROR(__xludf.DUMMYFUNCTION("""COMPUTED_VALUE"""),29.0)</f>
        <v>29</v>
      </c>
      <c r="I57" s="100">
        <f>IFERROR(__xludf.DUMMYFUNCTION("""COMPUTED_VALUE"""),865800.0)</f>
        <v>865800</v>
      </c>
    </row>
    <row r="58">
      <c r="A58" s="98">
        <f>IFERROR(__xludf.DUMMYFUNCTION("""COMPUTED_VALUE"""),44103.0)</f>
        <v>44103</v>
      </c>
      <c r="B58" s="96" t="str">
        <f>IFERROR(__xludf.DUMMYFUNCTION("""COMPUTED_VALUE"""),"ABANG. HN")</f>
        <v>ABANG. HN</v>
      </c>
      <c r="C58" s="96">
        <f>IFERROR(__xludf.DUMMYFUNCTION("""COMPUTED_VALUE"""),22.0)</f>
        <v>22</v>
      </c>
      <c r="D58" s="96">
        <f>IFERROR(__xludf.DUMMYFUNCTION("""COMPUTED_VALUE"""),0.0)</f>
        <v>0</v>
      </c>
      <c r="E58" s="96">
        <f>IFERROR(__xludf.DUMMYFUNCTION("""COMPUTED_VALUE"""),0.0)</f>
        <v>0</v>
      </c>
      <c r="F58" s="99">
        <f>IFERROR(__xludf.DUMMYFUNCTION("""COMPUTED_VALUE"""),950.0)</f>
        <v>950</v>
      </c>
      <c r="G58" s="96">
        <f>IFERROR(__xludf.DUMMYFUNCTION("""COMPUTED_VALUE"""),0.0)</f>
        <v>0</v>
      </c>
      <c r="H58" s="96">
        <f>IFERROR(__xludf.DUMMYFUNCTION("""COMPUTED_VALUE"""),22.0)</f>
        <v>22</v>
      </c>
      <c r="I58" s="100">
        <f>IFERROR(__xludf.DUMMYFUNCTION("""COMPUTED_VALUE"""),20900.0)</f>
        <v>20900</v>
      </c>
    </row>
    <row r="59">
      <c r="A59" s="98">
        <f>IFERROR(__xludf.DUMMYFUNCTION("""COMPUTED_VALUE"""),44103.0)</f>
        <v>44103</v>
      </c>
      <c r="B59" s="96" t="str">
        <f>IFERROR(__xludf.DUMMYFUNCTION("""COMPUTED_VALUE"""),"DOC. AYANG")</f>
        <v>DOC. AYANG</v>
      </c>
      <c r="C59" s="96">
        <f>IFERROR(__xludf.DUMMYFUNCTION("""COMPUTED_VALUE"""),182.0)</f>
        <v>182</v>
      </c>
      <c r="D59" s="96"/>
      <c r="E59" s="96">
        <f>IFERROR(__xludf.DUMMYFUNCTION("""COMPUTED_VALUE"""),16.0)</f>
        <v>16</v>
      </c>
      <c r="F59" s="99">
        <f>IFERROR(__xludf.DUMMYFUNCTION("""COMPUTED_VALUE"""),908.93)</f>
        <v>908.93</v>
      </c>
      <c r="G59" s="96">
        <f>IFERROR(__xludf.DUMMYFUNCTION("""COMPUTED_VALUE"""),2.0)</f>
        <v>2</v>
      </c>
      <c r="H59" s="96">
        <f>IFERROR(__xludf.DUMMYFUNCTION("""COMPUTED_VALUE"""),40.0)</f>
        <v>40</v>
      </c>
      <c r="I59" s="100">
        <f>IFERROR(__xludf.DUMMYFUNCTION("""COMPUTED_VALUE"""),152700.0)</f>
        <v>152700</v>
      </c>
    </row>
    <row r="60">
      <c r="A60" s="98">
        <f>IFERROR(__xludf.DUMMYFUNCTION("""COMPUTED_VALUE"""),44104.0)</f>
        <v>44104</v>
      </c>
      <c r="B60" s="96" t="str">
        <f>IFERROR(__xludf.DUMMYFUNCTION("""COMPUTED_VALUE"""),"ABANG. SUNNY")</f>
        <v>ABANG. SUNNY</v>
      </c>
      <c r="C60" s="96">
        <f>IFERROR(__xludf.DUMMYFUNCTION("""COMPUTED_VALUE"""),31.0)</f>
        <v>31</v>
      </c>
      <c r="D60" s="96"/>
      <c r="E60" s="96">
        <f>IFERROR(__xludf.DUMMYFUNCTION("""COMPUTED_VALUE"""),1.0)</f>
        <v>1</v>
      </c>
      <c r="F60" s="99">
        <f>IFERROR(__xludf.DUMMYFUNCTION("""COMPUTED_VALUE"""),950.0)</f>
        <v>950</v>
      </c>
      <c r="G60" s="96">
        <f>IFERROR(__xludf.DUMMYFUNCTION("""COMPUTED_VALUE"""),0.0)</f>
        <v>0</v>
      </c>
      <c r="H60" s="96">
        <f>IFERROR(__xludf.DUMMYFUNCTION("""COMPUTED_VALUE"""),30.0)</f>
        <v>30</v>
      </c>
      <c r="I60" s="100">
        <f>IFERROR(__xludf.DUMMYFUNCTION("""COMPUTED_VALUE"""),28500.0)</f>
        <v>28500</v>
      </c>
    </row>
    <row r="61">
      <c r="A61" s="98">
        <f>IFERROR(__xludf.DUMMYFUNCTION("""COMPUTED_VALUE"""),44104.0)</f>
        <v>44104</v>
      </c>
      <c r="B61" s="96" t="str">
        <f>IFERROR(__xludf.DUMMYFUNCTION("""COMPUTED_VALUE"""),"EMMANUEL")</f>
        <v>EMMANUEL</v>
      </c>
      <c r="C61" s="96">
        <f>IFERROR(__xludf.DUMMYFUNCTION("""COMPUTED_VALUE"""),130.0)</f>
        <v>130</v>
      </c>
      <c r="D61" s="96">
        <f>IFERROR(__xludf.DUMMYFUNCTION("""COMPUTED_VALUE"""),2.0)</f>
        <v>2</v>
      </c>
      <c r="E61" s="96"/>
      <c r="F61" s="99">
        <f>IFERROR(__xludf.DUMMYFUNCTION("""COMPUTED_VALUE"""),976.74)</f>
        <v>976.74</v>
      </c>
      <c r="G61" s="96">
        <f>IFERROR(__xludf.DUMMYFUNCTION("""COMPUTED_VALUE"""),2.0)</f>
        <v>2</v>
      </c>
      <c r="H61" s="96">
        <f>IFERROR(__xludf.DUMMYFUNCTION("""COMPUTED_VALUE"""),1.0)</f>
        <v>1</v>
      </c>
      <c r="I61" s="100">
        <f>IFERROR(__xludf.DUMMYFUNCTION("""COMPUTED_VALUE"""),126000.0)</f>
        <v>126000</v>
      </c>
    </row>
    <row r="62">
      <c r="A62" s="98">
        <f>IFERROR(__xludf.DUMMYFUNCTION("""COMPUTED_VALUE"""),44103.0)</f>
        <v>44103</v>
      </c>
      <c r="B62" s="96" t="str">
        <f>IFERROR(__xludf.DUMMYFUNCTION("""COMPUTED_VALUE"""),"TINA")</f>
        <v>TINA</v>
      </c>
      <c r="C62" s="96">
        <f>IFERROR(__xludf.DUMMYFUNCTION("""COMPUTED_VALUE"""),5.0)</f>
        <v>5</v>
      </c>
      <c r="D62" s="96"/>
      <c r="E62" s="96"/>
      <c r="F62" s="99">
        <f>IFERROR(__xludf.DUMMYFUNCTION("""COMPUTED_VALUE"""),600.0)</f>
        <v>600</v>
      </c>
      <c r="G62" s="96">
        <f>IFERROR(__xludf.DUMMYFUNCTION("""COMPUTED_VALUE"""),0.0)</f>
        <v>0</v>
      </c>
      <c r="H62" s="96">
        <f>IFERROR(__xludf.DUMMYFUNCTION("""COMPUTED_VALUE"""),5.0)</f>
        <v>5</v>
      </c>
      <c r="I62" s="100">
        <f>IFERROR(__xludf.DUMMYFUNCTION("""COMPUTED_VALUE"""),3000.0)</f>
        <v>3000</v>
      </c>
    </row>
    <row r="63">
      <c r="A63" s="98">
        <f>IFERROR(__xludf.DUMMYFUNCTION("""COMPUTED_VALUE"""),44103.0)</f>
        <v>44103</v>
      </c>
      <c r="B63" s="96" t="str">
        <f>IFERROR(__xludf.DUMMYFUNCTION("""COMPUTED_VALUE"""),"ABANG. OBIM")</f>
        <v>ABANG. OBIM</v>
      </c>
      <c r="C63" s="96">
        <f>IFERROR(__xludf.DUMMYFUNCTION("""COMPUTED_VALUE"""),114.0)</f>
        <v>114</v>
      </c>
      <c r="D63" s="96"/>
      <c r="E63" s="96"/>
      <c r="F63" s="99">
        <f>IFERROR(__xludf.DUMMYFUNCTION("""COMPUTED_VALUE"""),913.04)</f>
        <v>913.04</v>
      </c>
      <c r="G63" s="96">
        <f>IFERROR(__xludf.DUMMYFUNCTION("""COMPUTED_VALUE"""),1.0)</f>
        <v>1</v>
      </c>
      <c r="H63" s="96">
        <f>IFERROR(__xludf.DUMMYFUNCTION("""COMPUTED_VALUE"""),51.0)</f>
        <v>51</v>
      </c>
      <c r="I63" s="100">
        <f>IFERROR(__xludf.DUMMYFUNCTION("""COMPUTED_VALUE"""),105000.0)</f>
        <v>105000</v>
      </c>
    </row>
    <row r="64">
      <c r="A64" s="98">
        <f>IFERROR(__xludf.DUMMYFUNCTION("""COMPUTED_VALUE"""),44105.0)</f>
        <v>44105</v>
      </c>
      <c r="B64" s="96" t="str">
        <f>IFERROR(__xludf.DUMMYFUNCTION("""COMPUTED_VALUE"""),"ONG")</f>
        <v>ONG</v>
      </c>
      <c r="C64" s="96">
        <f>IFERROR(__xludf.DUMMYFUNCTION("""COMPUTED_VALUE"""),55.0)</f>
        <v>55</v>
      </c>
      <c r="D64" s="96">
        <f>IFERROR(__xludf.DUMMYFUNCTION("""COMPUTED_VALUE"""),1.0)</f>
        <v>1</v>
      </c>
      <c r="E64" s="96">
        <f>IFERROR(__xludf.DUMMYFUNCTION("""COMPUTED_VALUE"""),0.0)</f>
        <v>0</v>
      </c>
      <c r="F64" s="99">
        <f>IFERROR(__xludf.DUMMYFUNCTION("""COMPUTED_VALUE"""),950.0)</f>
        <v>950</v>
      </c>
      <c r="G64" s="96">
        <f>IFERROR(__xludf.DUMMYFUNCTION("""COMPUTED_VALUE"""),0.0)</f>
        <v>0</v>
      </c>
      <c r="H64" s="96">
        <f>IFERROR(__xludf.DUMMYFUNCTION("""COMPUTED_VALUE"""),54.0)</f>
        <v>54</v>
      </c>
      <c r="I64" s="100">
        <f>IFERROR(__xludf.DUMMYFUNCTION("""COMPUTED_VALUE"""),51300.0)</f>
        <v>51300</v>
      </c>
    </row>
    <row r="65">
      <c r="A65" s="98">
        <f>IFERROR(__xludf.DUMMYFUNCTION("""COMPUTED_VALUE"""),44106.0)</f>
        <v>44106</v>
      </c>
      <c r="B65" s="96" t="str">
        <f>IFERROR(__xludf.DUMMYFUNCTION("""COMPUTED_VALUE"""),"DIRECTOR FRIEND")</f>
        <v>DIRECTOR FRIEND</v>
      </c>
      <c r="C65" s="96">
        <f>IFERROR(__xludf.DUMMYFUNCTION("""COMPUTED_VALUE"""),183.0)</f>
        <v>183</v>
      </c>
      <c r="D65" s="96">
        <f>IFERROR(__xludf.DUMMYFUNCTION("""COMPUTED_VALUE"""),3.0)</f>
        <v>3</v>
      </c>
      <c r="E65" s="96">
        <f>IFERROR(__xludf.DUMMYFUNCTION("""COMPUTED_VALUE"""),0.0)</f>
        <v>0</v>
      </c>
      <c r="F65" s="99">
        <f>IFERROR(__xludf.DUMMYFUNCTION("""COMPUTED_VALUE"""),920.33)</f>
        <v>920.33</v>
      </c>
      <c r="G65" s="96">
        <f>IFERROR(__xludf.DUMMYFUNCTION("""COMPUTED_VALUE"""),2.0)</f>
        <v>2</v>
      </c>
      <c r="H65" s="96">
        <f>IFERROR(__xludf.DUMMYFUNCTION("""COMPUTED_VALUE"""),54.0)</f>
        <v>54</v>
      </c>
      <c r="I65" s="100">
        <f>IFERROR(__xludf.DUMMYFUNCTION("""COMPUTED_VALUE"""),167500.0)</f>
        <v>167500</v>
      </c>
    </row>
    <row r="66">
      <c r="A66" s="98">
        <f>IFERROR(__xludf.DUMMYFUNCTION("""COMPUTED_VALUE"""),44109.0)</f>
        <v>44109</v>
      </c>
      <c r="B66" s="96" t="str">
        <f>IFERROR(__xludf.DUMMYFUNCTION("""COMPUTED_VALUE"""),"BENJAMIN BENSONG")</f>
        <v>BENJAMIN BENSONG</v>
      </c>
      <c r="C66" s="96">
        <f>IFERROR(__xludf.DUMMYFUNCTION("""COMPUTED_VALUE"""),115.0)</f>
        <v>115</v>
      </c>
      <c r="D66" s="96">
        <f>IFERROR(__xludf.DUMMYFUNCTION("""COMPUTED_VALUE"""),2.0)</f>
        <v>2</v>
      </c>
      <c r="E66" s="96"/>
      <c r="F66" s="99"/>
      <c r="G66" s="96"/>
      <c r="H66" s="96"/>
      <c r="I66" s="100">
        <f>IFERROR(__xludf.DUMMYFUNCTION("""COMPUTED_VALUE"""),107300.0)</f>
        <v>107300</v>
      </c>
    </row>
    <row r="67">
      <c r="A67" s="98">
        <f>IFERROR(__xludf.DUMMYFUNCTION("""COMPUTED_VALUE"""),44109.0)</f>
        <v>44109</v>
      </c>
      <c r="B67" s="96" t="str">
        <f>IFERROR(__xludf.DUMMYFUNCTION("""COMPUTED_VALUE"""),"OSOWOCHI CLEMENT")</f>
        <v>OSOWOCHI CLEMENT</v>
      </c>
      <c r="C67" s="96">
        <f>IFERROR(__xludf.DUMMYFUNCTION("""COMPUTED_VALUE"""),242.0)</f>
        <v>242</v>
      </c>
      <c r="D67" s="96">
        <f>IFERROR(__xludf.DUMMYFUNCTION("""COMPUTED_VALUE"""),4.0)</f>
        <v>4</v>
      </c>
      <c r="E67" s="96"/>
      <c r="F67" s="99"/>
      <c r="G67" s="96"/>
      <c r="H67" s="96"/>
      <c r="I67" s="100">
        <f>IFERROR(__xludf.DUMMYFUNCTION("""COMPUTED_VALUE"""),230800.0)</f>
        <v>230800</v>
      </c>
    </row>
    <row r="68">
      <c r="A68" s="98">
        <f>IFERROR(__xludf.DUMMYFUNCTION("""COMPUTED_VALUE"""),44109.0)</f>
        <v>44109</v>
      </c>
      <c r="B68" s="96" t="str">
        <f>IFERROR(__xludf.DUMMYFUNCTION("""COMPUTED_VALUE"""),"DANIEL AKPAN")</f>
        <v>DANIEL AKPAN</v>
      </c>
      <c r="C68" s="96">
        <f>IFERROR(__xludf.DUMMYFUNCTION("""COMPUTED_VALUE"""),325.0)</f>
        <v>325</v>
      </c>
      <c r="D68" s="96">
        <f>IFERROR(__xludf.DUMMYFUNCTION("""COMPUTED_VALUE"""),5.0)</f>
        <v>5</v>
      </c>
      <c r="E68" s="96"/>
      <c r="F68" s="99"/>
      <c r="G68" s="96"/>
      <c r="H68" s="96"/>
      <c r="I68" s="100">
        <f>IFERROR(__xludf.DUMMYFUNCTION("""COMPUTED_VALUE"""),205700.0)</f>
        <v>205700</v>
      </c>
    </row>
    <row r="69">
      <c r="A69" s="98">
        <f>IFERROR(__xludf.DUMMYFUNCTION("""COMPUTED_VALUE"""),44109.0)</f>
        <v>44109</v>
      </c>
      <c r="B69" s="96" t="str">
        <f>IFERROR(__xludf.DUMMYFUNCTION("""COMPUTED_VALUE"""),"MIKA")</f>
        <v>MIKA</v>
      </c>
      <c r="C69" s="96">
        <f>IFERROR(__xludf.DUMMYFUNCTION("""COMPUTED_VALUE"""),41.0)</f>
        <v>41</v>
      </c>
      <c r="D69" s="96"/>
      <c r="E69" s="96">
        <f>IFERROR(__xludf.DUMMYFUNCTION("""COMPUTED_VALUE"""),16.0)</f>
        <v>16</v>
      </c>
      <c r="F69" s="99"/>
      <c r="G69" s="96"/>
      <c r="H69" s="96"/>
      <c r="I69" s="100">
        <f>IFERROR(__xludf.DUMMYFUNCTION("""COMPUTED_VALUE"""),20500.0)</f>
        <v>20500</v>
      </c>
    </row>
    <row r="70">
      <c r="A70" s="98">
        <f>IFERROR(__xludf.DUMMYFUNCTION("""COMPUTED_VALUE"""),44110.0)</f>
        <v>44110</v>
      </c>
      <c r="B70" s="96" t="str">
        <f>IFERROR(__xludf.DUMMYFUNCTION("""COMPUTED_VALUE"""),"ODI MBEH")</f>
        <v>ODI MBEH</v>
      </c>
      <c r="C70" s="96">
        <f>IFERROR(__xludf.DUMMYFUNCTION("""COMPUTED_VALUE"""),222.0)</f>
        <v>222</v>
      </c>
      <c r="D70" s="96">
        <f>IFERROR(__xludf.DUMMYFUNCTION("""COMPUTED_VALUE"""),3.0)</f>
        <v>3</v>
      </c>
      <c r="E70" s="96">
        <f>IFERROR(__xludf.DUMMYFUNCTION("""COMPUTED_VALUE"""),12.0)</f>
        <v>12</v>
      </c>
      <c r="F70" s="99">
        <f>IFERROR(__xludf.DUMMYFUNCTION("""COMPUTED_VALUE"""),745.71)</f>
        <v>745.71</v>
      </c>
      <c r="G70" s="96">
        <f>IFERROR(__xludf.DUMMYFUNCTION("""COMPUTED_VALUE"""),3.0)</f>
        <v>3</v>
      </c>
      <c r="H70" s="96">
        <f>IFERROR(__xludf.DUMMYFUNCTION("""COMPUTED_VALUE"""),18.0)</f>
        <v>18</v>
      </c>
      <c r="I70" s="100">
        <f>IFERROR(__xludf.DUMMYFUNCTION("""COMPUTED_VALUE"""),156600.0)</f>
        <v>156600</v>
      </c>
    </row>
    <row r="71">
      <c r="A71" s="98">
        <f>IFERROR(__xludf.DUMMYFUNCTION("""COMPUTED_VALUE"""),44110.0)</f>
        <v>44110</v>
      </c>
      <c r="B71" s="96" t="str">
        <f>IFERROR(__xludf.DUMMYFUNCTION("""COMPUTED_VALUE"""),"SUNNY")</f>
        <v>SUNNY</v>
      </c>
      <c r="C71" s="96">
        <f>IFERROR(__xludf.DUMMYFUNCTION("""COMPUTED_VALUE"""),130.0)</f>
        <v>130</v>
      </c>
      <c r="D71" s="96">
        <f>IFERROR(__xludf.DUMMYFUNCTION("""COMPUTED_VALUE"""),2.0)</f>
        <v>2</v>
      </c>
      <c r="E71" s="96"/>
      <c r="F71" s="99">
        <f>IFERROR(__xludf.DUMMYFUNCTION("""COMPUTED_VALUE"""),775.19)</f>
        <v>775.19</v>
      </c>
      <c r="G71" s="96">
        <f>IFERROR(__xludf.DUMMYFUNCTION("""COMPUTED_VALUE"""),2.0)</f>
        <v>2</v>
      </c>
      <c r="H71" s="96">
        <f>IFERROR(__xludf.DUMMYFUNCTION("""COMPUTED_VALUE"""),1.0)</f>
        <v>1</v>
      </c>
      <c r="I71" s="100">
        <f>IFERROR(__xludf.DUMMYFUNCTION("""COMPUTED_VALUE"""),100000.0)</f>
        <v>100000</v>
      </c>
    </row>
    <row r="72">
      <c r="A72" s="98">
        <f>IFERROR(__xludf.DUMMYFUNCTION("""COMPUTED_VALUE"""),44111.0)</f>
        <v>44111</v>
      </c>
      <c r="B72" s="96" t="str">
        <f>IFERROR(__xludf.DUMMYFUNCTION("""COMPUTED_VALUE"""),"SUNNY")</f>
        <v>SUNNY</v>
      </c>
      <c r="C72" s="96">
        <f>IFERROR(__xludf.DUMMYFUNCTION("""COMPUTED_VALUE"""),9.0)</f>
        <v>9</v>
      </c>
      <c r="D72" s="96">
        <f>IFERROR(__xludf.DUMMYFUNCTION("""COMPUTED_VALUE"""),0.0)</f>
        <v>0</v>
      </c>
      <c r="E72" s="96">
        <f>IFERROR(__xludf.DUMMYFUNCTION("""COMPUTED_VALUE"""),2.0)</f>
        <v>2</v>
      </c>
      <c r="F72" s="99">
        <f>IFERROR(__xludf.DUMMYFUNCTION("""COMPUTED_VALUE"""),4428.57)</f>
        <v>4428.57</v>
      </c>
      <c r="G72" s="96">
        <f>IFERROR(__xludf.DUMMYFUNCTION("""COMPUTED_VALUE"""),0.0)</f>
        <v>0</v>
      </c>
      <c r="H72" s="96">
        <f>IFERROR(__xludf.DUMMYFUNCTION("""COMPUTED_VALUE"""),7.0)</f>
        <v>7</v>
      </c>
      <c r="I72" s="100">
        <f>IFERROR(__xludf.DUMMYFUNCTION("""COMPUTED_VALUE"""),31000.0)</f>
        <v>31000</v>
      </c>
    </row>
    <row r="73">
      <c r="A73" s="98">
        <f>IFERROR(__xludf.DUMMYFUNCTION("""COMPUTED_VALUE"""),44111.0)</f>
        <v>44111</v>
      </c>
      <c r="B73" s="96" t="str">
        <f>IFERROR(__xludf.DUMMYFUNCTION("""COMPUTED_VALUE"""),"COPPA NKU")</f>
        <v>COPPA NKU</v>
      </c>
      <c r="C73" s="96">
        <f>IFERROR(__xludf.DUMMYFUNCTION("""COMPUTED_VALUE"""),428.0)</f>
        <v>428</v>
      </c>
      <c r="D73" s="96">
        <f>IFERROR(__xludf.DUMMYFUNCTION("""COMPUTED_VALUE"""),4.0)</f>
        <v>4</v>
      </c>
      <c r="E73" s="96">
        <f>IFERROR(__xludf.DUMMYFUNCTION("""COMPUTED_VALUE"""),12.0)</f>
        <v>12</v>
      </c>
      <c r="F73" s="99">
        <f>IFERROR(__xludf.DUMMYFUNCTION("""COMPUTED_VALUE"""),917.46)</f>
        <v>917.46</v>
      </c>
      <c r="G73" s="96">
        <f>IFERROR(__xludf.DUMMYFUNCTION("""COMPUTED_VALUE"""),6.0)</f>
        <v>6</v>
      </c>
      <c r="H73" s="96">
        <f>IFERROR(__xludf.DUMMYFUNCTION("""COMPUTED_VALUE"""),34.0)</f>
        <v>34</v>
      </c>
      <c r="I73" s="100">
        <f>IFERROR(__xludf.DUMMYFUNCTION("""COMPUTED_VALUE"""),383500.0)</f>
        <v>383500</v>
      </c>
    </row>
    <row r="74">
      <c r="A74" s="98">
        <f>IFERROR(__xludf.DUMMYFUNCTION("""COMPUTED_VALUE"""),44112.0)</f>
        <v>44112</v>
      </c>
      <c r="B74" s="96" t="str">
        <f>IFERROR(__xludf.DUMMYFUNCTION("""COMPUTED_VALUE"""),"ELDER SUNDAY")</f>
        <v>ELDER SUNDAY</v>
      </c>
      <c r="C74" s="96">
        <f>IFERROR(__xludf.DUMMYFUNCTION("""COMPUTED_VALUE"""),142.0)</f>
        <v>142</v>
      </c>
      <c r="D74" s="96"/>
      <c r="E74" s="96">
        <f>IFERROR(__xludf.DUMMYFUNCTION("""COMPUTED_VALUE"""),7.0)</f>
        <v>7</v>
      </c>
      <c r="F74" s="99">
        <f>IFERROR(__xludf.DUMMYFUNCTION("""COMPUTED_VALUE"""),949.64)</f>
        <v>949.64</v>
      </c>
      <c r="G74" s="96">
        <f>IFERROR(__xludf.DUMMYFUNCTION("""COMPUTED_VALUE"""),2.0)</f>
        <v>2</v>
      </c>
      <c r="H74" s="96">
        <f>IFERROR(__xludf.DUMMYFUNCTION("""COMPUTED_VALUE"""),9.0)</f>
        <v>9</v>
      </c>
      <c r="I74" s="100">
        <f>IFERROR(__xludf.DUMMYFUNCTION("""COMPUTED_VALUE"""),130100.0)</f>
        <v>130100</v>
      </c>
    </row>
    <row r="75">
      <c r="A75" s="98">
        <f>IFERROR(__xludf.DUMMYFUNCTION("""COMPUTED_VALUE"""),44114.0)</f>
        <v>44114</v>
      </c>
      <c r="B75" s="96" t="str">
        <f>IFERROR(__xludf.DUMMYFUNCTION("""COMPUTED_VALUE"""),"ABANG HN ENYA")</f>
        <v>ABANG HN ENYA</v>
      </c>
      <c r="C75" s="96">
        <f>IFERROR(__xludf.DUMMYFUNCTION("""COMPUTED_VALUE"""),92.0)</f>
        <v>92</v>
      </c>
      <c r="D75" s="96">
        <f>IFERROR(__xludf.DUMMYFUNCTION("""COMPUTED_VALUE"""),2.0)</f>
        <v>2</v>
      </c>
      <c r="E75" s="96">
        <f>IFERROR(__xludf.DUMMYFUNCTION("""COMPUTED_VALUE"""),5.0)</f>
        <v>5</v>
      </c>
      <c r="F75" s="99">
        <f>IFERROR(__xludf.DUMMYFUNCTION("""COMPUTED_VALUE"""),958.14)</f>
        <v>958.14</v>
      </c>
      <c r="G75" s="96">
        <f>IFERROR(__xludf.DUMMYFUNCTION("""COMPUTED_VALUE"""),1.0)</f>
        <v>1</v>
      </c>
      <c r="H75" s="96">
        <f>IFERROR(__xludf.DUMMYFUNCTION("""COMPUTED_VALUE"""),22.0)</f>
        <v>22</v>
      </c>
      <c r="I75" s="100">
        <f>IFERROR(__xludf.DUMMYFUNCTION("""COMPUTED_VALUE"""),82400.0)</f>
        <v>82400</v>
      </c>
    </row>
    <row r="76">
      <c r="A76" s="98">
        <f>IFERROR(__xludf.DUMMYFUNCTION("""COMPUTED_VALUE"""),44114.0)</f>
        <v>44114</v>
      </c>
      <c r="B76" s="96" t="str">
        <f>IFERROR(__xludf.DUMMYFUNCTION("""COMPUTED_VALUE"""),"ABANG. TIMOTHY")</f>
        <v>ABANG. TIMOTHY</v>
      </c>
      <c r="C76" s="96">
        <f>IFERROR(__xludf.DUMMYFUNCTION("""COMPUTED_VALUE"""),333.0)</f>
        <v>333</v>
      </c>
      <c r="D76" s="96">
        <f>IFERROR(__xludf.DUMMYFUNCTION("""COMPUTED_VALUE"""),5.0)</f>
        <v>5</v>
      </c>
      <c r="E76" s="96"/>
      <c r="F76" s="99">
        <f>IFERROR(__xludf.DUMMYFUNCTION("""COMPUTED_VALUE"""),150.15)</f>
        <v>150.15</v>
      </c>
      <c r="G76" s="96">
        <f>IFERROR(__xludf.DUMMYFUNCTION("""COMPUTED_VALUE"""),5.0)</f>
        <v>5</v>
      </c>
      <c r="H76" s="96">
        <f>IFERROR(__xludf.DUMMYFUNCTION("""COMPUTED_VALUE"""),13.0)</f>
        <v>13</v>
      </c>
      <c r="I76" s="100">
        <f>IFERROR(__xludf.DUMMYFUNCTION("""COMPUTED_VALUE"""),50000.0)</f>
        <v>50000</v>
      </c>
    </row>
    <row r="77">
      <c r="A77" s="98"/>
      <c r="B77" s="96"/>
      <c r="C77" s="96"/>
      <c r="D77" s="96"/>
      <c r="E77" s="96"/>
      <c r="F77" s="99"/>
      <c r="G77" s="96"/>
      <c r="H77" s="96"/>
      <c r="I77" s="100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14.63"/>
    <col customWidth="1" min="4" max="4" width="10.5"/>
    <col customWidth="1" min="5" max="5" width="14.38"/>
  </cols>
  <sheetData>
    <row r="1">
      <c r="A1" s="307" t="s">
        <v>643</v>
      </c>
    </row>
    <row r="2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</row>
    <row r="3">
      <c r="A3" s="213" t="s">
        <v>566</v>
      </c>
      <c r="B3" s="309">
        <v>44093.0</v>
      </c>
      <c r="C3" s="213" t="s">
        <v>567</v>
      </c>
      <c r="D3" s="309">
        <v>44093.0</v>
      </c>
    </row>
    <row r="4">
      <c r="A4" s="310"/>
    </row>
    <row r="5">
      <c r="A5" s="311" t="s">
        <v>2</v>
      </c>
      <c r="B5" s="312" t="s">
        <v>3</v>
      </c>
      <c r="C5" s="312" t="s">
        <v>4</v>
      </c>
      <c r="D5" s="312" t="s">
        <v>5</v>
      </c>
      <c r="E5" s="312" t="s">
        <v>6</v>
      </c>
      <c r="F5" s="313" t="s">
        <v>7</v>
      </c>
      <c r="G5" s="314" t="s">
        <v>8</v>
      </c>
      <c r="H5" s="312" t="s">
        <v>9</v>
      </c>
      <c r="I5" s="315" t="s">
        <v>10</v>
      </c>
      <c r="J5" s="315" t="s">
        <v>11</v>
      </c>
      <c r="K5" s="316" t="s">
        <v>12</v>
      </c>
    </row>
    <row r="6">
      <c r="A6" s="317" t="str">
        <f>IFERROR(__xludf.DUMMYFUNCTION("QUERY(tempSmallScaleHistory!A5:K1000)"),"")</f>
        <v/>
      </c>
      <c r="B6" s="318"/>
      <c r="C6" s="318"/>
      <c r="D6" s="318"/>
      <c r="E6" s="318"/>
      <c r="F6" s="318"/>
      <c r="G6" s="318"/>
      <c r="H6" s="318"/>
      <c r="I6" s="318"/>
      <c r="J6" s="318"/>
      <c r="K6" s="318"/>
    </row>
    <row r="7">
      <c r="A7" s="318"/>
      <c r="B7" s="318"/>
      <c r="C7" s="318"/>
      <c r="D7" s="318"/>
      <c r="E7" s="318"/>
      <c r="F7" s="318"/>
      <c r="G7" s="318"/>
      <c r="H7" s="318"/>
      <c r="I7" s="318"/>
      <c r="J7" s="318"/>
      <c r="K7" s="318"/>
    </row>
    <row r="8">
      <c r="A8" s="318"/>
      <c r="B8" s="318"/>
      <c r="C8" s="318"/>
      <c r="D8" s="318"/>
      <c r="E8" s="318"/>
      <c r="F8" s="318"/>
      <c r="G8" s="318"/>
      <c r="H8" s="318"/>
      <c r="I8" s="318"/>
      <c r="J8" s="318"/>
      <c r="K8" s="318"/>
    </row>
    <row r="9">
      <c r="A9" s="318"/>
      <c r="B9" s="318"/>
      <c r="C9" s="318"/>
      <c r="D9" s="318"/>
      <c r="E9" s="318"/>
      <c r="F9" s="318"/>
      <c r="G9" s="318"/>
      <c r="H9" s="318"/>
      <c r="I9" s="318"/>
      <c r="J9" s="318"/>
      <c r="K9" s="318"/>
    </row>
    <row r="10">
      <c r="A10" s="318"/>
      <c r="B10" s="318"/>
      <c r="C10" s="318"/>
      <c r="D10" s="318"/>
      <c r="E10" s="318"/>
      <c r="F10" s="318"/>
      <c r="G10" s="318"/>
      <c r="H10" s="318"/>
      <c r="I10" s="318"/>
      <c r="J10" s="318"/>
      <c r="K10" s="318"/>
    </row>
    <row r="11">
      <c r="A11" s="318"/>
      <c r="B11" s="318"/>
      <c r="C11" s="318"/>
      <c r="D11" s="318"/>
      <c r="E11" s="318"/>
      <c r="F11" s="318"/>
      <c r="G11" s="318"/>
      <c r="H11" s="318"/>
      <c r="I11" s="318"/>
      <c r="J11" s="318"/>
      <c r="K11" s="318"/>
    </row>
    <row r="12">
      <c r="A12" s="318"/>
      <c r="B12" s="318"/>
      <c r="C12" s="318"/>
      <c r="D12" s="318"/>
      <c r="E12" s="318"/>
      <c r="F12" s="318"/>
      <c r="G12" s="318"/>
      <c r="H12" s="318"/>
      <c r="I12" s="318"/>
      <c r="J12" s="318"/>
      <c r="K12" s="318"/>
    </row>
    <row r="13">
      <c r="A13" s="318"/>
      <c r="B13" s="318"/>
      <c r="C13" s="318"/>
      <c r="D13" s="318"/>
      <c r="E13" s="318"/>
      <c r="F13" s="318"/>
      <c r="G13" s="318"/>
      <c r="H13" s="318"/>
      <c r="I13" s="318"/>
      <c r="J13" s="318"/>
      <c r="K13" s="318"/>
    </row>
    <row r="14">
      <c r="A14" s="318"/>
      <c r="B14" s="318"/>
      <c r="C14" s="318"/>
      <c r="D14" s="318"/>
      <c r="E14" s="318"/>
      <c r="F14" s="318"/>
      <c r="G14" s="318"/>
      <c r="H14" s="318"/>
      <c r="I14" s="318"/>
      <c r="J14" s="318"/>
      <c r="K14" s="318"/>
    </row>
    <row r="15">
      <c r="A15" s="318"/>
      <c r="B15" s="318"/>
      <c r="C15" s="318"/>
      <c r="D15" s="318"/>
      <c r="E15" s="318"/>
      <c r="F15" s="318"/>
      <c r="G15" s="318"/>
      <c r="H15" s="318"/>
      <c r="I15" s="318"/>
      <c r="J15" s="318"/>
      <c r="K15" s="318"/>
    </row>
    <row r="16">
      <c r="A16" s="318"/>
      <c r="B16" s="318"/>
      <c r="C16" s="318"/>
      <c r="D16" s="318"/>
      <c r="E16" s="318"/>
      <c r="F16" s="318"/>
      <c r="G16" s="318"/>
      <c r="H16" s="318"/>
      <c r="I16" s="318"/>
      <c r="J16" s="318"/>
      <c r="K16" s="318"/>
    </row>
    <row r="17">
      <c r="A17" s="318"/>
      <c r="B17" s="318"/>
      <c r="C17" s="318"/>
      <c r="D17" s="318"/>
      <c r="E17" s="318"/>
      <c r="F17" s="318"/>
      <c r="G17" s="318"/>
      <c r="H17" s="318"/>
      <c r="I17" s="318"/>
      <c r="J17" s="318"/>
      <c r="K17" s="318"/>
    </row>
    <row r="18">
      <c r="A18" s="318"/>
      <c r="B18" s="318"/>
      <c r="C18" s="318"/>
      <c r="D18" s="318"/>
      <c r="E18" s="318"/>
      <c r="F18" s="318"/>
      <c r="G18" s="318"/>
      <c r="H18" s="318"/>
      <c r="I18" s="318"/>
      <c r="J18" s="318"/>
      <c r="K18" s="318"/>
    </row>
    <row r="19">
      <c r="A19" s="318"/>
      <c r="B19" s="318"/>
      <c r="C19" s="318"/>
      <c r="D19" s="318"/>
      <c r="E19" s="318"/>
      <c r="F19" s="318"/>
      <c r="G19" s="318"/>
      <c r="H19" s="318"/>
      <c r="I19" s="318"/>
      <c r="J19" s="318"/>
      <c r="K19" s="318"/>
    </row>
    <row r="20">
      <c r="A20" s="318"/>
      <c r="B20" s="318"/>
      <c r="C20" s="318"/>
      <c r="D20" s="318"/>
      <c r="E20" s="318"/>
      <c r="F20" s="318"/>
      <c r="G20" s="318"/>
      <c r="H20" s="318"/>
      <c r="I20" s="318"/>
      <c r="J20" s="318"/>
      <c r="K20" s="318"/>
    </row>
    <row r="21">
      <c r="A21" s="318"/>
      <c r="B21" s="318"/>
      <c r="C21" s="318"/>
      <c r="D21" s="318"/>
      <c r="E21" s="318"/>
      <c r="F21" s="318"/>
      <c r="G21" s="318"/>
      <c r="H21" s="318"/>
      <c r="I21" s="318"/>
      <c r="J21" s="318"/>
      <c r="K21" s="318"/>
    </row>
    <row r="22">
      <c r="A22" s="318"/>
      <c r="B22" s="318"/>
      <c r="C22" s="318"/>
      <c r="D22" s="318"/>
      <c r="E22" s="318"/>
      <c r="F22" s="318"/>
      <c r="G22" s="318"/>
      <c r="H22" s="318"/>
      <c r="I22" s="318"/>
      <c r="J22" s="318"/>
      <c r="K22" s="318"/>
    </row>
    <row r="23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</row>
    <row r="24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</row>
    <row r="25">
      <c r="A25" s="318"/>
      <c r="B25" s="318"/>
      <c r="C25" s="318"/>
      <c r="D25" s="318"/>
      <c r="E25" s="318"/>
      <c r="F25" s="318"/>
      <c r="G25" s="318"/>
      <c r="H25" s="318"/>
      <c r="I25" s="318"/>
      <c r="J25" s="318"/>
      <c r="K25" s="318"/>
    </row>
    <row r="26">
      <c r="A26" s="318"/>
      <c r="B26" s="318"/>
      <c r="C26" s="318"/>
      <c r="D26" s="318"/>
      <c r="E26" s="318"/>
      <c r="F26" s="318"/>
      <c r="G26" s="318"/>
      <c r="H26" s="318"/>
      <c r="I26" s="318"/>
      <c r="J26" s="318"/>
      <c r="K26" s="318"/>
    </row>
    <row r="27">
      <c r="A27" s="318"/>
      <c r="B27" s="318"/>
      <c r="C27" s="318"/>
      <c r="D27" s="318"/>
      <c r="E27" s="318"/>
      <c r="F27" s="318"/>
      <c r="G27" s="318"/>
      <c r="H27" s="318"/>
      <c r="I27" s="318"/>
      <c r="J27" s="318"/>
      <c r="K27" s="318"/>
    </row>
    <row r="28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</row>
    <row r="29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</row>
    <row r="30">
      <c r="A30" s="318"/>
      <c r="B30" s="318"/>
      <c r="C30" s="318"/>
      <c r="D30" s="318"/>
      <c r="E30" s="318"/>
      <c r="F30" s="318"/>
      <c r="G30" s="318"/>
      <c r="H30" s="318"/>
      <c r="I30" s="318"/>
      <c r="J30" s="318"/>
      <c r="K30" s="318"/>
    </row>
    <row r="31">
      <c r="A31" s="318"/>
      <c r="B31" s="318"/>
      <c r="C31" s="318"/>
      <c r="D31" s="318"/>
      <c r="E31" s="318"/>
      <c r="F31" s="318"/>
      <c r="G31" s="318"/>
      <c r="H31" s="318"/>
      <c r="I31" s="318"/>
      <c r="J31" s="318"/>
      <c r="K31" s="318"/>
    </row>
    <row r="3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</row>
    <row r="33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</row>
    <row r="34">
      <c r="A34" s="318"/>
      <c r="B34" s="318"/>
      <c r="C34" s="318"/>
      <c r="D34" s="318"/>
      <c r="E34" s="318"/>
      <c r="F34" s="318"/>
      <c r="G34" s="318"/>
      <c r="H34" s="318"/>
      <c r="I34" s="318"/>
      <c r="J34" s="318"/>
      <c r="K34" s="318"/>
    </row>
    <row r="35">
      <c r="A35" s="318"/>
      <c r="B35" s="318"/>
      <c r="C35" s="318"/>
      <c r="D35" s="318"/>
      <c r="E35" s="318"/>
      <c r="F35" s="318"/>
      <c r="G35" s="318"/>
      <c r="H35" s="318"/>
      <c r="I35" s="318"/>
      <c r="J35" s="318"/>
      <c r="K35" s="318"/>
    </row>
    <row r="36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</row>
    <row r="37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</row>
    <row r="38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</row>
    <row r="39">
      <c r="A39" s="318"/>
      <c r="B39" s="318"/>
      <c r="C39" s="318"/>
      <c r="D39" s="318"/>
      <c r="E39" s="318"/>
      <c r="F39" s="318"/>
      <c r="G39" s="318"/>
      <c r="H39" s="318"/>
      <c r="I39" s="318"/>
      <c r="J39" s="318"/>
      <c r="K39" s="318"/>
    </row>
    <row r="40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</row>
    <row r="41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</row>
    <row r="4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</row>
    <row r="43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</row>
    <row r="44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</row>
    <row r="45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</row>
    <row r="46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</row>
    <row r="47">
      <c r="A47" s="318"/>
      <c r="B47" s="318"/>
      <c r="C47" s="318"/>
      <c r="D47" s="318"/>
      <c r="E47" s="318"/>
      <c r="F47" s="318"/>
      <c r="G47" s="318"/>
      <c r="H47" s="318"/>
      <c r="I47" s="318"/>
      <c r="J47" s="318"/>
      <c r="K47" s="318"/>
    </row>
    <row r="48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</row>
    <row r="49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</row>
    <row r="50">
      <c r="A50" s="318"/>
      <c r="B50" s="318"/>
      <c r="C50" s="318"/>
      <c r="D50" s="318"/>
      <c r="E50" s="318"/>
      <c r="F50" s="318"/>
      <c r="G50" s="318"/>
      <c r="H50" s="318"/>
      <c r="I50" s="318"/>
      <c r="J50" s="318"/>
      <c r="K50" s="318"/>
    </row>
    <row r="51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</row>
    <row r="5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</row>
    <row r="53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</row>
    <row r="54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</row>
    <row r="55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</row>
    <row r="56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</row>
    <row r="57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</row>
    <row r="58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</row>
    <row r="59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</row>
    <row r="60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</row>
    <row r="61">
      <c r="A61" s="318"/>
      <c r="B61" s="318"/>
      <c r="C61" s="318"/>
      <c r="D61" s="318"/>
      <c r="E61" s="318"/>
      <c r="F61" s="318"/>
      <c r="G61" s="318"/>
      <c r="H61" s="318"/>
      <c r="I61" s="318"/>
      <c r="J61" s="318"/>
      <c r="K61" s="318"/>
    </row>
    <row r="62">
      <c r="A62" s="318"/>
      <c r="B62" s="318"/>
      <c r="C62" s="318"/>
      <c r="D62" s="318"/>
      <c r="E62" s="318"/>
      <c r="F62" s="318"/>
      <c r="G62" s="318"/>
      <c r="H62" s="318"/>
      <c r="I62" s="318"/>
      <c r="J62" s="318"/>
      <c r="K62" s="318"/>
    </row>
    <row r="63">
      <c r="A63" s="318"/>
      <c r="B63" s="318"/>
      <c r="C63" s="318"/>
      <c r="D63" s="318"/>
      <c r="E63" s="318"/>
      <c r="F63" s="318"/>
      <c r="G63" s="318"/>
      <c r="H63" s="318"/>
      <c r="I63" s="318"/>
      <c r="J63" s="318"/>
      <c r="K63" s="318"/>
    </row>
    <row r="64">
      <c r="A64" s="318"/>
      <c r="B64" s="318"/>
      <c r="C64" s="318"/>
      <c r="D64" s="318"/>
      <c r="E64" s="318"/>
      <c r="F64" s="318"/>
      <c r="G64" s="318"/>
      <c r="H64" s="318"/>
      <c r="I64" s="318"/>
      <c r="J64" s="318"/>
      <c r="K64" s="318"/>
    </row>
    <row r="65">
      <c r="A65" s="318"/>
      <c r="B65" s="318"/>
      <c r="C65" s="318"/>
      <c r="D65" s="318"/>
      <c r="E65" s="318"/>
      <c r="F65" s="318"/>
      <c r="G65" s="318"/>
      <c r="H65" s="318"/>
      <c r="I65" s="318"/>
      <c r="J65" s="318"/>
      <c r="K65" s="318"/>
    </row>
    <row r="66">
      <c r="A66" s="318"/>
      <c r="B66" s="318"/>
      <c r="C66" s="318"/>
      <c r="D66" s="318"/>
      <c r="E66" s="318"/>
      <c r="F66" s="318"/>
      <c r="G66" s="318"/>
      <c r="H66" s="318"/>
      <c r="I66" s="318"/>
      <c r="J66" s="318"/>
      <c r="K66" s="318"/>
    </row>
    <row r="67">
      <c r="A67" s="318"/>
      <c r="B67" s="318"/>
      <c r="C67" s="318"/>
      <c r="D67" s="318"/>
      <c r="E67" s="318"/>
      <c r="F67" s="318"/>
      <c r="G67" s="318"/>
      <c r="H67" s="318"/>
      <c r="I67" s="318"/>
      <c r="J67" s="318"/>
      <c r="K67" s="318"/>
    </row>
    <row r="68">
      <c r="A68" s="318"/>
      <c r="B68" s="318"/>
      <c r="C68" s="318"/>
      <c r="D68" s="318"/>
      <c r="E68" s="318"/>
      <c r="F68" s="318"/>
      <c r="G68" s="318"/>
      <c r="H68" s="318"/>
      <c r="I68" s="318"/>
      <c r="J68" s="318"/>
      <c r="K68" s="318"/>
    </row>
    <row r="69">
      <c r="A69" s="318"/>
      <c r="B69" s="318"/>
      <c r="C69" s="318"/>
      <c r="D69" s="318"/>
      <c r="E69" s="318"/>
      <c r="F69" s="318"/>
      <c r="G69" s="318"/>
      <c r="H69" s="318"/>
      <c r="I69" s="318"/>
      <c r="J69" s="318"/>
      <c r="K69" s="318"/>
    </row>
    <row r="70">
      <c r="A70" s="318"/>
      <c r="B70" s="318"/>
      <c r="C70" s="318"/>
      <c r="D70" s="318"/>
      <c r="E70" s="318"/>
      <c r="F70" s="318"/>
      <c r="G70" s="318"/>
      <c r="H70" s="318"/>
      <c r="I70" s="318"/>
      <c r="J70" s="318"/>
      <c r="K70" s="318"/>
    </row>
    <row r="71">
      <c r="A71" s="318"/>
      <c r="B71" s="318"/>
      <c r="C71" s="318"/>
      <c r="D71" s="318"/>
      <c r="E71" s="318"/>
      <c r="F71" s="318"/>
      <c r="G71" s="318"/>
      <c r="H71" s="318"/>
      <c r="I71" s="318"/>
      <c r="J71" s="318"/>
      <c r="K71" s="318"/>
    </row>
    <row r="72">
      <c r="A72" s="318"/>
      <c r="B72" s="318"/>
      <c r="C72" s="318"/>
      <c r="D72" s="318"/>
      <c r="E72" s="318"/>
      <c r="F72" s="318"/>
      <c r="G72" s="318"/>
      <c r="H72" s="318"/>
      <c r="I72" s="318"/>
      <c r="J72" s="318"/>
      <c r="K72" s="318"/>
    </row>
    <row r="73">
      <c r="A73" s="318"/>
      <c r="B73" s="318"/>
      <c r="C73" s="318"/>
      <c r="D73" s="318"/>
      <c r="E73" s="318"/>
      <c r="F73" s="318"/>
      <c r="G73" s="318"/>
      <c r="H73" s="318"/>
      <c r="I73" s="318"/>
      <c r="J73" s="318"/>
      <c r="K73" s="318"/>
    </row>
    <row r="74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</row>
    <row r="75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</row>
    <row r="76">
      <c r="A76" s="318"/>
      <c r="B76" s="318"/>
      <c r="C76" s="318"/>
      <c r="D76" s="318"/>
      <c r="E76" s="318"/>
      <c r="F76" s="318"/>
      <c r="G76" s="318"/>
      <c r="H76" s="318"/>
      <c r="I76" s="318"/>
      <c r="J76" s="318"/>
      <c r="K76" s="318"/>
    </row>
    <row r="77">
      <c r="A77" s="318"/>
      <c r="B77" s="318"/>
      <c r="C77" s="318"/>
      <c r="D77" s="318"/>
      <c r="E77" s="318"/>
      <c r="F77" s="318"/>
      <c r="G77" s="318"/>
      <c r="H77" s="318"/>
      <c r="I77" s="318"/>
      <c r="J77" s="318"/>
      <c r="K77" s="318"/>
    </row>
    <row r="78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</row>
    <row r="79">
      <c r="A79" s="318"/>
      <c r="B79" s="318"/>
      <c r="C79" s="318"/>
      <c r="D79" s="318"/>
      <c r="E79" s="318"/>
      <c r="F79" s="318"/>
      <c r="G79" s="318"/>
      <c r="H79" s="318"/>
      <c r="I79" s="318"/>
      <c r="J79" s="318"/>
      <c r="K79" s="318"/>
    </row>
    <row r="80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</row>
    <row r="81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</row>
    <row r="82">
      <c r="A82" s="318"/>
      <c r="B82" s="318"/>
      <c r="C82" s="318"/>
      <c r="D82" s="318"/>
      <c r="E82" s="318"/>
      <c r="F82" s="318"/>
      <c r="G82" s="318"/>
      <c r="H82" s="318"/>
      <c r="I82" s="318"/>
      <c r="J82" s="318"/>
      <c r="K82" s="318"/>
    </row>
    <row r="83">
      <c r="A83" s="318"/>
      <c r="B83" s="318"/>
      <c r="C83" s="318"/>
      <c r="D83" s="318"/>
      <c r="E83" s="318"/>
      <c r="F83" s="318"/>
      <c r="G83" s="318"/>
      <c r="H83" s="318"/>
      <c r="I83" s="318"/>
      <c r="J83" s="318"/>
      <c r="K83" s="318"/>
    </row>
    <row r="84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</row>
    <row r="85">
      <c r="A85" s="318"/>
      <c r="B85" s="318"/>
      <c r="C85" s="318"/>
      <c r="D85" s="318"/>
      <c r="E85" s="318"/>
      <c r="F85" s="318"/>
      <c r="G85" s="318"/>
      <c r="H85" s="318"/>
      <c r="I85" s="318"/>
      <c r="J85" s="318"/>
      <c r="K85" s="318"/>
    </row>
    <row r="86">
      <c r="A86" s="318"/>
      <c r="B86" s="318"/>
      <c r="C86" s="318"/>
      <c r="D86" s="318"/>
      <c r="E86" s="318"/>
      <c r="F86" s="318"/>
      <c r="G86" s="318"/>
      <c r="H86" s="318"/>
      <c r="I86" s="318"/>
      <c r="J86" s="318"/>
      <c r="K86" s="318"/>
    </row>
    <row r="87">
      <c r="A87" s="318"/>
      <c r="B87" s="318"/>
      <c r="C87" s="318"/>
      <c r="D87" s="318"/>
      <c r="E87" s="318"/>
      <c r="F87" s="318"/>
      <c r="G87" s="318"/>
      <c r="H87" s="318"/>
      <c r="I87" s="318"/>
      <c r="J87" s="318"/>
      <c r="K87" s="318"/>
    </row>
    <row r="88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</row>
    <row r="89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</row>
    <row r="90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</row>
    <row r="91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</row>
    <row r="92">
      <c r="A92" s="318"/>
      <c r="B92" s="318"/>
      <c r="C92" s="318"/>
      <c r="D92" s="318"/>
      <c r="E92" s="318"/>
      <c r="F92" s="318"/>
      <c r="G92" s="318"/>
      <c r="H92" s="318"/>
      <c r="I92" s="318"/>
      <c r="J92" s="318"/>
      <c r="K92" s="318"/>
    </row>
    <row r="93">
      <c r="A93" s="318"/>
      <c r="B93" s="318"/>
      <c r="C93" s="318"/>
      <c r="D93" s="318"/>
      <c r="E93" s="318"/>
      <c r="F93" s="318"/>
      <c r="G93" s="318"/>
      <c r="H93" s="318"/>
      <c r="I93" s="318"/>
      <c r="J93" s="318"/>
      <c r="K93" s="318"/>
    </row>
    <row r="94">
      <c r="A94" s="319"/>
      <c r="B94" s="318"/>
      <c r="C94" s="318"/>
      <c r="D94" s="318"/>
      <c r="E94" s="318"/>
      <c r="F94" s="318"/>
      <c r="G94" s="318"/>
      <c r="H94" s="318"/>
      <c r="I94" s="318"/>
      <c r="J94" s="318"/>
      <c r="K94" s="318"/>
    </row>
    <row r="95">
      <c r="A95" s="318"/>
      <c r="B95" s="318"/>
      <c r="C95" s="318"/>
      <c r="D95" s="318"/>
      <c r="E95" s="318"/>
      <c r="F95" s="318"/>
      <c r="G95" s="318"/>
      <c r="H95" s="318"/>
      <c r="I95" s="318"/>
      <c r="J95" s="318"/>
      <c r="K95" s="318"/>
    </row>
    <row r="96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</row>
    <row r="97">
      <c r="A97" s="318"/>
      <c r="B97" s="318"/>
      <c r="C97" s="318"/>
      <c r="D97" s="318"/>
      <c r="E97" s="318"/>
      <c r="F97" s="318"/>
      <c r="G97" s="318"/>
      <c r="H97" s="318"/>
      <c r="I97" s="318"/>
      <c r="J97" s="318"/>
      <c r="K97" s="318"/>
    </row>
    <row r="98">
      <c r="A98" s="318"/>
      <c r="B98" s="318"/>
      <c r="C98" s="318"/>
      <c r="D98" s="318"/>
      <c r="E98" s="318"/>
      <c r="F98" s="318"/>
      <c r="G98" s="318"/>
      <c r="H98" s="318"/>
      <c r="I98" s="318"/>
      <c r="J98" s="318"/>
      <c r="K98" s="318"/>
    </row>
    <row r="99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</row>
    <row r="100">
      <c r="A100" s="318"/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</row>
    <row r="101">
      <c r="A101" s="318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</row>
    <row r="10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</row>
    <row r="103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</row>
    <row r="104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</row>
    <row r="105">
      <c r="A105" s="318"/>
      <c r="B105" s="318"/>
      <c r="C105" s="318"/>
      <c r="D105" s="318"/>
      <c r="E105" s="318"/>
      <c r="F105" s="318"/>
      <c r="G105" s="318"/>
      <c r="H105" s="318"/>
      <c r="I105" s="318"/>
      <c r="J105" s="318"/>
      <c r="K105" s="318"/>
    </row>
    <row r="106">
      <c r="A106" s="318"/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</row>
    <row r="107">
      <c r="A107" s="318"/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</row>
    <row r="108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</row>
    <row r="109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</row>
    <row r="110">
      <c r="A110" s="318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</row>
    <row r="111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</row>
    <row r="11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</row>
    <row r="113">
      <c r="A113" s="318"/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</row>
    <row r="114">
      <c r="A114" s="318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</row>
    <row r="115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</row>
    <row r="116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</row>
    <row r="117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</row>
    <row r="118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</row>
    <row r="119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</row>
    <row r="120">
      <c r="A120" s="318"/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</row>
    <row r="121">
      <c r="A121" s="318"/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</row>
    <row r="122">
      <c r="A122" s="318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</row>
    <row r="123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</row>
    <row r="124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</row>
    <row r="125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</row>
    <row r="126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</row>
    <row r="127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</row>
    <row r="128">
      <c r="A128" s="318"/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</row>
    <row r="129">
      <c r="A129" s="318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</row>
    <row r="130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</row>
    <row r="131">
      <c r="A131" s="318"/>
      <c r="B131" s="318"/>
      <c r="C131" s="318"/>
      <c r="D131" s="318"/>
      <c r="E131" s="320"/>
      <c r="F131" s="321"/>
      <c r="G131" s="321"/>
      <c r="H131" s="321"/>
      <c r="I131" s="321"/>
      <c r="J131" s="321"/>
      <c r="K131" s="321"/>
    </row>
    <row r="13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</row>
    <row r="133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</row>
    <row r="134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</row>
    <row r="135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</row>
    <row r="136">
      <c r="A136" s="318"/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</row>
    <row r="137">
      <c r="A137" s="318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</row>
    <row r="138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</row>
    <row r="139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</row>
    <row r="140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</row>
    <row r="141">
      <c r="A141" s="318"/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</row>
    <row r="142">
      <c r="A142" s="318"/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</row>
    <row r="143">
      <c r="A143" s="318"/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</row>
    <row r="144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</row>
    <row r="145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</row>
    <row r="146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</row>
    <row r="147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</row>
    <row r="148">
      <c r="A148" s="318"/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</row>
    <row r="149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</row>
    <row r="150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</row>
    <row r="151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</row>
    <row r="15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</row>
    <row r="153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</row>
    <row r="154">
      <c r="A154" s="318"/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</row>
    <row r="155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</row>
    <row r="156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</row>
    <row r="157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</row>
    <row r="158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</row>
    <row r="159">
      <c r="A159" s="318"/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</row>
    <row r="160">
      <c r="A160" s="318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</row>
    <row r="161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</row>
    <row r="16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</row>
    <row r="163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</row>
    <row r="164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</row>
    <row r="165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</row>
    <row r="166">
      <c r="A166" s="318"/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</row>
    <row r="167">
      <c r="A167" s="318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</row>
    <row r="168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</row>
    <row r="169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</row>
    <row r="170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</row>
    <row r="171">
      <c r="A171" s="318"/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</row>
    <row r="172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</row>
    <row r="173">
      <c r="A173" s="318"/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</row>
    <row r="174">
      <c r="A174" s="318"/>
      <c r="B174" s="318"/>
      <c r="C174" s="318"/>
      <c r="D174" s="318"/>
      <c r="E174" s="318"/>
      <c r="F174" s="318"/>
      <c r="G174" s="318"/>
      <c r="H174" s="318"/>
      <c r="I174" s="318"/>
      <c r="J174" s="318"/>
      <c r="K174" s="318"/>
    </row>
    <row r="175">
      <c r="A175" s="318"/>
      <c r="B175" s="318"/>
      <c r="C175" s="318"/>
      <c r="D175" s="318"/>
      <c r="E175" s="318"/>
      <c r="F175" s="318"/>
      <c r="G175" s="318"/>
      <c r="H175" s="318"/>
      <c r="I175" s="318"/>
      <c r="J175" s="318"/>
      <c r="K175" s="318"/>
    </row>
    <row r="176">
      <c r="A176" s="318"/>
      <c r="B176" s="318"/>
      <c r="C176" s="318"/>
      <c r="D176" s="318"/>
      <c r="E176" s="318"/>
      <c r="F176" s="318"/>
      <c r="G176" s="318"/>
      <c r="H176" s="318"/>
      <c r="I176" s="318"/>
      <c r="J176" s="318"/>
      <c r="K176" s="318"/>
    </row>
    <row r="177">
      <c r="A177" s="318"/>
      <c r="B177" s="318"/>
      <c r="C177" s="318"/>
      <c r="D177" s="318"/>
      <c r="E177" s="318"/>
      <c r="F177" s="318"/>
      <c r="G177" s="318"/>
      <c r="H177" s="318"/>
      <c r="I177" s="318"/>
      <c r="J177" s="318"/>
      <c r="K177" s="318"/>
    </row>
    <row r="178">
      <c r="A178" s="318"/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</row>
    <row r="179">
      <c r="A179" s="318"/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</row>
    <row r="180">
      <c r="A180" s="318"/>
      <c r="B180" s="318"/>
      <c r="C180" s="318"/>
      <c r="D180" s="318"/>
      <c r="E180" s="318"/>
      <c r="F180" s="318"/>
      <c r="G180" s="318"/>
      <c r="H180" s="318"/>
      <c r="I180" s="318"/>
      <c r="J180" s="318"/>
      <c r="K180" s="318"/>
    </row>
    <row r="181">
      <c r="A181" s="318"/>
      <c r="B181" s="318"/>
      <c r="C181" s="318"/>
      <c r="D181" s="318"/>
      <c r="E181" s="318"/>
      <c r="F181" s="318"/>
      <c r="G181" s="318"/>
      <c r="H181" s="318"/>
      <c r="I181" s="318"/>
      <c r="J181" s="318"/>
      <c r="K181" s="318"/>
    </row>
    <row r="18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</row>
    <row r="183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</row>
    <row r="184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</row>
    <row r="185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</row>
    <row r="186">
      <c r="A186" s="318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</row>
    <row r="187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</row>
    <row r="188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</row>
    <row r="189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</row>
    <row r="190">
      <c r="A190" s="319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</row>
    <row r="191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</row>
    <row r="19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</row>
    <row r="193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</row>
    <row r="194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</row>
    <row r="195">
      <c r="A195" s="318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</row>
    <row r="196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</row>
    <row r="197">
      <c r="A197" s="318"/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</row>
    <row r="198">
      <c r="A198" s="318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</row>
    <row r="199">
      <c r="A199" s="318"/>
      <c r="B199" s="318"/>
      <c r="C199" s="318"/>
      <c r="D199" s="318"/>
      <c r="E199" s="318"/>
      <c r="F199" s="318"/>
      <c r="G199" s="318"/>
      <c r="H199" s="318"/>
      <c r="I199" s="318"/>
      <c r="J199" s="318"/>
      <c r="K199" s="318"/>
    </row>
    <row r="200">
      <c r="A200" s="318"/>
      <c r="B200" s="318"/>
      <c r="C200" s="318"/>
      <c r="D200" s="318"/>
      <c r="E200" s="318"/>
      <c r="F200" s="318"/>
      <c r="G200" s="318"/>
      <c r="H200" s="318"/>
      <c r="I200" s="318"/>
      <c r="J200" s="318"/>
      <c r="K200" s="318"/>
    </row>
    <row r="201">
      <c r="A201" s="318"/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</row>
    <row r="202">
      <c r="A202" s="318"/>
      <c r="B202" s="318"/>
      <c r="C202" s="318"/>
      <c r="D202" s="318"/>
      <c r="E202" s="318"/>
      <c r="F202" s="318"/>
      <c r="G202" s="318"/>
      <c r="H202" s="318"/>
      <c r="I202" s="318"/>
      <c r="J202" s="318"/>
      <c r="K202" s="318"/>
    </row>
    <row r="203">
      <c r="A203" s="318"/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</row>
    <row r="204">
      <c r="A204" s="318"/>
      <c r="B204" s="318"/>
      <c r="C204" s="318"/>
      <c r="D204" s="318"/>
      <c r="E204" s="318"/>
      <c r="F204" s="318"/>
      <c r="G204" s="318"/>
      <c r="H204" s="318"/>
      <c r="I204" s="318"/>
      <c r="J204" s="318"/>
      <c r="K204" s="318"/>
    </row>
    <row r="205">
      <c r="A205" s="318"/>
      <c r="B205" s="318"/>
      <c r="C205" s="318"/>
      <c r="D205" s="318"/>
      <c r="E205" s="318"/>
      <c r="F205" s="318"/>
      <c r="G205" s="318"/>
      <c r="H205" s="318"/>
      <c r="I205" s="318"/>
      <c r="J205" s="318"/>
      <c r="K205" s="318"/>
    </row>
    <row r="206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</row>
    <row r="207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</row>
    <row r="208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</row>
    <row r="209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</row>
    <row r="210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</row>
    <row r="211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</row>
    <row r="21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</row>
    <row r="213">
      <c r="A213" s="322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</row>
    <row r="214">
      <c r="A214" s="318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</row>
    <row r="215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</row>
    <row r="216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</row>
    <row r="217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</row>
    <row r="218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</row>
    <row r="219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</row>
    <row r="220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</row>
    <row r="221">
      <c r="A221" s="318"/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</row>
    <row r="22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</row>
    <row r="223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</row>
    <row r="224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</row>
    <row r="225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</row>
    <row r="226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</row>
    <row r="227">
      <c r="A227" s="318"/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</row>
    <row r="228">
      <c r="A228" s="318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</row>
    <row r="229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</row>
    <row r="230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</row>
    <row r="231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</row>
    <row r="23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</row>
    <row r="233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</row>
    <row r="234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</row>
    <row r="235">
      <c r="A235" s="318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</row>
    <row r="236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</row>
    <row r="237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</row>
    <row r="238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</row>
    <row r="239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</row>
    <row r="240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</row>
    <row r="241">
      <c r="A241" s="318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</row>
    <row r="24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</row>
    <row r="243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</row>
    <row r="244">
      <c r="A244" s="318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</row>
    <row r="245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</row>
    <row r="246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</row>
    <row r="247">
      <c r="A247" s="318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</row>
    <row r="248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</row>
    <row r="249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</row>
    <row r="250">
      <c r="A250" s="318"/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</row>
    <row r="251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</row>
    <row r="25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</row>
    <row r="253">
      <c r="A253" s="318"/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</row>
    <row r="254">
      <c r="A254" s="318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</row>
    <row r="255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</row>
    <row r="256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</row>
    <row r="257">
      <c r="A257" s="318"/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</row>
    <row r="258">
      <c r="A258" s="318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</row>
    <row r="259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</row>
    <row r="260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</row>
    <row r="261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</row>
    <row r="26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</row>
    <row r="263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</row>
    <row r="264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</row>
    <row r="265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</row>
    <row r="266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</row>
    <row r="267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</row>
    <row r="268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</row>
    <row r="269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</row>
    <row r="270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</row>
    <row r="271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</row>
    <row r="27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</row>
    <row r="273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</row>
    <row r="274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</row>
    <row r="275">
      <c r="A275" s="318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</row>
    <row r="276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</row>
    <row r="277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</row>
    <row r="278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</row>
    <row r="279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</row>
    <row r="280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</row>
    <row r="281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</row>
    <row r="28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</row>
    <row r="283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</row>
    <row r="284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</row>
    <row r="285">
      <c r="A285" s="318"/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</row>
    <row r="286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</row>
    <row r="287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</row>
    <row r="288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</row>
    <row r="289">
      <c r="A289" s="318"/>
      <c r="B289" s="318"/>
      <c r="C289" s="318"/>
      <c r="D289" s="318"/>
      <c r="E289" s="318"/>
      <c r="F289" s="318"/>
      <c r="G289" s="318"/>
      <c r="H289" s="318"/>
      <c r="I289" s="318"/>
      <c r="J289" s="318"/>
      <c r="K289" s="318"/>
    </row>
    <row r="290">
      <c r="A290" s="318"/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</row>
    <row r="291">
      <c r="A291" s="318"/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</row>
    <row r="292">
      <c r="A292" s="318"/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</row>
    <row r="293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</row>
    <row r="294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</row>
    <row r="295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</row>
    <row r="296">
      <c r="A296" s="318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</row>
    <row r="297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</row>
    <row r="298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</row>
    <row r="299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</row>
    <row r="300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</row>
    <row r="301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</row>
    <row r="30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</row>
    <row r="303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</row>
    <row r="304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</row>
    <row r="305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</row>
    <row r="306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</row>
    <row r="307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</row>
    <row r="308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</row>
    <row r="309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</row>
    <row r="310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</row>
    <row r="311">
      <c r="A311" s="318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</row>
    <row r="31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</row>
    <row r="313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</row>
    <row r="314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</row>
    <row r="315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</row>
    <row r="316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</row>
    <row r="317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</row>
    <row r="318">
      <c r="A318" s="318"/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</row>
    <row r="319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</row>
    <row r="320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</row>
    <row r="321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</row>
    <row r="32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</row>
    <row r="323">
      <c r="A323" s="318"/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</row>
    <row r="324">
      <c r="A324" s="318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</row>
    <row r="325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</row>
    <row r="326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</row>
    <row r="327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</row>
    <row r="328">
      <c r="A328" s="318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</row>
    <row r="329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</row>
    <row r="330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</row>
    <row r="331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</row>
    <row r="33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</row>
    <row r="333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</row>
    <row r="334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</row>
    <row r="335">
      <c r="A335" s="318"/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</row>
    <row r="336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</row>
    <row r="337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</row>
    <row r="338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</row>
    <row r="339">
      <c r="A339" s="318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</row>
    <row r="340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</row>
    <row r="341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</row>
    <row r="342">
      <c r="A342" s="318"/>
      <c r="B342" s="318"/>
      <c r="C342" s="318"/>
      <c r="D342" s="318"/>
      <c r="E342" s="318"/>
      <c r="F342" s="318"/>
      <c r="G342" s="318"/>
      <c r="H342" s="318"/>
      <c r="I342" s="318"/>
      <c r="J342" s="318"/>
      <c r="K342" s="318"/>
    </row>
    <row r="343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</row>
    <row r="344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</row>
    <row r="345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</row>
    <row r="346">
      <c r="A346" s="318"/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</row>
    <row r="347">
      <c r="A347" s="318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</row>
    <row r="348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</row>
    <row r="349">
      <c r="A349" s="318"/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</row>
    <row r="350">
      <c r="A350" s="318"/>
      <c r="B350" s="318"/>
      <c r="C350" s="318"/>
      <c r="D350" s="318"/>
      <c r="E350" s="318"/>
      <c r="F350" s="318"/>
      <c r="G350" s="318"/>
      <c r="H350" s="318"/>
      <c r="I350" s="318"/>
      <c r="J350" s="318"/>
      <c r="K350" s="318"/>
    </row>
    <row r="351">
      <c r="A351" s="318"/>
      <c r="B351" s="318"/>
      <c r="C351" s="318"/>
      <c r="D351" s="318"/>
      <c r="E351" s="318"/>
      <c r="F351" s="318"/>
      <c r="G351" s="318"/>
      <c r="H351" s="318"/>
      <c r="I351" s="318"/>
      <c r="J351" s="318"/>
      <c r="K351" s="318"/>
    </row>
    <row r="352">
      <c r="A352" s="318"/>
      <c r="B352" s="318"/>
      <c r="C352" s="318"/>
      <c r="D352" s="318"/>
      <c r="E352" s="318"/>
      <c r="F352" s="318"/>
      <c r="G352" s="318"/>
      <c r="H352" s="318"/>
      <c r="I352" s="318"/>
      <c r="J352" s="318"/>
      <c r="K352" s="318"/>
    </row>
    <row r="353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</row>
    <row r="354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</row>
    <row r="355">
      <c r="A355" s="318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</row>
    <row r="356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</row>
    <row r="357">
      <c r="A357" s="318"/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</row>
    <row r="358">
      <c r="A358" s="318"/>
      <c r="B358" s="318"/>
      <c r="C358" s="318"/>
      <c r="D358" s="318"/>
      <c r="E358" s="318"/>
      <c r="F358" s="318"/>
      <c r="G358" s="318"/>
      <c r="H358" s="318"/>
      <c r="I358" s="318"/>
      <c r="J358" s="318"/>
      <c r="K358" s="318"/>
    </row>
    <row r="359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</row>
    <row r="360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</row>
    <row r="361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</row>
    <row r="362">
      <c r="A362" s="318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</row>
    <row r="363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</row>
    <row r="364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</row>
    <row r="365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</row>
    <row r="366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</row>
    <row r="367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</row>
    <row r="368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</row>
    <row r="369">
      <c r="A369" s="318"/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</row>
    <row r="370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</row>
    <row r="371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</row>
    <row r="37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</row>
    <row r="373">
      <c r="A373" s="318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</row>
    <row r="374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</row>
    <row r="375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</row>
    <row r="376">
      <c r="A376" s="318"/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</row>
    <row r="377">
      <c r="A377" s="318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</row>
    <row r="378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</row>
    <row r="379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</row>
    <row r="380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</row>
    <row r="381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</row>
    <row r="38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</row>
    <row r="383">
      <c r="A383" s="318"/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</row>
    <row r="384">
      <c r="A384" s="318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</row>
    <row r="385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</row>
    <row r="386">
      <c r="A386" s="318"/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</row>
    <row r="387">
      <c r="A387" s="318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</row>
    <row r="388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</row>
    <row r="389">
      <c r="A389" s="318"/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</row>
    <row r="390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</row>
    <row r="391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</row>
    <row r="392">
      <c r="A392" s="318"/>
      <c r="B392" s="318"/>
      <c r="C392" s="318"/>
      <c r="D392" s="318"/>
      <c r="E392" s="318"/>
      <c r="F392" s="318"/>
      <c r="G392" s="318"/>
      <c r="H392" s="318"/>
      <c r="I392" s="318"/>
      <c r="J392" s="318"/>
      <c r="K392" s="318"/>
    </row>
    <row r="393">
      <c r="A393" s="318"/>
      <c r="B393" s="318"/>
      <c r="C393" s="318"/>
      <c r="D393" s="318"/>
      <c r="E393" s="318"/>
      <c r="F393" s="318"/>
      <c r="G393" s="318"/>
      <c r="H393" s="318"/>
      <c r="I393" s="318"/>
      <c r="J393" s="318"/>
      <c r="K393" s="318"/>
    </row>
    <row r="394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</row>
    <row r="395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</row>
    <row r="396">
      <c r="A396" s="318"/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</row>
    <row r="397">
      <c r="A397" s="318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</row>
    <row r="398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</row>
    <row r="399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</row>
    <row r="400">
      <c r="A400" s="318"/>
      <c r="B400" s="318"/>
      <c r="C400" s="318"/>
      <c r="D400" s="318"/>
      <c r="E400" s="318"/>
      <c r="F400" s="318"/>
      <c r="G400" s="318"/>
      <c r="H400" s="318"/>
      <c r="I400" s="318"/>
      <c r="J400" s="318"/>
      <c r="K400" s="318"/>
    </row>
    <row r="401">
      <c r="A401" s="318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</row>
    <row r="40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</row>
    <row r="403">
      <c r="A403" s="318"/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</row>
    <row r="404">
      <c r="A404" s="318"/>
      <c r="B404" s="318"/>
      <c r="C404" s="318"/>
      <c r="D404" s="318"/>
      <c r="E404" s="318"/>
      <c r="F404" s="318"/>
      <c r="G404" s="318"/>
      <c r="H404" s="318"/>
      <c r="I404" s="318"/>
      <c r="J404" s="318"/>
      <c r="K404" s="318"/>
    </row>
    <row r="405">
      <c r="A405" s="318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</row>
    <row r="406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</row>
    <row r="407">
      <c r="A407" s="318"/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</row>
    <row r="408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</row>
    <row r="409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</row>
    <row r="410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</row>
    <row r="411">
      <c r="A411" s="318"/>
      <c r="B411" s="318"/>
      <c r="C411" s="318"/>
      <c r="D411" s="318"/>
      <c r="E411" s="318"/>
      <c r="F411" s="318"/>
      <c r="G411" s="318"/>
      <c r="H411" s="318"/>
      <c r="I411" s="318"/>
      <c r="J411" s="318"/>
      <c r="K411" s="318"/>
    </row>
    <row r="41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</row>
    <row r="413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</row>
    <row r="414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</row>
    <row r="415">
      <c r="A415" s="318"/>
      <c r="B415" s="318"/>
      <c r="C415" s="318"/>
      <c r="D415" s="318"/>
      <c r="E415" s="318"/>
      <c r="F415" s="318"/>
      <c r="G415" s="318"/>
      <c r="H415" s="318"/>
      <c r="I415" s="318"/>
      <c r="J415" s="318"/>
      <c r="K415" s="318"/>
    </row>
    <row r="416">
      <c r="A416" s="318"/>
      <c r="B416" s="318"/>
      <c r="C416" s="318"/>
      <c r="D416" s="318"/>
      <c r="E416" s="318"/>
      <c r="F416" s="318"/>
      <c r="G416" s="318"/>
      <c r="H416" s="318"/>
      <c r="I416" s="318"/>
      <c r="J416" s="318"/>
      <c r="K416" s="318"/>
    </row>
    <row r="417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</row>
    <row r="418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</row>
    <row r="419">
      <c r="A419" s="318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</row>
    <row r="420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</row>
    <row r="421">
      <c r="A421" s="318"/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</row>
    <row r="42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</row>
    <row r="423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</row>
    <row r="424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</row>
    <row r="425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</row>
    <row r="426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</row>
    <row r="427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</row>
    <row r="428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</row>
    <row r="429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</row>
    <row r="430">
      <c r="A430" s="318"/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</row>
    <row r="431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</row>
    <row r="43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</row>
    <row r="433">
      <c r="A433" s="318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</row>
    <row r="434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</row>
    <row r="435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</row>
    <row r="436">
      <c r="A436" s="318"/>
      <c r="B436" s="318"/>
      <c r="C436" s="318"/>
      <c r="D436" s="318"/>
      <c r="E436" s="318"/>
      <c r="F436" s="318"/>
      <c r="G436" s="318"/>
      <c r="H436" s="318"/>
      <c r="I436" s="318"/>
      <c r="J436" s="318"/>
      <c r="K436" s="318"/>
    </row>
    <row r="437">
      <c r="A437" s="318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</row>
    <row r="438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</row>
    <row r="439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</row>
    <row r="440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</row>
    <row r="441">
      <c r="A441" s="318"/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</row>
    <row r="442">
      <c r="A442" s="318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</row>
    <row r="443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</row>
    <row r="444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</row>
    <row r="445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</row>
    <row r="446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</row>
    <row r="447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</row>
    <row r="448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</row>
    <row r="449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</row>
    <row r="450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</row>
    <row r="451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</row>
    <row r="45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</row>
    <row r="453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</row>
    <row r="454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</row>
    <row r="455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</row>
    <row r="456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</row>
    <row r="457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</row>
    <row r="458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</row>
    <row r="459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</row>
    <row r="460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</row>
    <row r="461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</row>
    <row r="46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</row>
    <row r="463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</row>
    <row r="464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</row>
    <row r="465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</row>
    <row r="466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</row>
    <row r="467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</row>
    <row r="468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</row>
    <row r="469">
      <c r="A469" s="318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</row>
    <row r="470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</row>
    <row r="471">
      <c r="A471" s="318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</row>
    <row r="47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</row>
    <row r="473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</row>
    <row r="474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</row>
    <row r="475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</row>
    <row r="476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</row>
    <row r="477">
      <c r="A477" s="318"/>
      <c r="B477" s="318"/>
      <c r="C477" s="318"/>
      <c r="D477" s="318"/>
      <c r="E477" s="318"/>
      <c r="F477" s="318"/>
      <c r="G477" s="318"/>
      <c r="H477" s="318"/>
      <c r="I477" s="318"/>
      <c r="J477" s="318"/>
      <c r="K477" s="318"/>
    </row>
    <row r="478">
      <c r="A478" s="318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</row>
    <row r="479">
      <c r="A479" s="318"/>
      <c r="B479" s="318"/>
      <c r="C479" s="318"/>
      <c r="D479" s="318"/>
      <c r="E479" s="318"/>
      <c r="F479" s="318"/>
      <c r="G479" s="318"/>
      <c r="H479" s="318"/>
      <c r="I479" s="318"/>
      <c r="J479" s="318"/>
      <c r="K479" s="318"/>
    </row>
    <row r="480">
      <c r="A480" s="318"/>
      <c r="B480" s="318"/>
      <c r="C480" s="318"/>
      <c r="D480" s="318"/>
      <c r="E480" s="318"/>
      <c r="F480" s="318"/>
      <c r="G480" s="318"/>
      <c r="H480" s="318"/>
      <c r="I480" s="318"/>
      <c r="J480" s="318"/>
      <c r="K480" s="318"/>
    </row>
    <row r="481">
      <c r="A481" s="318"/>
      <c r="B481" s="318"/>
      <c r="C481" s="318"/>
      <c r="D481" s="318"/>
      <c r="E481" s="318"/>
      <c r="F481" s="318"/>
      <c r="G481" s="318"/>
      <c r="H481" s="318"/>
      <c r="I481" s="318"/>
      <c r="J481" s="318"/>
      <c r="K481" s="318"/>
    </row>
    <row r="482">
      <c r="A482" s="318"/>
      <c r="B482" s="318"/>
      <c r="C482" s="318"/>
      <c r="D482" s="318"/>
      <c r="E482" s="318"/>
      <c r="F482" s="318"/>
      <c r="G482" s="318"/>
      <c r="H482" s="318"/>
      <c r="I482" s="318"/>
      <c r="J482" s="318"/>
      <c r="K482" s="318"/>
    </row>
    <row r="483">
      <c r="A483" s="318"/>
      <c r="B483" s="318"/>
      <c r="C483" s="318"/>
      <c r="D483" s="318"/>
      <c r="E483" s="318"/>
      <c r="F483" s="318"/>
      <c r="G483" s="318"/>
      <c r="H483" s="318"/>
      <c r="I483" s="318"/>
      <c r="J483" s="318"/>
      <c r="K483" s="318"/>
    </row>
    <row r="484">
      <c r="A484" s="318"/>
      <c r="B484" s="318"/>
      <c r="C484" s="318"/>
      <c r="D484" s="318"/>
      <c r="E484" s="318"/>
      <c r="F484" s="318"/>
      <c r="G484" s="318"/>
      <c r="H484" s="318"/>
      <c r="I484" s="318"/>
      <c r="J484" s="318"/>
      <c r="K484" s="318"/>
    </row>
    <row r="485">
      <c r="A485" s="318"/>
      <c r="B485" s="318"/>
      <c r="C485" s="318"/>
      <c r="D485" s="318"/>
      <c r="E485" s="318"/>
      <c r="F485" s="318"/>
      <c r="G485" s="318"/>
      <c r="H485" s="318"/>
      <c r="I485" s="318"/>
      <c r="J485" s="318"/>
      <c r="K485" s="318"/>
    </row>
    <row r="486">
      <c r="A486" s="318"/>
      <c r="B486" s="318"/>
      <c r="C486" s="318"/>
      <c r="D486" s="318"/>
      <c r="E486" s="318"/>
      <c r="F486" s="318"/>
      <c r="G486" s="318"/>
      <c r="H486" s="318"/>
      <c r="I486" s="318"/>
      <c r="J486" s="318"/>
      <c r="K486" s="318"/>
    </row>
    <row r="487">
      <c r="A487" s="318"/>
      <c r="B487" s="318"/>
      <c r="C487" s="318"/>
      <c r="D487" s="318"/>
      <c r="E487" s="318"/>
      <c r="F487" s="318"/>
      <c r="G487" s="318"/>
      <c r="H487" s="318"/>
      <c r="I487" s="318"/>
      <c r="J487" s="318"/>
      <c r="K487" s="318"/>
    </row>
    <row r="488">
      <c r="A488" s="318"/>
      <c r="B488" s="318"/>
      <c r="C488" s="318"/>
      <c r="D488" s="318"/>
      <c r="E488" s="318"/>
      <c r="F488" s="318"/>
      <c r="G488" s="318"/>
      <c r="H488" s="318"/>
      <c r="I488" s="318"/>
      <c r="J488" s="318"/>
      <c r="K488" s="318"/>
    </row>
    <row r="489">
      <c r="A489" s="318"/>
      <c r="B489" s="318"/>
      <c r="C489" s="318"/>
      <c r="D489" s="318"/>
      <c r="E489" s="318"/>
      <c r="F489" s="318"/>
      <c r="G489" s="318"/>
      <c r="H489" s="318"/>
      <c r="I489" s="318"/>
      <c r="J489" s="318"/>
      <c r="K489" s="318"/>
    </row>
    <row r="490">
      <c r="A490" s="318"/>
      <c r="B490" s="318"/>
      <c r="C490" s="318"/>
      <c r="D490" s="318"/>
      <c r="E490" s="318"/>
      <c r="F490" s="318"/>
      <c r="G490" s="318"/>
      <c r="H490" s="318"/>
      <c r="I490" s="318"/>
      <c r="J490" s="318"/>
      <c r="K490" s="318"/>
    </row>
    <row r="491">
      <c r="A491" s="318"/>
      <c r="B491" s="318"/>
      <c r="C491" s="318"/>
      <c r="D491" s="318"/>
      <c r="E491" s="318"/>
      <c r="F491" s="318"/>
      <c r="G491" s="318"/>
      <c r="H491" s="318"/>
      <c r="I491" s="318"/>
      <c r="J491" s="318"/>
      <c r="K491" s="318"/>
    </row>
    <row r="492">
      <c r="A492" s="318"/>
      <c r="B492" s="318"/>
      <c r="C492" s="318"/>
      <c r="D492" s="318"/>
      <c r="E492" s="318"/>
      <c r="F492" s="318"/>
      <c r="G492" s="318"/>
      <c r="H492" s="318"/>
      <c r="I492" s="318"/>
      <c r="J492" s="318"/>
      <c r="K492" s="318"/>
    </row>
    <row r="493">
      <c r="A493" s="318"/>
      <c r="B493" s="318"/>
      <c r="C493" s="318"/>
      <c r="D493" s="318"/>
      <c r="E493" s="318"/>
      <c r="F493" s="318"/>
      <c r="G493" s="318"/>
      <c r="H493" s="318"/>
      <c r="I493" s="318"/>
      <c r="J493" s="318"/>
      <c r="K493" s="318"/>
    </row>
    <row r="494">
      <c r="A494" s="318"/>
      <c r="B494" s="318"/>
      <c r="C494" s="318"/>
      <c r="D494" s="318"/>
      <c r="E494" s="318"/>
      <c r="F494" s="318"/>
      <c r="G494" s="318"/>
      <c r="H494" s="318"/>
      <c r="I494" s="318"/>
      <c r="J494" s="318"/>
      <c r="K494" s="318"/>
    </row>
    <row r="495">
      <c r="A495" s="318"/>
      <c r="B495" s="318"/>
      <c r="C495" s="318"/>
      <c r="D495" s="318"/>
      <c r="E495" s="318"/>
      <c r="F495" s="318"/>
      <c r="G495" s="318"/>
      <c r="H495" s="318"/>
      <c r="I495" s="318"/>
      <c r="J495" s="318"/>
      <c r="K495" s="318"/>
    </row>
    <row r="496">
      <c r="A496" s="318"/>
      <c r="B496" s="318"/>
      <c r="C496" s="318"/>
      <c r="D496" s="318"/>
      <c r="E496" s="318"/>
      <c r="F496" s="318"/>
      <c r="G496" s="318"/>
      <c r="H496" s="318"/>
      <c r="I496" s="318"/>
      <c r="J496" s="318"/>
      <c r="K496" s="318"/>
    </row>
    <row r="497">
      <c r="A497" s="318"/>
      <c r="B497" s="318"/>
      <c r="C497" s="318"/>
      <c r="D497" s="318"/>
      <c r="E497" s="318"/>
      <c r="F497" s="318"/>
      <c r="G497" s="318"/>
      <c r="H497" s="318"/>
      <c r="I497" s="318"/>
      <c r="J497" s="318"/>
      <c r="K497" s="318"/>
    </row>
    <row r="498">
      <c r="A498" s="318"/>
      <c r="B498" s="318"/>
      <c r="C498" s="318"/>
      <c r="D498" s="318"/>
      <c r="E498" s="318"/>
      <c r="F498" s="318"/>
      <c r="G498" s="318"/>
      <c r="H498" s="318"/>
      <c r="I498" s="318"/>
      <c r="J498" s="318"/>
      <c r="K498" s="318"/>
    </row>
    <row r="499">
      <c r="A499" s="318"/>
      <c r="B499" s="318"/>
      <c r="C499" s="318"/>
      <c r="D499" s="318"/>
      <c r="E499" s="318"/>
      <c r="F499" s="318"/>
      <c r="G499" s="318"/>
      <c r="H499" s="318"/>
      <c r="I499" s="318"/>
      <c r="J499" s="318"/>
      <c r="K499" s="318"/>
    </row>
    <row r="500">
      <c r="A500" s="318"/>
      <c r="B500" s="318"/>
      <c r="C500" s="318"/>
      <c r="D500" s="318"/>
      <c r="E500" s="318"/>
      <c r="F500" s="318"/>
      <c r="G500" s="318"/>
      <c r="H500" s="318"/>
      <c r="I500" s="318"/>
      <c r="J500" s="318"/>
      <c r="K500" s="318"/>
    </row>
    <row r="501">
      <c r="A501" s="318"/>
      <c r="B501" s="318"/>
      <c r="C501" s="318"/>
      <c r="D501" s="318"/>
      <c r="E501" s="318"/>
      <c r="F501" s="318"/>
      <c r="G501" s="318"/>
      <c r="H501" s="318"/>
      <c r="I501" s="318"/>
      <c r="J501" s="318"/>
      <c r="K501" s="318"/>
    </row>
    <row r="502">
      <c r="A502" s="318"/>
      <c r="B502" s="318"/>
      <c r="C502" s="318"/>
      <c r="D502" s="318"/>
      <c r="E502" s="318"/>
      <c r="F502" s="318"/>
      <c r="G502" s="318"/>
      <c r="H502" s="318"/>
      <c r="I502" s="318"/>
      <c r="J502" s="318"/>
      <c r="K502" s="318"/>
    </row>
    <row r="503">
      <c r="A503" s="318"/>
      <c r="B503" s="318"/>
      <c r="C503" s="318"/>
      <c r="D503" s="318"/>
      <c r="E503" s="318"/>
      <c r="F503" s="318"/>
      <c r="G503" s="318"/>
      <c r="H503" s="318"/>
      <c r="I503" s="318"/>
      <c r="J503" s="318"/>
      <c r="K503" s="318"/>
    </row>
    <row r="504">
      <c r="A504" s="318"/>
      <c r="B504" s="318"/>
      <c r="C504" s="318"/>
      <c r="D504" s="318"/>
      <c r="E504" s="318"/>
      <c r="F504" s="318"/>
      <c r="G504" s="318"/>
      <c r="H504" s="318"/>
      <c r="I504" s="318"/>
      <c r="J504" s="318"/>
      <c r="K504" s="318"/>
    </row>
    <row r="505">
      <c r="A505" s="318"/>
      <c r="B505" s="318"/>
      <c r="C505" s="318"/>
      <c r="D505" s="318"/>
      <c r="E505" s="318"/>
      <c r="F505" s="318"/>
      <c r="G505" s="318"/>
      <c r="H505" s="318"/>
      <c r="I505" s="318"/>
      <c r="J505" s="318"/>
      <c r="K505" s="318"/>
    </row>
    <row r="506">
      <c r="A506" s="318"/>
      <c r="B506" s="318"/>
      <c r="C506" s="318"/>
      <c r="D506" s="318"/>
      <c r="E506" s="318"/>
      <c r="F506" s="318"/>
      <c r="G506" s="318"/>
      <c r="H506" s="318"/>
      <c r="I506" s="318"/>
      <c r="J506" s="318"/>
      <c r="K506" s="318"/>
    </row>
    <row r="507">
      <c r="A507" s="318"/>
      <c r="B507" s="318"/>
      <c r="C507" s="318"/>
      <c r="D507" s="318"/>
      <c r="E507" s="318"/>
      <c r="F507" s="318"/>
      <c r="G507" s="318"/>
      <c r="H507" s="318"/>
      <c r="I507" s="318"/>
      <c r="J507" s="318"/>
      <c r="K507" s="318"/>
    </row>
    <row r="508">
      <c r="A508" s="318"/>
      <c r="B508" s="318"/>
      <c r="C508" s="318"/>
      <c r="D508" s="318"/>
      <c r="E508" s="318"/>
      <c r="F508" s="318"/>
      <c r="G508" s="318"/>
      <c r="H508" s="318"/>
      <c r="I508" s="318"/>
      <c r="J508" s="318"/>
      <c r="K508" s="318"/>
    </row>
    <row r="509">
      <c r="A509" s="318"/>
      <c r="B509" s="318"/>
      <c r="C509" s="318"/>
      <c r="D509" s="318"/>
      <c r="E509" s="318"/>
      <c r="F509" s="318"/>
      <c r="G509" s="318"/>
      <c r="H509" s="318"/>
      <c r="I509" s="318"/>
      <c r="J509" s="318"/>
      <c r="K509" s="318"/>
    </row>
    <row r="510">
      <c r="A510" s="318"/>
      <c r="B510" s="318"/>
      <c r="C510" s="318"/>
      <c r="D510" s="318"/>
      <c r="E510" s="318"/>
      <c r="F510" s="318"/>
      <c r="G510" s="318"/>
      <c r="H510" s="318"/>
      <c r="I510" s="318"/>
      <c r="J510" s="318"/>
      <c r="K510" s="318"/>
    </row>
    <row r="511">
      <c r="A511" s="318"/>
      <c r="B511" s="318"/>
      <c r="C511" s="318"/>
      <c r="D511" s="318"/>
      <c r="E511" s="318"/>
      <c r="F511" s="318"/>
      <c r="G511" s="318"/>
      <c r="H511" s="318"/>
      <c r="I511" s="318"/>
      <c r="J511" s="318"/>
      <c r="K511" s="318"/>
    </row>
    <row r="512">
      <c r="A512" s="318"/>
      <c r="B512" s="318"/>
      <c r="C512" s="318"/>
      <c r="D512" s="318"/>
      <c r="E512" s="318"/>
      <c r="F512" s="318"/>
      <c r="G512" s="318"/>
      <c r="H512" s="318"/>
      <c r="I512" s="318"/>
      <c r="J512" s="318"/>
      <c r="K512" s="318"/>
    </row>
    <row r="513">
      <c r="A513" s="318"/>
      <c r="B513" s="318"/>
      <c r="C513" s="318"/>
      <c r="D513" s="318"/>
      <c r="E513" s="318"/>
      <c r="F513" s="318"/>
      <c r="G513" s="318"/>
      <c r="H513" s="318"/>
      <c r="I513" s="318"/>
      <c r="J513" s="318"/>
      <c r="K513" s="318"/>
    </row>
    <row r="514">
      <c r="A514" s="318"/>
      <c r="B514" s="318"/>
      <c r="C514" s="318"/>
      <c r="D514" s="318"/>
      <c r="E514" s="318"/>
      <c r="F514" s="318"/>
      <c r="G514" s="318"/>
      <c r="H514" s="318"/>
      <c r="I514" s="318"/>
      <c r="J514" s="318"/>
      <c r="K514" s="318"/>
    </row>
    <row r="515">
      <c r="A515" s="318"/>
      <c r="B515" s="318"/>
      <c r="C515" s="318"/>
      <c r="D515" s="318"/>
      <c r="E515" s="318"/>
      <c r="F515" s="318"/>
      <c r="G515" s="318"/>
      <c r="H515" s="318"/>
      <c r="I515" s="318"/>
      <c r="J515" s="318"/>
      <c r="K515" s="318"/>
    </row>
    <row r="516">
      <c r="A516" s="318"/>
      <c r="B516" s="318"/>
      <c r="C516" s="318"/>
      <c r="D516" s="318"/>
      <c r="E516" s="318"/>
      <c r="F516" s="318"/>
      <c r="G516" s="318"/>
      <c r="H516" s="318"/>
      <c r="I516" s="318"/>
      <c r="J516" s="318"/>
      <c r="K516" s="318"/>
    </row>
    <row r="517">
      <c r="A517" s="318"/>
      <c r="B517" s="318"/>
      <c r="C517" s="318"/>
      <c r="D517" s="318"/>
      <c r="E517" s="318"/>
      <c r="F517" s="318"/>
      <c r="G517" s="318"/>
      <c r="H517" s="318"/>
      <c r="I517" s="318"/>
      <c r="J517" s="318"/>
      <c r="K517" s="318"/>
    </row>
    <row r="518">
      <c r="A518" s="318"/>
      <c r="B518" s="318"/>
      <c r="C518" s="318"/>
      <c r="D518" s="318"/>
      <c r="E518" s="318"/>
      <c r="F518" s="318"/>
      <c r="G518" s="318"/>
      <c r="H518" s="318"/>
      <c r="I518" s="318"/>
      <c r="J518" s="318"/>
      <c r="K518" s="318"/>
    </row>
    <row r="519">
      <c r="A519" s="318"/>
      <c r="B519" s="318"/>
      <c r="C519" s="318"/>
      <c r="D519" s="318"/>
      <c r="E519" s="318"/>
      <c r="F519" s="318"/>
      <c r="G519" s="318"/>
      <c r="H519" s="318"/>
      <c r="I519" s="318"/>
      <c r="J519" s="318"/>
      <c r="K519" s="318"/>
    </row>
    <row r="520">
      <c r="A520" s="318"/>
      <c r="B520" s="318"/>
      <c r="C520" s="318"/>
      <c r="D520" s="318"/>
      <c r="E520" s="318"/>
      <c r="F520" s="318"/>
      <c r="G520" s="318"/>
      <c r="H520" s="318"/>
      <c r="I520" s="318"/>
      <c r="J520" s="318"/>
      <c r="K520" s="318"/>
    </row>
    <row r="521">
      <c r="A521" s="318"/>
      <c r="B521" s="318"/>
      <c r="C521" s="318"/>
      <c r="D521" s="318"/>
      <c r="E521" s="318"/>
      <c r="F521" s="318"/>
      <c r="G521" s="318"/>
      <c r="H521" s="318"/>
      <c r="I521" s="318"/>
      <c r="J521" s="318"/>
      <c r="K521" s="318"/>
    </row>
    <row r="522">
      <c r="A522" s="318"/>
      <c r="B522" s="318"/>
      <c r="C522" s="318"/>
      <c r="D522" s="318"/>
      <c r="E522" s="318"/>
      <c r="F522" s="318"/>
      <c r="G522" s="318"/>
      <c r="H522" s="318"/>
      <c r="I522" s="318"/>
      <c r="J522" s="318"/>
      <c r="K522" s="318"/>
    </row>
    <row r="523">
      <c r="A523" s="318"/>
      <c r="B523" s="318"/>
      <c r="C523" s="318"/>
      <c r="D523" s="318"/>
      <c r="E523" s="318"/>
      <c r="F523" s="318"/>
      <c r="G523" s="318"/>
      <c r="H523" s="318"/>
      <c r="I523" s="318"/>
      <c r="J523" s="318"/>
      <c r="K523" s="318"/>
    </row>
    <row r="524">
      <c r="A524" s="318"/>
      <c r="B524" s="318"/>
      <c r="C524" s="318"/>
      <c r="D524" s="318"/>
      <c r="E524" s="318"/>
      <c r="F524" s="318"/>
      <c r="G524" s="318"/>
      <c r="H524" s="318"/>
      <c r="I524" s="318"/>
      <c r="J524" s="318"/>
      <c r="K524" s="318"/>
    </row>
    <row r="525">
      <c r="A525" s="318"/>
      <c r="B525" s="318"/>
      <c r="C525" s="318"/>
      <c r="D525" s="318"/>
      <c r="E525" s="318"/>
      <c r="F525" s="318"/>
      <c r="G525" s="318"/>
      <c r="H525" s="318"/>
      <c r="I525" s="318"/>
      <c r="J525" s="318"/>
      <c r="K525" s="318"/>
    </row>
    <row r="526">
      <c r="A526" s="318"/>
      <c r="B526" s="318"/>
      <c r="C526" s="318"/>
      <c r="D526" s="318"/>
      <c r="E526" s="318"/>
      <c r="F526" s="318"/>
      <c r="G526" s="318"/>
      <c r="H526" s="318"/>
      <c r="I526" s="318"/>
      <c r="J526" s="318"/>
      <c r="K526" s="318"/>
    </row>
    <row r="527">
      <c r="A527" s="318"/>
      <c r="B527" s="318"/>
      <c r="C527" s="318"/>
      <c r="D527" s="318"/>
      <c r="E527" s="318"/>
      <c r="F527" s="318"/>
      <c r="G527" s="318"/>
      <c r="H527" s="318"/>
      <c r="I527" s="318"/>
      <c r="J527" s="318"/>
      <c r="K527" s="318"/>
    </row>
    <row r="528">
      <c r="A528" s="318"/>
      <c r="B528" s="318"/>
      <c r="C528" s="318"/>
      <c r="D528" s="318"/>
      <c r="E528" s="318"/>
      <c r="F528" s="318"/>
      <c r="G528" s="318"/>
      <c r="H528" s="318"/>
      <c r="I528" s="318"/>
      <c r="J528" s="318"/>
      <c r="K528" s="318"/>
    </row>
    <row r="529">
      <c r="A529" s="318"/>
      <c r="B529" s="318"/>
      <c r="C529" s="318"/>
      <c r="D529" s="318"/>
      <c r="E529" s="318"/>
      <c r="F529" s="318"/>
      <c r="G529" s="318"/>
      <c r="H529" s="318"/>
      <c r="I529" s="318"/>
      <c r="J529" s="318"/>
      <c r="K529" s="318"/>
    </row>
    <row r="530">
      <c r="A530" s="318"/>
      <c r="B530" s="318"/>
      <c r="C530" s="318"/>
      <c r="D530" s="318"/>
      <c r="E530" s="318"/>
      <c r="F530" s="318"/>
      <c r="G530" s="318"/>
      <c r="H530" s="318"/>
      <c r="I530" s="318"/>
      <c r="J530" s="318"/>
      <c r="K530" s="318"/>
    </row>
    <row r="531">
      <c r="A531" s="318"/>
      <c r="B531" s="318"/>
      <c r="C531" s="318"/>
      <c r="D531" s="318"/>
      <c r="E531" s="318"/>
      <c r="F531" s="318"/>
      <c r="G531" s="318"/>
      <c r="H531" s="318"/>
      <c r="I531" s="318"/>
      <c r="J531" s="318"/>
      <c r="K531" s="318"/>
    </row>
    <row r="532">
      <c r="A532" s="318"/>
      <c r="B532" s="318"/>
      <c r="C532" s="318"/>
      <c r="D532" s="318"/>
      <c r="E532" s="318"/>
      <c r="F532" s="318"/>
      <c r="G532" s="318"/>
      <c r="H532" s="318"/>
      <c r="I532" s="318"/>
      <c r="J532" s="318"/>
      <c r="K532" s="318"/>
    </row>
    <row r="533">
      <c r="A533" s="318"/>
      <c r="B533" s="318"/>
      <c r="C533" s="318"/>
      <c r="D533" s="318"/>
      <c r="E533" s="318"/>
      <c r="F533" s="318"/>
      <c r="G533" s="318"/>
      <c r="H533" s="318"/>
      <c r="I533" s="318"/>
      <c r="J533" s="318"/>
      <c r="K533" s="318"/>
    </row>
    <row r="534">
      <c r="A534" s="318"/>
      <c r="B534" s="318"/>
      <c r="C534" s="318"/>
      <c r="D534" s="318"/>
      <c r="E534" s="318"/>
      <c r="F534" s="318"/>
      <c r="G534" s="318"/>
      <c r="H534" s="318"/>
      <c r="I534" s="318"/>
      <c r="J534" s="318"/>
      <c r="K534" s="318"/>
    </row>
    <row r="535">
      <c r="A535" s="318"/>
      <c r="B535" s="318"/>
      <c r="C535" s="318"/>
      <c r="D535" s="318"/>
      <c r="E535" s="318"/>
      <c r="F535" s="318"/>
      <c r="G535" s="318"/>
      <c r="H535" s="318"/>
      <c r="I535" s="318"/>
      <c r="J535" s="318"/>
      <c r="K535" s="318"/>
    </row>
    <row r="536">
      <c r="A536" s="318"/>
      <c r="B536" s="318"/>
      <c r="C536" s="318"/>
      <c r="D536" s="318"/>
      <c r="E536" s="318"/>
      <c r="F536" s="318"/>
      <c r="G536" s="318"/>
      <c r="H536" s="318"/>
      <c r="I536" s="318"/>
      <c r="J536" s="318"/>
      <c r="K536" s="318"/>
    </row>
    <row r="537">
      <c r="A537" s="318"/>
      <c r="B537" s="318"/>
      <c r="C537" s="318"/>
      <c r="D537" s="318"/>
      <c r="E537" s="318"/>
      <c r="F537" s="318"/>
      <c r="G537" s="318"/>
      <c r="H537" s="318"/>
      <c r="I537" s="318"/>
      <c r="J537" s="318"/>
      <c r="K537" s="318"/>
    </row>
    <row r="538">
      <c r="A538" s="318"/>
      <c r="B538" s="318"/>
      <c r="C538" s="318"/>
      <c r="D538" s="318"/>
      <c r="E538" s="318"/>
      <c r="F538" s="318"/>
      <c r="G538" s="318"/>
      <c r="H538" s="318"/>
      <c r="I538" s="318"/>
      <c r="J538" s="318"/>
      <c r="K538" s="318"/>
    </row>
    <row r="539">
      <c r="A539" s="318"/>
      <c r="B539" s="318"/>
      <c r="C539" s="318"/>
      <c r="D539" s="318"/>
      <c r="E539" s="318"/>
      <c r="F539" s="318"/>
      <c r="G539" s="318"/>
      <c r="H539" s="318"/>
      <c r="I539" s="318"/>
      <c r="J539" s="318"/>
      <c r="K539" s="318"/>
    </row>
    <row r="540">
      <c r="A540" s="318"/>
      <c r="B540" s="318"/>
      <c r="C540" s="318"/>
      <c r="D540" s="318"/>
      <c r="E540" s="318"/>
      <c r="F540" s="318"/>
      <c r="G540" s="318"/>
      <c r="H540" s="318"/>
      <c r="I540" s="318"/>
      <c r="J540" s="318"/>
      <c r="K540" s="318"/>
    </row>
    <row r="541">
      <c r="A541" s="318"/>
      <c r="B541" s="318"/>
      <c r="C541" s="318"/>
      <c r="D541" s="318"/>
      <c r="E541" s="318"/>
      <c r="F541" s="318"/>
      <c r="G541" s="318"/>
      <c r="H541" s="318"/>
      <c r="I541" s="318"/>
      <c r="J541" s="318"/>
      <c r="K541" s="318"/>
    </row>
    <row r="542">
      <c r="A542" s="318"/>
      <c r="B542" s="318"/>
      <c r="C542" s="318"/>
      <c r="D542" s="318"/>
      <c r="E542" s="318"/>
      <c r="F542" s="318"/>
      <c r="G542" s="318"/>
      <c r="H542" s="318"/>
      <c r="I542" s="318"/>
      <c r="J542" s="318"/>
      <c r="K542" s="318"/>
    </row>
    <row r="543">
      <c r="A543" s="318"/>
      <c r="B543" s="318"/>
      <c r="C543" s="318"/>
      <c r="D543" s="318"/>
      <c r="E543" s="318"/>
      <c r="F543" s="318"/>
      <c r="G543" s="318"/>
      <c r="H543" s="318"/>
      <c r="I543" s="318"/>
      <c r="J543" s="318"/>
      <c r="K543" s="318"/>
    </row>
    <row r="544">
      <c r="A544" s="318"/>
      <c r="B544" s="318"/>
      <c r="C544" s="318"/>
      <c r="D544" s="318"/>
      <c r="E544" s="318"/>
      <c r="F544" s="318"/>
      <c r="G544" s="318"/>
      <c r="H544" s="318"/>
      <c r="I544" s="318"/>
      <c r="J544" s="318"/>
      <c r="K544" s="318"/>
    </row>
    <row r="545">
      <c r="A545" s="318"/>
      <c r="B545" s="318"/>
      <c r="C545" s="318"/>
      <c r="D545" s="318"/>
      <c r="E545" s="318"/>
      <c r="F545" s="318"/>
      <c r="G545" s="318"/>
      <c r="H545" s="318"/>
      <c r="I545" s="318"/>
      <c r="J545" s="318"/>
      <c r="K545" s="318"/>
    </row>
    <row r="546">
      <c r="A546" s="318"/>
      <c r="B546" s="318"/>
      <c r="C546" s="318"/>
      <c r="D546" s="318"/>
      <c r="E546" s="318"/>
      <c r="F546" s="318"/>
      <c r="G546" s="318"/>
      <c r="H546" s="318"/>
      <c r="I546" s="318"/>
      <c r="J546" s="318"/>
      <c r="K546" s="318"/>
    </row>
    <row r="547">
      <c r="A547" s="318"/>
      <c r="B547" s="318"/>
      <c r="C547" s="318"/>
      <c r="D547" s="318"/>
      <c r="E547" s="318"/>
      <c r="F547" s="318"/>
      <c r="G547" s="318"/>
      <c r="H547" s="318"/>
      <c r="I547" s="318"/>
      <c r="J547" s="318"/>
      <c r="K547" s="318"/>
    </row>
    <row r="548">
      <c r="A548" s="318"/>
      <c r="B548" s="318"/>
      <c r="C548" s="318"/>
      <c r="D548" s="318"/>
      <c r="E548" s="318"/>
      <c r="F548" s="318"/>
      <c r="G548" s="318"/>
      <c r="H548" s="318"/>
      <c r="I548" s="318"/>
      <c r="J548" s="318"/>
      <c r="K548" s="318"/>
    </row>
    <row r="549">
      <c r="A549" s="318"/>
      <c r="B549" s="318"/>
      <c r="C549" s="318"/>
      <c r="D549" s="318"/>
      <c r="E549" s="318"/>
      <c r="F549" s="318"/>
      <c r="G549" s="318"/>
      <c r="H549" s="318"/>
      <c r="I549" s="318"/>
      <c r="J549" s="318"/>
      <c r="K549" s="318"/>
    </row>
    <row r="550">
      <c r="A550" s="318"/>
      <c r="B550" s="318"/>
      <c r="C550" s="318"/>
      <c r="D550" s="318"/>
      <c r="E550" s="318"/>
      <c r="F550" s="318"/>
      <c r="G550" s="318"/>
      <c r="H550" s="318"/>
      <c r="I550" s="318"/>
      <c r="J550" s="318"/>
      <c r="K550" s="318"/>
    </row>
    <row r="551">
      <c r="A551" s="318"/>
      <c r="B551" s="318"/>
      <c r="C551" s="318"/>
      <c r="D551" s="318"/>
      <c r="E551" s="318"/>
      <c r="F551" s="318"/>
      <c r="G551" s="318"/>
      <c r="H551" s="318"/>
      <c r="I551" s="318"/>
      <c r="J551" s="318"/>
      <c r="K551" s="318"/>
    </row>
    <row r="552">
      <c r="A552" s="318"/>
      <c r="B552" s="318"/>
      <c r="C552" s="318"/>
      <c r="D552" s="318"/>
      <c r="E552" s="318"/>
      <c r="F552" s="318"/>
      <c r="G552" s="318"/>
      <c r="H552" s="318"/>
      <c r="I552" s="318"/>
      <c r="J552" s="318"/>
      <c r="K552" s="318"/>
    </row>
    <row r="553">
      <c r="A553" s="318"/>
      <c r="B553" s="318"/>
      <c r="C553" s="318"/>
      <c r="D553" s="318"/>
      <c r="E553" s="318"/>
      <c r="F553" s="318"/>
      <c r="G553" s="318"/>
      <c r="H553" s="318"/>
      <c r="I553" s="318"/>
      <c r="J553" s="318"/>
      <c r="K553" s="318"/>
    </row>
    <row r="554">
      <c r="A554" s="318"/>
      <c r="B554" s="318"/>
      <c r="C554" s="318"/>
      <c r="D554" s="318"/>
      <c r="E554" s="318"/>
      <c r="F554" s="318"/>
      <c r="G554" s="318"/>
      <c r="H554" s="318"/>
      <c r="I554" s="318"/>
      <c r="J554" s="318"/>
      <c r="K554" s="318"/>
    </row>
    <row r="555">
      <c r="A555" s="318"/>
      <c r="B555" s="318"/>
      <c r="C555" s="318"/>
      <c r="D555" s="318"/>
      <c r="E555" s="318"/>
      <c r="F555" s="318"/>
      <c r="G555" s="318"/>
      <c r="H555" s="318"/>
      <c r="I555" s="318"/>
      <c r="J555" s="318"/>
      <c r="K555" s="318"/>
    </row>
    <row r="556">
      <c r="A556" s="318"/>
      <c r="B556" s="318"/>
      <c r="C556" s="318"/>
      <c r="D556" s="318"/>
      <c r="E556" s="318"/>
      <c r="F556" s="318"/>
      <c r="G556" s="318"/>
      <c r="H556" s="318"/>
      <c r="I556" s="318"/>
      <c r="J556" s="318"/>
      <c r="K556" s="318"/>
    </row>
    <row r="557">
      <c r="A557" s="318"/>
      <c r="B557" s="318"/>
      <c r="C557" s="318"/>
      <c r="D557" s="318"/>
      <c r="E557" s="318"/>
      <c r="F557" s="318"/>
      <c r="G557" s="318"/>
      <c r="H557" s="318"/>
      <c r="I557" s="318"/>
      <c r="J557" s="318"/>
      <c r="K557" s="318"/>
    </row>
    <row r="558">
      <c r="A558" s="318"/>
      <c r="B558" s="318"/>
      <c r="C558" s="318"/>
      <c r="D558" s="318"/>
      <c r="E558" s="318"/>
      <c r="F558" s="318"/>
      <c r="G558" s="318"/>
      <c r="H558" s="318"/>
      <c r="I558" s="318"/>
      <c r="J558" s="318"/>
      <c r="K558" s="318"/>
    </row>
    <row r="559">
      <c r="A559" s="318"/>
      <c r="B559" s="318"/>
      <c r="C559" s="318"/>
      <c r="D559" s="318"/>
      <c r="E559" s="318"/>
      <c r="F559" s="318"/>
      <c r="G559" s="318"/>
      <c r="H559" s="318"/>
      <c r="I559" s="318"/>
      <c r="J559" s="318"/>
      <c r="K559" s="318"/>
    </row>
    <row r="560">
      <c r="A560" s="318"/>
      <c r="B560" s="318"/>
      <c r="C560" s="318"/>
      <c r="D560" s="318"/>
      <c r="E560" s="318"/>
      <c r="F560" s="318"/>
      <c r="G560" s="318"/>
      <c r="H560" s="318"/>
      <c r="I560" s="318"/>
      <c r="J560" s="318"/>
      <c r="K560" s="318"/>
    </row>
    <row r="561">
      <c r="A561" s="318"/>
      <c r="B561" s="318"/>
      <c r="C561" s="318"/>
      <c r="D561" s="318"/>
      <c r="E561" s="318"/>
      <c r="F561" s="318"/>
      <c r="G561" s="318"/>
      <c r="H561" s="318"/>
      <c r="I561" s="318"/>
      <c r="J561" s="318"/>
      <c r="K561" s="318"/>
    </row>
    <row r="562">
      <c r="A562" s="318"/>
      <c r="B562" s="318"/>
      <c r="C562" s="318"/>
      <c r="D562" s="318"/>
      <c r="E562" s="318"/>
      <c r="F562" s="318"/>
      <c r="G562" s="318"/>
      <c r="H562" s="318"/>
      <c r="I562" s="318"/>
      <c r="J562" s="318"/>
      <c r="K562" s="318"/>
    </row>
    <row r="563">
      <c r="A563" s="318"/>
      <c r="B563" s="318"/>
      <c r="C563" s="318"/>
      <c r="D563" s="318"/>
      <c r="E563" s="318"/>
      <c r="F563" s="318"/>
      <c r="G563" s="318"/>
      <c r="H563" s="318"/>
      <c r="I563" s="318"/>
      <c r="J563" s="318"/>
      <c r="K563" s="318"/>
    </row>
    <row r="564">
      <c r="A564" s="318"/>
      <c r="B564" s="318"/>
      <c r="C564" s="318"/>
      <c r="D564" s="318"/>
      <c r="E564" s="318"/>
      <c r="F564" s="318"/>
      <c r="G564" s="318"/>
      <c r="H564" s="318"/>
      <c r="I564" s="318"/>
      <c r="J564" s="318"/>
      <c r="K564" s="318"/>
    </row>
    <row r="565">
      <c r="A565" s="318"/>
      <c r="B565" s="318"/>
      <c r="C565" s="318"/>
      <c r="D565" s="318"/>
      <c r="E565" s="318"/>
      <c r="F565" s="318"/>
      <c r="G565" s="318"/>
      <c r="H565" s="318"/>
      <c r="I565" s="318"/>
      <c r="J565" s="318"/>
      <c r="K565" s="318"/>
    </row>
    <row r="566">
      <c r="A566" s="318"/>
      <c r="B566" s="318"/>
      <c r="C566" s="318"/>
      <c r="D566" s="318"/>
      <c r="E566" s="318"/>
      <c r="F566" s="318"/>
      <c r="G566" s="318"/>
      <c r="H566" s="318"/>
      <c r="I566" s="318"/>
      <c r="J566" s="318"/>
      <c r="K566" s="318"/>
    </row>
    <row r="567">
      <c r="A567" s="318"/>
      <c r="B567" s="318"/>
      <c r="C567" s="318"/>
      <c r="D567" s="318"/>
      <c r="E567" s="318"/>
      <c r="F567" s="318"/>
      <c r="G567" s="318"/>
      <c r="H567" s="318"/>
      <c r="I567" s="318"/>
      <c r="J567" s="318"/>
      <c r="K567" s="318"/>
    </row>
    <row r="568">
      <c r="A568" s="318"/>
      <c r="B568" s="318"/>
      <c r="C568" s="318"/>
      <c r="D568" s="318"/>
      <c r="E568" s="318"/>
      <c r="F568" s="318"/>
      <c r="G568" s="318"/>
      <c r="H568" s="318"/>
      <c r="I568" s="318"/>
      <c r="J568" s="318"/>
      <c r="K568" s="318"/>
    </row>
    <row r="569">
      <c r="A569" s="318"/>
      <c r="B569" s="318"/>
      <c r="C569" s="318"/>
      <c r="D569" s="318"/>
      <c r="E569" s="318"/>
      <c r="F569" s="318"/>
      <c r="G569" s="318"/>
      <c r="H569" s="318"/>
      <c r="I569" s="318"/>
      <c r="J569" s="318"/>
      <c r="K569" s="318"/>
    </row>
    <row r="570">
      <c r="A570" s="318"/>
      <c r="B570" s="318"/>
      <c r="C570" s="318"/>
      <c r="D570" s="318"/>
      <c r="E570" s="318"/>
      <c r="F570" s="318"/>
      <c r="G570" s="318"/>
      <c r="H570" s="318"/>
      <c r="I570" s="318"/>
      <c r="J570" s="318"/>
      <c r="K570" s="318"/>
    </row>
    <row r="571">
      <c r="A571" s="318"/>
      <c r="B571" s="318"/>
      <c r="C571" s="318"/>
      <c r="D571" s="318"/>
      <c r="E571" s="318"/>
      <c r="F571" s="318"/>
      <c r="G571" s="318"/>
      <c r="H571" s="318"/>
      <c r="I571" s="318"/>
      <c r="J571" s="318"/>
      <c r="K571" s="318"/>
    </row>
    <row r="572">
      <c r="A572" s="318"/>
      <c r="B572" s="318"/>
      <c r="C572" s="318"/>
      <c r="D572" s="318"/>
      <c r="E572" s="318"/>
      <c r="F572" s="318"/>
      <c r="G572" s="318"/>
      <c r="H572" s="318"/>
      <c r="I572" s="318"/>
      <c r="J572" s="318"/>
      <c r="K572" s="318"/>
    </row>
    <row r="573">
      <c r="A573" s="318"/>
      <c r="B573" s="318"/>
      <c r="C573" s="318"/>
      <c r="D573" s="318"/>
      <c r="E573" s="318"/>
      <c r="F573" s="318"/>
      <c r="G573" s="318"/>
      <c r="H573" s="318"/>
      <c r="I573" s="318"/>
      <c r="J573" s="318"/>
      <c r="K573" s="318"/>
    </row>
    <row r="574">
      <c r="A574" s="318"/>
      <c r="B574" s="318"/>
      <c r="C574" s="318"/>
      <c r="D574" s="318"/>
      <c r="E574" s="318"/>
      <c r="F574" s="318"/>
      <c r="G574" s="318"/>
      <c r="H574" s="318"/>
      <c r="I574" s="318"/>
      <c r="J574" s="318"/>
      <c r="K574" s="318"/>
    </row>
    <row r="575">
      <c r="A575" s="318"/>
      <c r="B575" s="318"/>
      <c r="C575" s="318"/>
      <c r="D575" s="318"/>
      <c r="E575" s="318"/>
      <c r="F575" s="318"/>
      <c r="G575" s="318"/>
      <c r="H575" s="318"/>
      <c r="I575" s="318"/>
      <c r="J575" s="318"/>
      <c r="K575" s="318"/>
    </row>
    <row r="576">
      <c r="A576" s="318"/>
      <c r="B576" s="318"/>
      <c r="C576" s="318"/>
      <c r="D576" s="318"/>
      <c r="E576" s="318"/>
      <c r="F576" s="318"/>
      <c r="G576" s="318"/>
      <c r="H576" s="318"/>
      <c r="I576" s="318"/>
      <c r="J576" s="318"/>
      <c r="K576" s="318"/>
    </row>
    <row r="577">
      <c r="A577" s="318"/>
      <c r="B577" s="318"/>
      <c r="C577" s="318"/>
      <c r="D577" s="318"/>
      <c r="E577" s="318"/>
      <c r="F577" s="318"/>
      <c r="G577" s="318"/>
      <c r="H577" s="318"/>
      <c r="I577" s="318"/>
      <c r="J577" s="318"/>
      <c r="K577" s="318"/>
    </row>
    <row r="578">
      <c r="A578" s="318"/>
      <c r="B578" s="318"/>
      <c r="C578" s="318"/>
      <c r="D578" s="318"/>
      <c r="E578" s="318"/>
      <c r="F578" s="318"/>
      <c r="G578" s="318"/>
      <c r="H578" s="318"/>
      <c r="I578" s="318"/>
      <c r="J578" s="318"/>
      <c r="K578" s="318"/>
    </row>
    <row r="579">
      <c r="A579" s="318"/>
      <c r="B579" s="318"/>
      <c r="C579" s="318"/>
      <c r="D579" s="318"/>
      <c r="E579" s="318"/>
      <c r="F579" s="318"/>
      <c r="G579" s="318"/>
      <c r="H579" s="318"/>
      <c r="I579" s="318"/>
      <c r="J579" s="318"/>
      <c r="K579" s="318"/>
    </row>
    <row r="580">
      <c r="A580" s="318"/>
      <c r="B580" s="318"/>
      <c r="C580" s="318"/>
      <c r="D580" s="318"/>
      <c r="E580" s="318"/>
      <c r="F580" s="318"/>
      <c r="G580" s="318"/>
      <c r="H580" s="318"/>
      <c r="I580" s="318"/>
      <c r="J580" s="318"/>
      <c r="K580" s="318"/>
    </row>
    <row r="581">
      <c r="A581" s="318"/>
      <c r="B581" s="318"/>
      <c r="C581" s="318"/>
      <c r="D581" s="318"/>
      <c r="E581" s="318"/>
      <c r="F581" s="318"/>
      <c r="G581" s="318"/>
      <c r="H581" s="318"/>
      <c r="I581" s="318"/>
      <c r="J581" s="318"/>
      <c r="K581" s="318"/>
    </row>
    <row r="582">
      <c r="A582" s="318"/>
      <c r="B582" s="318"/>
      <c r="C582" s="318"/>
      <c r="D582" s="318"/>
      <c r="E582" s="318"/>
      <c r="F582" s="318"/>
      <c r="G582" s="318"/>
      <c r="H582" s="318"/>
      <c r="I582" s="318"/>
      <c r="J582" s="318"/>
      <c r="K582" s="318"/>
    </row>
    <row r="583">
      <c r="A583" s="318"/>
      <c r="B583" s="318"/>
      <c r="C583" s="318"/>
      <c r="D583" s="318"/>
      <c r="E583" s="318"/>
      <c r="F583" s="318"/>
      <c r="G583" s="318"/>
      <c r="H583" s="318"/>
      <c r="I583" s="318"/>
      <c r="J583" s="318"/>
      <c r="K583" s="318"/>
    </row>
    <row r="584">
      <c r="A584" s="318"/>
      <c r="B584" s="318"/>
      <c r="C584" s="318"/>
      <c r="D584" s="318"/>
      <c r="E584" s="318"/>
      <c r="F584" s="318"/>
      <c r="G584" s="318"/>
      <c r="H584" s="318"/>
      <c r="I584" s="318"/>
      <c r="J584" s="318"/>
      <c r="K584" s="318"/>
    </row>
    <row r="585">
      <c r="A585" s="318"/>
      <c r="B585" s="318"/>
      <c r="C585" s="318"/>
      <c r="D585" s="318"/>
      <c r="E585" s="318"/>
      <c r="F585" s="318"/>
      <c r="G585" s="318"/>
      <c r="H585" s="318"/>
      <c r="I585" s="318"/>
      <c r="J585" s="318"/>
      <c r="K585" s="318"/>
    </row>
    <row r="586">
      <c r="A586" s="318"/>
      <c r="B586" s="318"/>
      <c r="C586" s="318"/>
      <c r="D586" s="318"/>
      <c r="E586" s="318"/>
      <c r="F586" s="318"/>
      <c r="G586" s="318"/>
      <c r="H586" s="318"/>
      <c r="I586" s="318"/>
      <c r="J586" s="318"/>
      <c r="K586" s="318"/>
    </row>
    <row r="587">
      <c r="A587" s="318"/>
      <c r="B587" s="318"/>
      <c r="C587" s="318"/>
      <c r="D587" s="318"/>
      <c r="E587" s="318"/>
      <c r="F587" s="318"/>
      <c r="G587" s="318"/>
      <c r="H587" s="318"/>
      <c r="I587" s="318"/>
      <c r="J587" s="318"/>
      <c r="K587" s="318"/>
    </row>
    <row r="588">
      <c r="A588" s="318"/>
      <c r="B588" s="318"/>
      <c r="C588" s="318"/>
      <c r="D588" s="318"/>
      <c r="E588" s="318"/>
      <c r="F588" s="318"/>
      <c r="G588" s="318"/>
      <c r="H588" s="318"/>
      <c r="I588" s="318"/>
      <c r="J588" s="318"/>
      <c r="K588" s="318"/>
    </row>
    <row r="589">
      <c r="A589" s="318"/>
      <c r="B589" s="318"/>
      <c r="C589" s="318"/>
      <c r="D589" s="318"/>
      <c r="E589" s="318"/>
      <c r="F589" s="318"/>
      <c r="G589" s="318"/>
      <c r="H589" s="318"/>
      <c r="I589" s="318"/>
      <c r="J589" s="318"/>
      <c r="K589" s="318"/>
    </row>
    <row r="590">
      <c r="A590" s="318"/>
      <c r="B590" s="318"/>
      <c r="C590" s="318"/>
      <c r="D590" s="318"/>
      <c r="E590" s="318"/>
      <c r="F590" s="318"/>
      <c r="G590" s="318"/>
      <c r="H590" s="318"/>
      <c r="I590" s="318"/>
      <c r="J590" s="318"/>
      <c r="K590" s="318"/>
    </row>
    <row r="591">
      <c r="A591" s="318"/>
      <c r="B591" s="318"/>
      <c r="C591" s="318"/>
      <c r="D591" s="318"/>
      <c r="E591" s="318"/>
      <c r="F591" s="318"/>
      <c r="G591" s="318"/>
      <c r="H591" s="318"/>
      <c r="I591" s="318"/>
      <c r="J591" s="318"/>
      <c r="K591" s="318"/>
    </row>
    <row r="592">
      <c r="A592" s="318"/>
      <c r="B592" s="318"/>
      <c r="C592" s="318"/>
      <c r="D592" s="318"/>
      <c r="E592" s="318"/>
      <c r="F592" s="318"/>
      <c r="G592" s="318"/>
      <c r="H592" s="318"/>
      <c r="I592" s="318"/>
      <c r="J592" s="318"/>
      <c r="K592" s="318"/>
    </row>
    <row r="593">
      <c r="A593" s="318"/>
      <c r="B593" s="318"/>
      <c r="C593" s="318"/>
      <c r="D593" s="318"/>
      <c r="E593" s="318"/>
      <c r="F593" s="318"/>
      <c r="G593" s="318"/>
      <c r="H593" s="318"/>
      <c r="I593" s="318"/>
      <c r="J593" s="318"/>
      <c r="K593" s="318"/>
    </row>
    <row r="594">
      <c r="A594" s="318"/>
      <c r="B594" s="318"/>
      <c r="C594" s="318"/>
      <c r="D594" s="318"/>
      <c r="E594" s="318"/>
      <c r="F594" s="318"/>
      <c r="G594" s="318"/>
      <c r="H594" s="318"/>
      <c r="I594" s="318"/>
      <c r="J594" s="318"/>
      <c r="K594" s="318"/>
    </row>
    <row r="595">
      <c r="A595" s="318"/>
      <c r="B595" s="318"/>
      <c r="C595" s="318"/>
      <c r="D595" s="318"/>
      <c r="E595" s="318"/>
      <c r="F595" s="318"/>
      <c r="G595" s="318"/>
      <c r="H595" s="318"/>
      <c r="I595" s="318"/>
      <c r="J595" s="318"/>
      <c r="K595" s="318"/>
    </row>
    <row r="596">
      <c r="A596" s="318"/>
      <c r="B596" s="318"/>
      <c r="C596" s="318"/>
      <c r="D596" s="318"/>
      <c r="E596" s="318"/>
      <c r="F596" s="318"/>
      <c r="G596" s="318"/>
      <c r="H596" s="318"/>
      <c r="I596" s="318"/>
      <c r="J596" s="318"/>
      <c r="K596" s="318"/>
    </row>
    <row r="597">
      <c r="A597" s="318"/>
      <c r="B597" s="318"/>
      <c r="C597" s="318"/>
      <c r="D597" s="318"/>
      <c r="E597" s="318"/>
      <c r="F597" s="318"/>
      <c r="G597" s="318"/>
      <c r="H597" s="318"/>
      <c r="I597" s="318"/>
      <c r="J597" s="318"/>
      <c r="K597" s="318"/>
    </row>
    <row r="598">
      <c r="A598" s="318"/>
      <c r="B598" s="318"/>
      <c r="C598" s="318"/>
      <c r="D598" s="318"/>
      <c r="E598" s="318"/>
      <c r="F598" s="318"/>
      <c r="G598" s="318"/>
      <c r="H598" s="318"/>
      <c r="I598" s="318"/>
      <c r="J598" s="318"/>
      <c r="K598" s="318"/>
    </row>
    <row r="599">
      <c r="A599" s="318"/>
      <c r="B599" s="318"/>
      <c r="C599" s="318"/>
      <c r="D599" s="318"/>
      <c r="E599" s="318"/>
      <c r="F599" s="318"/>
      <c r="G599" s="318"/>
      <c r="H599" s="318"/>
      <c r="I599" s="318"/>
      <c r="J599" s="318"/>
      <c r="K599" s="318"/>
    </row>
    <row r="600">
      <c r="A600" s="318"/>
      <c r="B600" s="318"/>
      <c r="C600" s="318"/>
      <c r="D600" s="318"/>
      <c r="E600" s="318"/>
      <c r="F600" s="318"/>
      <c r="G600" s="318"/>
      <c r="H600" s="318"/>
      <c r="I600" s="318"/>
      <c r="J600" s="318"/>
      <c r="K600" s="318"/>
    </row>
    <row r="601">
      <c r="A601" s="318"/>
      <c r="B601" s="318"/>
      <c r="C601" s="318"/>
      <c r="D601" s="318"/>
      <c r="E601" s="318"/>
      <c r="F601" s="318"/>
      <c r="G601" s="318"/>
      <c r="H601" s="318"/>
      <c r="I601" s="318"/>
      <c r="J601" s="318"/>
      <c r="K601" s="318"/>
    </row>
    <row r="602">
      <c r="A602" s="318"/>
      <c r="B602" s="318"/>
      <c r="C602" s="318"/>
      <c r="D602" s="318"/>
      <c r="E602" s="318"/>
      <c r="F602" s="318"/>
      <c r="G602" s="318"/>
      <c r="H602" s="318"/>
      <c r="I602" s="318"/>
      <c r="J602" s="318"/>
      <c r="K602" s="318"/>
    </row>
    <row r="603">
      <c r="A603" s="318"/>
      <c r="B603" s="318"/>
      <c r="C603" s="318"/>
      <c r="D603" s="318"/>
      <c r="E603" s="318"/>
      <c r="F603" s="318"/>
      <c r="G603" s="318"/>
      <c r="H603" s="318"/>
      <c r="I603" s="318"/>
      <c r="J603" s="318"/>
      <c r="K603" s="318"/>
    </row>
    <row r="604">
      <c r="A604" s="318"/>
      <c r="B604" s="318"/>
      <c r="C604" s="318"/>
      <c r="D604" s="318"/>
      <c r="E604" s="318"/>
      <c r="F604" s="318"/>
      <c r="G604" s="318"/>
      <c r="H604" s="318"/>
      <c r="I604" s="318"/>
      <c r="J604" s="318"/>
      <c r="K604" s="318"/>
    </row>
    <row r="605">
      <c r="A605" s="318"/>
      <c r="B605" s="318"/>
      <c r="C605" s="318"/>
      <c r="D605" s="318"/>
      <c r="E605" s="318"/>
      <c r="F605" s="318"/>
      <c r="G605" s="318"/>
      <c r="H605" s="318"/>
      <c r="I605" s="318"/>
      <c r="J605" s="318"/>
      <c r="K605" s="318"/>
    </row>
    <row r="606">
      <c r="A606" s="318"/>
      <c r="B606" s="318"/>
      <c r="C606" s="318"/>
      <c r="D606" s="318"/>
      <c r="E606" s="318"/>
      <c r="F606" s="318"/>
      <c r="G606" s="318"/>
      <c r="H606" s="318"/>
      <c r="I606" s="318"/>
      <c r="J606" s="318"/>
      <c r="K606" s="318"/>
    </row>
    <row r="607">
      <c r="A607" s="318"/>
      <c r="B607" s="318"/>
      <c r="C607" s="318"/>
      <c r="D607" s="318"/>
      <c r="E607" s="318"/>
      <c r="F607" s="318"/>
      <c r="G607" s="318"/>
      <c r="H607" s="318"/>
      <c r="I607" s="318"/>
      <c r="J607" s="318"/>
      <c r="K607" s="318"/>
    </row>
    <row r="608">
      <c r="A608" s="318"/>
      <c r="B608" s="318"/>
      <c r="C608" s="318"/>
      <c r="D608" s="318"/>
      <c r="E608" s="318"/>
      <c r="F608" s="318"/>
      <c r="G608" s="318"/>
      <c r="H608" s="318"/>
      <c r="I608" s="318"/>
      <c r="J608" s="318"/>
      <c r="K608" s="318"/>
    </row>
    <row r="609">
      <c r="A609" s="318"/>
      <c r="B609" s="318"/>
      <c r="C609" s="318"/>
      <c r="D609" s="318"/>
      <c r="E609" s="318"/>
      <c r="F609" s="318"/>
      <c r="G609" s="318"/>
      <c r="H609" s="318"/>
      <c r="I609" s="318"/>
      <c r="J609" s="318"/>
      <c r="K609" s="318"/>
    </row>
    <row r="610">
      <c r="A610" s="318"/>
      <c r="B610" s="318"/>
      <c r="C610" s="318"/>
      <c r="D610" s="318"/>
      <c r="E610" s="318"/>
      <c r="F610" s="318"/>
      <c r="G610" s="318"/>
      <c r="H610" s="318"/>
      <c r="I610" s="318"/>
      <c r="J610" s="318"/>
      <c r="K610" s="318"/>
    </row>
    <row r="611">
      <c r="A611" s="318"/>
      <c r="B611" s="318"/>
      <c r="C611" s="318"/>
      <c r="D611" s="318"/>
      <c r="E611" s="318"/>
      <c r="F611" s="318"/>
      <c r="G611" s="318"/>
      <c r="H611" s="318"/>
      <c r="I611" s="318"/>
      <c r="J611" s="318"/>
      <c r="K611" s="318"/>
    </row>
    <row r="612">
      <c r="A612" s="318"/>
      <c r="B612" s="318"/>
      <c r="C612" s="318"/>
      <c r="D612" s="318"/>
      <c r="E612" s="318"/>
      <c r="F612" s="318"/>
      <c r="G612" s="318"/>
      <c r="H612" s="318"/>
      <c r="I612" s="318"/>
      <c r="J612" s="318"/>
      <c r="K612" s="318"/>
    </row>
    <row r="613">
      <c r="A613" s="318"/>
      <c r="B613" s="318"/>
      <c r="C613" s="318"/>
      <c r="D613" s="318"/>
      <c r="E613" s="318"/>
      <c r="F613" s="318"/>
      <c r="G613" s="318"/>
      <c r="H613" s="318"/>
      <c r="I613" s="318"/>
      <c r="J613" s="318"/>
      <c r="K613" s="318"/>
    </row>
    <row r="614">
      <c r="A614" s="318"/>
      <c r="B614" s="318"/>
      <c r="C614" s="318"/>
      <c r="D614" s="318"/>
      <c r="E614" s="318"/>
      <c r="F614" s="318"/>
      <c r="G614" s="318"/>
      <c r="H614" s="318"/>
      <c r="I614" s="318"/>
      <c r="J614" s="318"/>
      <c r="K614" s="318"/>
    </row>
    <row r="615">
      <c r="A615" s="318"/>
      <c r="B615" s="318"/>
      <c r="C615" s="318"/>
      <c r="D615" s="318"/>
      <c r="E615" s="318"/>
      <c r="F615" s="318"/>
      <c r="G615" s="318"/>
      <c r="H615" s="318"/>
      <c r="I615" s="318"/>
      <c r="J615" s="318"/>
      <c r="K615" s="318"/>
    </row>
    <row r="616">
      <c r="A616" s="318"/>
      <c r="B616" s="318"/>
      <c r="C616" s="318"/>
      <c r="D616" s="318"/>
      <c r="E616" s="318"/>
      <c r="F616" s="318"/>
      <c r="G616" s="318"/>
      <c r="H616" s="318"/>
      <c r="I616" s="318"/>
      <c r="J616" s="318"/>
      <c r="K616" s="318"/>
    </row>
    <row r="617">
      <c r="A617" s="318"/>
      <c r="B617" s="318"/>
      <c r="C617" s="318"/>
      <c r="D617" s="318"/>
      <c r="E617" s="318"/>
      <c r="F617" s="318"/>
      <c r="G617" s="318"/>
      <c r="H617" s="318"/>
      <c r="I617" s="318"/>
      <c r="J617" s="318"/>
      <c r="K617" s="318"/>
    </row>
    <row r="618">
      <c r="A618" s="318"/>
      <c r="B618" s="318"/>
      <c r="C618" s="318"/>
      <c r="D618" s="318"/>
      <c r="E618" s="318"/>
      <c r="F618" s="318"/>
      <c r="G618" s="318"/>
      <c r="H618" s="318"/>
      <c r="I618" s="318"/>
      <c r="J618" s="318"/>
      <c r="K618" s="318"/>
    </row>
    <row r="619">
      <c r="A619" s="318"/>
      <c r="B619" s="318"/>
      <c r="C619" s="318"/>
      <c r="D619" s="318"/>
      <c r="E619" s="318"/>
      <c r="F619" s="318"/>
      <c r="G619" s="318"/>
      <c r="H619" s="318"/>
      <c r="I619" s="318"/>
      <c r="J619" s="318"/>
      <c r="K619" s="318"/>
    </row>
    <row r="620">
      <c r="A620" s="318"/>
      <c r="B620" s="318"/>
      <c r="C620" s="318"/>
      <c r="D620" s="318"/>
      <c r="E620" s="318"/>
      <c r="F620" s="318"/>
      <c r="G620" s="318"/>
      <c r="H620" s="318"/>
      <c r="I620" s="318"/>
      <c r="J620" s="318"/>
      <c r="K620" s="318"/>
    </row>
    <row r="621">
      <c r="A621" s="318"/>
      <c r="B621" s="318"/>
      <c r="C621" s="318"/>
      <c r="D621" s="318"/>
      <c r="E621" s="318"/>
      <c r="F621" s="318"/>
      <c r="G621" s="318"/>
      <c r="H621" s="318"/>
      <c r="I621" s="318"/>
      <c r="J621" s="318"/>
      <c r="K621" s="318"/>
    </row>
    <row r="622">
      <c r="A622" s="318"/>
      <c r="B622" s="318"/>
      <c r="C622" s="318"/>
      <c r="D622" s="318"/>
      <c r="E622" s="318"/>
      <c r="F622" s="318"/>
      <c r="G622" s="318"/>
      <c r="H622" s="318"/>
      <c r="I622" s="318"/>
      <c r="J622" s="318"/>
      <c r="K622" s="318"/>
    </row>
    <row r="623">
      <c r="A623" s="318"/>
      <c r="B623" s="318"/>
      <c r="C623" s="318"/>
      <c r="D623" s="318"/>
      <c r="E623" s="318"/>
      <c r="F623" s="318"/>
      <c r="G623" s="318"/>
      <c r="H623" s="318"/>
      <c r="I623" s="318"/>
      <c r="J623" s="318"/>
      <c r="K623" s="318"/>
    </row>
    <row r="624">
      <c r="A624" s="318"/>
      <c r="B624" s="318"/>
      <c r="C624" s="318"/>
      <c r="D624" s="318"/>
      <c r="E624" s="318"/>
      <c r="F624" s="318"/>
      <c r="G624" s="318"/>
      <c r="H624" s="318"/>
      <c r="I624" s="318"/>
      <c r="J624" s="318"/>
      <c r="K624" s="318"/>
    </row>
    <row r="625">
      <c r="A625" s="318"/>
      <c r="B625" s="318"/>
      <c r="C625" s="318"/>
      <c r="D625" s="318"/>
      <c r="E625" s="318"/>
      <c r="F625" s="318"/>
      <c r="G625" s="318"/>
      <c r="H625" s="318"/>
      <c r="I625" s="318"/>
      <c r="J625" s="318"/>
      <c r="K625" s="318"/>
    </row>
    <row r="626">
      <c r="A626" s="318"/>
      <c r="B626" s="318"/>
      <c r="C626" s="318"/>
      <c r="D626" s="318"/>
      <c r="E626" s="318"/>
      <c r="F626" s="318"/>
      <c r="G626" s="318"/>
      <c r="H626" s="318"/>
      <c r="I626" s="318"/>
      <c r="J626" s="318"/>
      <c r="K626" s="318"/>
    </row>
    <row r="627">
      <c r="A627" s="318"/>
      <c r="B627" s="318"/>
      <c r="C627" s="318"/>
      <c r="D627" s="318"/>
      <c r="E627" s="318"/>
      <c r="F627" s="318"/>
      <c r="G627" s="318"/>
      <c r="H627" s="318"/>
      <c r="I627" s="318"/>
      <c r="J627" s="318"/>
      <c r="K627" s="318"/>
    </row>
    <row r="628">
      <c r="A628" s="318"/>
      <c r="B628" s="318"/>
      <c r="C628" s="318"/>
      <c r="D628" s="318"/>
      <c r="E628" s="318"/>
      <c r="F628" s="318"/>
      <c r="G628" s="318"/>
      <c r="H628" s="318"/>
      <c r="I628" s="318"/>
      <c r="J628" s="318"/>
      <c r="K628" s="318"/>
    </row>
    <row r="629">
      <c r="A629" s="318"/>
      <c r="B629" s="318"/>
      <c r="C629" s="318"/>
      <c r="D629" s="318"/>
      <c r="E629" s="318"/>
      <c r="F629" s="318"/>
      <c r="G629" s="318"/>
      <c r="H629" s="318"/>
      <c r="I629" s="318"/>
      <c r="J629" s="318"/>
      <c r="K629" s="318"/>
    </row>
    <row r="630">
      <c r="A630" s="318"/>
      <c r="B630" s="318"/>
      <c r="C630" s="318"/>
      <c r="D630" s="318"/>
      <c r="E630" s="318"/>
      <c r="F630" s="318"/>
      <c r="G630" s="318"/>
      <c r="H630" s="318"/>
      <c r="I630" s="318"/>
      <c r="J630" s="318"/>
      <c r="K630" s="318"/>
    </row>
    <row r="631">
      <c r="A631" s="318"/>
      <c r="B631" s="318"/>
      <c r="C631" s="318"/>
      <c r="D631" s="318"/>
      <c r="E631" s="318"/>
      <c r="F631" s="318"/>
      <c r="G631" s="318"/>
      <c r="H631" s="318"/>
      <c r="I631" s="318"/>
      <c r="J631" s="318"/>
      <c r="K631" s="318"/>
    </row>
    <row r="632">
      <c r="A632" s="318"/>
      <c r="B632" s="318"/>
      <c r="C632" s="318"/>
      <c r="D632" s="318"/>
      <c r="E632" s="318"/>
      <c r="F632" s="318"/>
      <c r="G632" s="318"/>
      <c r="H632" s="318"/>
      <c r="I632" s="318"/>
      <c r="J632" s="318"/>
      <c r="K632" s="318"/>
    </row>
    <row r="633">
      <c r="A633" s="318"/>
      <c r="B633" s="318"/>
      <c r="C633" s="318"/>
      <c r="D633" s="318"/>
      <c r="E633" s="318"/>
      <c r="F633" s="318"/>
      <c r="G633" s="318"/>
      <c r="H633" s="318"/>
      <c r="I633" s="318"/>
      <c r="J633" s="318"/>
      <c r="K633" s="318"/>
    </row>
    <row r="634">
      <c r="A634" s="318"/>
      <c r="B634" s="318"/>
      <c r="C634" s="318"/>
      <c r="D634" s="318"/>
      <c r="E634" s="318"/>
      <c r="F634" s="318"/>
      <c r="G634" s="318"/>
      <c r="H634" s="318"/>
      <c r="I634" s="318"/>
      <c r="J634" s="318"/>
      <c r="K634" s="318"/>
    </row>
    <row r="635">
      <c r="A635" s="318"/>
      <c r="B635" s="318"/>
      <c r="C635" s="318"/>
      <c r="D635" s="318"/>
      <c r="E635" s="318"/>
      <c r="F635" s="318"/>
      <c r="G635" s="318"/>
      <c r="H635" s="318"/>
      <c r="I635" s="318"/>
      <c r="J635" s="318"/>
      <c r="K635" s="318"/>
    </row>
    <row r="636">
      <c r="A636" s="318"/>
      <c r="B636" s="318"/>
      <c r="C636" s="318"/>
      <c r="D636" s="318"/>
      <c r="E636" s="318"/>
      <c r="F636" s="318"/>
      <c r="G636" s="318"/>
      <c r="H636" s="318"/>
      <c r="I636" s="318"/>
      <c r="J636" s="318"/>
      <c r="K636" s="318"/>
    </row>
    <row r="637">
      <c r="A637" s="318"/>
      <c r="B637" s="318"/>
      <c r="C637" s="318"/>
      <c r="D637" s="318"/>
      <c r="E637" s="318"/>
      <c r="F637" s="318"/>
      <c r="G637" s="318"/>
      <c r="H637" s="318"/>
      <c r="I637" s="318"/>
      <c r="J637" s="318"/>
      <c r="K637" s="318"/>
    </row>
    <row r="638">
      <c r="A638" s="318"/>
      <c r="B638" s="318"/>
      <c r="C638" s="318"/>
      <c r="D638" s="318"/>
      <c r="E638" s="318"/>
      <c r="F638" s="318"/>
      <c r="G638" s="318"/>
      <c r="H638" s="318"/>
      <c r="I638" s="318"/>
      <c r="J638" s="318"/>
      <c r="K638" s="318"/>
    </row>
    <row r="639">
      <c r="A639" s="318"/>
      <c r="B639" s="318"/>
      <c r="C639" s="318"/>
      <c r="D639" s="318"/>
      <c r="E639" s="318"/>
      <c r="F639" s="318"/>
      <c r="G639" s="318"/>
      <c r="H639" s="318"/>
      <c r="I639" s="318"/>
      <c r="J639" s="318"/>
      <c r="K639" s="318"/>
    </row>
    <row r="640">
      <c r="A640" s="318"/>
      <c r="B640" s="318"/>
      <c r="C640" s="318"/>
      <c r="D640" s="318"/>
      <c r="E640" s="318"/>
      <c r="F640" s="318"/>
      <c r="G640" s="318"/>
      <c r="H640" s="318"/>
      <c r="I640" s="318"/>
      <c r="J640" s="318"/>
      <c r="K640" s="318"/>
    </row>
    <row r="641">
      <c r="A641" s="318"/>
      <c r="B641" s="318"/>
      <c r="C641" s="318"/>
      <c r="D641" s="318"/>
      <c r="E641" s="318"/>
      <c r="F641" s="318"/>
      <c r="G641" s="318"/>
      <c r="H641" s="318"/>
      <c r="I641" s="318"/>
      <c r="J641" s="318"/>
      <c r="K641" s="318"/>
    </row>
    <row r="642">
      <c r="A642" s="318"/>
      <c r="B642" s="318"/>
      <c r="C642" s="318"/>
      <c r="D642" s="318"/>
      <c r="E642" s="318"/>
      <c r="F642" s="318"/>
      <c r="G642" s="318"/>
      <c r="H642" s="318"/>
      <c r="I642" s="318"/>
      <c r="J642" s="318"/>
      <c r="K642" s="318"/>
    </row>
    <row r="643">
      <c r="A643" s="318"/>
      <c r="B643" s="318"/>
      <c r="C643" s="318"/>
      <c r="D643" s="318"/>
      <c r="E643" s="318"/>
      <c r="F643" s="318"/>
      <c r="G643" s="318"/>
      <c r="H643" s="318"/>
      <c r="I643" s="318"/>
      <c r="J643" s="318"/>
      <c r="K643" s="318"/>
    </row>
    <row r="644">
      <c r="A644" s="318"/>
      <c r="B644" s="318"/>
      <c r="C644" s="318"/>
      <c r="D644" s="318"/>
      <c r="E644" s="318"/>
      <c r="F644" s="318"/>
      <c r="G644" s="318"/>
      <c r="H644" s="318"/>
      <c r="I644" s="318"/>
      <c r="J644" s="318"/>
      <c r="K644" s="318"/>
    </row>
    <row r="645">
      <c r="A645" s="318"/>
      <c r="B645" s="318"/>
      <c r="C645" s="318"/>
      <c r="D645" s="318"/>
      <c r="E645" s="318"/>
      <c r="F645" s="318"/>
      <c r="G645" s="318"/>
      <c r="H645" s="318"/>
      <c r="I645" s="318"/>
      <c r="J645" s="318"/>
      <c r="K645" s="318"/>
    </row>
    <row r="646">
      <c r="A646" s="318"/>
      <c r="B646" s="318"/>
      <c r="C646" s="318"/>
      <c r="D646" s="318"/>
      <c r="E646" s="318"/>
      <c r="F646" s="318"/>
      <c r="G646" s="318"/>
      <c r="H646" s="318"/>
      <c r="I646" s="318"/>
      <c r="J646" s="318"/>
      <c r="K646" s="318"/>
    </row>
    <row r="647">
      <c r="A647" s="318"/>
      <c r="B647" s="318"/>
      <c r="C647" s="318"/>
      <c r="D647" s="318"/>
      <c r="E647" s="318"/>
      <c r="F647" s="318"/>
      <c r="G647" s="318"/>
      <c r="H647" s="318"/>
      <c r="I647" s="318"/>
      <c r="J647" s="318"/>
      <c r="K647" s="318"/>
    </row>
    <row r="648">
      <c r="A648" s="318"/>
      <c r="B648" s="318"/>
      <c r="C648" s="318"/>
      <c r="D648" s="318"/>
      <c r="E648" s="318"/>
      <c r="F648" s="318"/>
      <c r="G648" s="318"/>
      <c r="H648" s="318"/>
      <c r="I648" s="318"/>
      <c r="J648" s="318"/>
      <c r="K648" s="318"/>
    </row>
    <row r="649">
      <c r="A649" s="318"/>
      <c r="B649" s="318"/>
      <c r="C649" s="318"/>
      <c r="D649" s="318"/>
      <c r="E649" s="318"/>
      <c r="F649" s="318"/>
      <c r="G649" s="318"/>
      <c r="H649" s="318"/>
      <c r="I649" s="318"/>
      <c r="J649" s="318"/>
      <c r="K649" s="318"/>
    </row>
    <row r="650">
      <c r="A650" s="318"/>
      <c r="B650" s="318"/>
      <c r="C650" s="318"/>
      <c r="D650" s="318"/>
      <c r="E650" s="318"/>
      <c r="F650" s="318"/>
      <c r="G650" s="318"/>
      <c r="H650" s="318"/>
      <c r="I650" s="318"/>
      <c r="J650" s="318"/>
      <c r="K650" s="318"/>
    </row>
    <row r="651">
      <c r="A651" s="318"/>
      <c r="B651" s="318"/>
      <c r="C651" s="318"/>
      <c r="D651" s="318"/>
      <c r="E651" s="318"/>
      <c r="F651" s="318"/>
      <c r="G651" s="318"/>
      <c r="H651" s="318"/>
      <c r="I651" s="318"/>
      <c r="J651" s="318"/>
      <c r="K651" s="318"/>
    </row>
    <row r="652">
      <c r="A652" s="318"/>
      <c r="B652" s="318"/>
      <c r="C652" s="318"/>
      <c r="D652" s="318"/>
      <c r="E652" s="318"/>
      <c r="F652" s="318"/>
      <c r="G652" s="318"/>
      <c r="H652" s="318"/>
      <c r="I652" s="318"/>
      <c r="J652" s="318"/>
      <c r="K652" s="318"/>
    </row>
    <row r="653">
      <c r="A653" s="318"/>
      <c r="B653" s="318"/>
      <c r="C653" s="318"/>
      <c r="D653" s="318"/>
      <c r="E653" s="318"/>
      <c r="F653" s="318"/>
      <c r="G653" s="318"/>
      <c r="H653" s="318"/>
      <c r="I653" s="318"/>
      <c r="J653" s="318"/>
      <c r="K653" s="318"/>
    </row>
    <row r="654">
      <c r="A654" s="318"/>
      <c r="B654" s="318"/>
      <c r="C654" s="318"/>
      <c r="D654" s="318"/>
      <c r="E654" s="318"/>
      <c r="F654" s="318"/>
      <c r="G654" s="318"/>
      <c r="H654" s="318"/>
      <c r="I654" s="318"/>
      <c r="J654" s="318"/>
      <c r="K654" s="318"/>
    </row>
    <row r="655">
      <c r="A655" s="318"/>
      <c r="B655" s="318"/>
      <c r="C655" s="318"/>
      <c r="D655" s="318"/>
      <c r="E655" s="318"/>
      <c r="F655" s="318"/>
      <c r="G655" s="318"/>
      <c r="H655" s="318"/>
      <c r="I655" s="318"/>
      <c r="J655" s="318"/>
      <c r="K655" s="318"/>
    </row>
    <row r="656">
      <c r="A656" s="318"/>
      <c r="B656" s="318"/>
      <c r="C656" s="318"/>
      <c r="D656" s="318"/>
      <c r="E656" s="318"/>
      <c r="F656" s="318"/>
      <c r="G656" s="318"/>
      <c r="H656" s="318"/>
      <c r="I656" s="318"/>
      <c r="J656" s="318"/>
      <c r="K656" s="318"/>
    </row>
    <row r="657">
      <c r="A657" s="318"/>
      <c r="B657" s="318"/>
      <c r="C657" s="318"/>
      <c r="D657" s="318"/>
      <c r="E657" s="318"/>
      <c r="F657" s="318"/>
      <c r="G657" s="318"/>
      <c r="H657" s="318"/>
      <c r="I657" s="318"/>
      <c r="J657" s="318"/>
      <c r="K657" s="318"/>
    </row>
    <row r="658">
      <c r="A658" s="318"/>
      <c r="B658" s="318"/>
      <c r="C658" s="318"/>
      <c r="D658" s="318"/>
      <c r="E658" s="318"/>
      <c r="F658" s="318"/>
      <c r="G658" s="318"/>
      <c r="H658" s="318"/>
      <c r="I658" s="318"/>
      <c r="J658" s="318"/>
      <c r="K658" s="318"/>
    </row>
    <row r="659">
      <c r="A659" s="318"/>
      <c r="B659" s="318"/>
      <c r="C659" s="318"/>
      <c r="D659" s="318"/>
      <c r="E659" s="318"/>
      <c r="F659" s="318"/>
      <c r="G659" s="318"/>
      <c r="H659" s="318"/>
      <c r="I659" s="318"/>
      <c r="J659" s="318"/>
      <c r="K659" s="318"/>
    </row>
    <row r="660">
      <c r="A660" s="318"/>
      <c r="B660" s="318"/>
      <c r="C660" s="318"/>
      <c r="D660" s="318"/>
      <c r="E660" s="318"/>
      <c r="F660" s="318"/>
      <c r="G660" s="318"/>
      <c r="H660" s="318"/>
      <c r="I660" s="318"/>
      <c r="J660" s="318"/>
      <c r="K660" s="318"/>
    </row>
    <row r="661">
      <c r="A661" s="318"/>
      <c r="B661" s="318"/>
      <c r="C661" s="318"/>
      <c r="D661" s="318"/>
      <c r="E661" s="318"/>
      <c r="F661" s="318"/>
      <c r="G661" s="318"/>
      <c r="H661" s="318"/>
      <c r="I661" s="318"/>
      <c r="J661" s="318"/>
      <c r="K661" s="318"/>
    </row>
    <row r="662">
      <c r="A662" s="318"/>
      <c r="B662" s="318"/>
      <c r="C662" s="318"/>
      <c r="D662" s="318"/>
      <c r="E662" s="318"/>
      <c r="F662" s="318"/>
      <c r="G662" s="318"/>
      <c r="H662" s="318"/>
      <c r="I662" s="318"/>
      <c r="J662" s="318"/>
      <c r="K662" s="318"/>
    </row>
    <row r="663">
      <c r="A663" s="318"/>
      <c r="B663" s="318"/>
      <c r="C663" s="318"/>
      <c r="D663" s="318"/>
      <c r="E663" s="318"/>
      <c r="F663" s="318"/>
      <c r="G663" s="318"/>
      <c r="H663" s="318"/>
      <c r="I663" s="318"/>
      <c r="J663" s="318"/>
      <c r="K663" s="318"/>
    </row>
    <row r="664">
      <c r="A664" s="318"/>
      <c r="B664" s="318"/>
      <c r="C664" s="318"/>
      <c r="D664" s="318"/>
      <c r="E664" s="318"/>
      <c r="F664" s="318"/>
      <c r="G664" s="318"/>
      <c r="H664" s="318"/>
      <c r="I664" s="318"/>
      <c r="J664" s="318"/>
      <c r="K664" s="318"/>
    </row>
    <row r="665">
      <c r="A665" s="318"/>
      <c r="B665" s="318"/>
      <c r="C665" s="318"/>
      <c r="D665" s="318"/>
      <c r="E665" s="318"/>
      <c r="F665" s="318"/>
      <c r="G665" s="318"/>
      <c r="H665" s="318"/>
      <c r="I665" s="318"/>
      <c r="J665" s="318"/>
      <c r="K665" s="318"/>
    </row>
    <row r="666">
      <c r="A666" s="318"/>
      <c r="B666" s="318"/>
      <c r="C666" s="318"/>
      <c r="D666" s="318"/>
      <c r="E666" s="318"/>
      <c r="F666" s="318"/>
      <c r="G666" s="318"/>
      <c r="H666" s="318"/>
      <c r="I666" s="318"/>
      <c r="J666" s="318"/>
      <c r="K666" s="318"/>
    </row>
    <row r="667">
      <c r="A667" s="318"/>
      <c r="B667" s="318"/>
      <c r="C667" s="318"/>
      <c r="D667" s="318"/>
      <c r="E667" s="318"/>
      <c r="F667" s="318"/>
      <c r="G667" s="318"/>
      <c r="H667" s="318"/>
      <c r="I667" s="318"/>
      <c r="J667" s="318"/>
      <c r="K667" s="318"/>
    </row>
    <row r="668">
      <c r="A668" s="318"/>
      <c r="B668" s="318"/>
      <c r="C668" s="318"/>
      <c r="D668" s="318"/>
      <c r="E668" s="318"/>
      <c r="F668" s="318"/>
      <c r="G668" s="318"/>
      <c r="H668" s="318"/>
      <c r="I668" s="318"/>
      <c r="J668" s="318"/>
      <c r="K668" s="318"/>
    </row>
    <row r="669">
      <c r="A669" s="318"/>
      <c r="B669" s="318"/>
      <c r="C669" s="318"/>
      <c r="D669" s="318"/>
      <c r="E669" s="318"/>
      <c r="F669" s="318"/>
      <c r="G669" s="318"/>
      <c r="H669" s="318"/>
      <c r="I669" s="318"/>
      <c r="J669" s="318"/>
      <c r="K669" s="318"/>
    </row>
    <row r="670">
      <c r="A670" s="318"/>
      <c r="B670" s="318"/>
      <c r="C670" s="318"/>
      <c r="D670" s="318"/>
      <c r="E670" s="318"/>
      <c r="F670" s="318"/>
      <c r="G670" s="318"/>
      <c r="H670" s="318"/>
      <c r="I670" s="318"/>
      <c r="J670" s="318"/>
      <c r="K670" s="318"/>
    </row>
    <row r="671">
      <c r="A671" s="318"/>
      <c r="B671" s="318"/>
      <c r="C671" s="318"/>
      <c r="D671" s="318"/>
      <c r="E671" s="318"/>
      <c r="F671" s="318"/>
      <c r="G671" s="318"/>
      <c r="H671" s="318"/>
      <c r="I671" s="318"/>
      <c r="J671" s="318"/>
      <c r="K671" s="318"/>
    </row>
    <row r="672">
      <c r="A672" s="318"/>
      <c r="B672" s="318"/>
      <c r="C672" s="318"/>
      <c r="D672" s="318"/>
      <c r="E672" s="318"/>
      <c r="F672" s="318"/>
      <c r="G672" s="318"/>
      <c r="H672" s="318"/>
      <c r="I672" s="318"/>
      <c r="J672" s="318"/>
      <c r="K672" s="318"/>
    </row>
    <row r="673">
      <c r="A673" s="318"/>
      <c r="B673" s="318"/>
      <c r="C673" s="318"/>
      <c r="D673" s="318"/>
      <c r="E673" s="318"/>
      <c r="F673" s="318"/>
      <c r="G673" s="318"/>
      <c r="H673" s="318"/>
      <c r="I673" s="318"/>
      <c r="J673" s="318"/>
      <c r="K673" s="318"/>
    </row>
    <row r="674">
      <c r="A674" s="318"/>
      <c r="B674" s="318"/>
      <c r="C674" s="318"/>
      <c r="D674" s="318"/>
      <c r="E674" s="318"/>
      <c r="F674" s="318"/>
      <c r="G674" s="318"/>
      <c r="H674" s="318"/>
      <c r="I674" s="318"/>
      <c r="J674" s="318"/>
      <c r="K674" s="318"/>
    </row>
    <row r="675">
      <c r="A675" s="318"/>
      <c r="B675" s="318"/>
      <c r="C675" s="318"/>
      <c r="D675" s="318"/>
      <c r="E675" s="318"/>
      <c r="F675" s="318"/>
      <c r="G675" s="318"/>
      <c r="H675" s="318"/>
      <c r="I675" s="318"/>
      <c r="J675" s="318"/>
      <c r="K675" s="318"/>
    </row>
    <row r="676">
      <c r="A676" s="318"/>
      <c r="B676" s="318"/>
      <c r="C676" s="318"/>
      <c r="D676" s="318"/>
      <c r="E676" s="318"/>
      <c r="F676" s="318"/>
      <c r="G676" s="318"/>
      <c r="H676" s="318"/>
      <c r="I676" s="318"/>
      <c r="J676" s="318"/>
      <c r="K676" s="318"/>
    </row>
    <row r="677">
      <c r="A677" s="318"/>
      <c r="B677" s="318"/>
      <c r="C677" s="318"/>
      <c r="D677" s="318"/>
      <c r="E677" s="318"/>
      <c r="F677" s="318"/>
      <c r="G677" s="318"/>
      <c r="H677" s="318"/>
      <c r="I677" s="318"/>
      <c r="J677" s="318"/>
      <c r="K677" s="318"/>
    </row>
    <row r="678">
      <c r="A678" s="318"/>
      <c r="B678" s="318"/>
      <c r="C678" s="318"/>
      <c r="D678" s="318"/>
      <c r="E678" s="318"/>
      <c r="F678" s="318"/>
      <c r="G678" s="318"/>
      <c r="H678" s="318"/>
      <c r="I678" s="318"/>
      <c r="J678" s="318"/>
      <c r="K678" s="318"/>
    </row>
    <row r="679">
      <c r="A679" s="318"/>
      <c r="B679" s="318"/>
      <c r="C679" s="318"/>
      <c r="D679" s="318"/>
      <c r="E679" s="318"/>
      <c r="F679" s="318"/>
      <c r="G679" s="318"/>
      <c r="H679" s="318"/>
      <c r="I679" s="318"/>
      <c r="J679" s="318"/>
      <c r="K679" s="318"/>
    </row>
    <row r="680">
      <c r="A680" s="318"/>
      <c r="B680" s="318"/>
      <c r="C680" s="318"/>
      <c r="D680" s="318"/>
      <c r="E680" s="318"/>
      <c r="F680" s="318"/>
      <c r="G680" s="318"/>
      <c r="H680" s="318"/>
      <c r="I680" s="318"/>
      <c r="J680" s="318"/>
      <c r="K680" s="318"/>
    </row>
    <row r="681">
      <c r="A681" s="318"/>
      <c r="B681" s="318"/>
      <c r="C681" s="318"/>
      <c r="D681" s="318"/>
      <c r="E681" s="318"/>
      <c r="F681" s="318"/>
      <c r="G681" s="318"/>
      <c r="H681" s="318"/>
      <c r="I681" s="318"/>
      <c r="J681" s="318"/>
      <c r="K681" s="318"/>
    </row>
    <row r="682">
      <c r="A682" s="318"/>
      <c r="B682" s="318"/>
      <c r="C682" s="318"/>
      <c r="D682" s="318"/>
      <c r="E682" s="318"/>
      <c r="F682" s="318"/>
      <c r="G682" s="318"/>
      <c r="H682" s="318"/>
      <c r="I682" s="318"/>
      <c r="J682" s="318"/>
      <c r="K682" s="318"/>
    </row>
    <row r="683">
      <c r="A683" s="318"/>
      <c r="B683" s="318"/>
      <c r="C683" s="318"/>
      <c r="D683" s="318"/>
      <c r="E683" s="318"/>
      <c r="F683" s="318"/>
      <c r="G683" s="318"/>
      <c r="H683" s="318"/>
      <c r="I683" s="318"/>
      <c r="J683" s="318"/>
      <c r="K683" s="318"/>
    </row>
    <row r="684">
      <c r="A684" s="318"/>
      <c r="B684" s="318"/>
      <c r="C684" s="318"/>
      <c r="D684" s="318"/>
      <c r="E684" s="318"/>
      <c r="F684" s="318"/>
      <c r="G684" s="318"/>
      <c r="H684" s="318"/>
      <c r="I684" s="318"/>
      <c r="J684" s="318"/>
      <c r="K684" s="318"/>
    </row>
    <row r="685">
      <c r="A685" s="318"/>
      <c r="B685" s="318"/>
      <c r="C685" s="318"/>
      <c r="D685" s="318"/>
      <c r="E685" s="318"/>
      <c r="F685" s="318"/>
      <c r="G685" s="318"/>
      <c r="H685" s="318"/>
      <c r="I685" s="318"/>
      <c r="J685" s="318"/>
      <c r="K685" s="318"/>
    </row>
    <row r="686">
      <c r="A686" s="318"/>
      <c r="B686" s="318"/>
      <c r="C686" s="318"/>
      <c r="D686" s="318"/>
      <c r="E686" s="318"/>
      <c r="F686" s="318"/>
      <c r="G686" s="318"/>
      <c r="H686" s="318"/>
      <c r="I686" s="318"/>
      <c r="J686" s="318"/>
      <c r="K686" s="318"/>
    </row>
    <row r="687">
      <c r="A687" s="318"/>
      <c r="B687" s="318"/>
      <c r="C687" s="318"/>
      <c r="D687" s="318"/>
      <c r="E687" s="318"/>
      <c r="F687" s="318"/>
      <c r="G687" s="318"/>
      <c r="H687" s="318"/>
      <c r="I687" s="318"/>
      <c r="J687" s="318"/>
      <c r="K687" s="318"/>
    </row>
    <row r="688">
      <c r="A688" s="318"/>
      <c r="B688" s="318"/>
      <c r="C688" s="318"/>
      <c r="D688" s="318"/>
      <c r="E688" s="318"/>
      <c r="F688" s="318"/>
      <c r="G688" s="318"/>
      <c r="H688" s="318"/>
      <c r="I688" s="318"/>
      <c r="J688" s="318"/>
      <c r="K688" s="318"/>
    </row>
    <row r="689">
      <c r="A689" s="318"/>
      <c r="B689" s="318"/>
      <c r="C689" s="318"/>
      <c r="D689" s="318"/>
      <c r="E689" s="318"/>
      <c r="F689" s="318"/>
      <c r="G689" s="318"/>
      <c r="H689" s="318"/>
      <c r="I689" s="318"/>
      <c r="J689" s="318"/>
      <c r="K689" s="318"/>
    </row>
    <row r="690">
      <c r="A690" s="318"/>
      <c r="B690" s="318"/>
      <c r="C690" s="318"/>
      <c r="D690" s="318"/>
      <c r="E690" s="318"/>
      <c r="F690" s="318"/>
      <c r="G690" s="318"/>
      <c r="H690" s="318"/>
      <c r="I690" s="318"/>
      <c r="J690" s="318"/>
      <c r="K690" s="318"/>
    </row>
    <row r="691">
      <c r="A691" s="318"/>
      <c r="B691" s="318"/>
      <c r="C691" s="318"/>
      <c r="D691" s="318"/>
      <c r="E691" s="318"/>
      <c r="F691" s="318"/>
      <c r="G691" s="318"/>
      <c r="H691" s="318"/>
      <c r="I691" s="318"/>
      <c r="J691" s="318"/>
      <c r="K691" s="318"/>
    </row>
    <row r="692">
      <c r="A692" s="318"/>
      <c r="B692" s="318"/>
      <c r="C692" s="318"/>
      <c r="D692" s="318"/>
      <c r="E692" s="318"/>
      <c r="F692" s="318"/>
      <c r="G692" s="318"/>
      <c r="H692" s="318"/>
      <c r="I692" s="318"/>
      <c r="J692" s="318"/>
      <c r="K692" s="318"/>
    </row>
    <row r="693">
      <c r="A693" s="318"/>
      <c r="B693" s="318"/>
      <c r="C693" s="318"/>
      <c r="D693" s="318"/>
      <c r="E693" s="318"/>
      <c r="F693" s="318"/>
      <c r="G693" s="318"/>
      <c r="H693" s="318"/>
      <c r="I693" s="318"/>
      <c r="J693" s="318"/>
      <c r="K693" s="318"/>
    </row>
    <row r="694">
      <c r="A694" s="318"/>
      <c r="B694" s="318"/>
      <c r="C694" s="318"/>
      <c r="D694" s="318"/>
      <c r="E694" s="318"/>
      <c r="F694" s="318"/>
      <c r="G694" s="318"/>
      <c r="H694" s="318"/>
      <c r="I694" s="318"/>
      <c r="J694" s="318"/>
      <c r="K694" s="318"/>
    </row>
    <row r="695">
      <c r="A695" s="318"/>
      <c r="B695" s="318"/>
      <c r="C695" s="318"/>
      <c r="D695" s="318"/>
      <c r="E695" s="318"/>
      <c r="F695" s="318"/>
      <c r="G695" s="318"/>
      <c r="H695" s="318"/>
      <c r="I695" s="318"/>
      <c r="J695" s="318"/>
      <c r="K695" s="318"/>
    </row>
    <row r="696">
      <c r="A696" s="318"/>
      <c r="B696" s="318"/>
      <c r="C696" s="318"/>
      <c r="D696" s="318"/>
      <c r="E696" s="318"/>
      <c r="F696" s="318"/>
      <c r="G696" s="318"/>
      <c r="H696" s="318"/>
      <c r="I696" s="318"/>
      <c r="J696" s="318"/>
      <c r="K696" s="318"/>
    </row>
    <row r="697">
      <c r="A697" s="318"/>
      <c r="B697" s="318"/>
      <c r="C697" s="318"/>
      <c r="D697" s="318"/>
      <c r="E697" s="318"/>
      <c r="F697" s="318"/>
      <c r="G697" s="318"/>
      <c r="H697" s="318"/>
      <c r="I697" s="318"/>
      <c r="J697" s="318"/>
      <c r="K697" s="318"/>
    </row>
    <row r="698">
      <c r="A698" s="318"/>
      <c r="B698" s="318"/>
      <c r="C698" s="318"/>
      <c r="D698" s="318"/>
      <c r="E698" s="318"/>
      <c r="F698" s="318"/>
      <c r="G698" s="318"/>
      <c r="H698" s="318"/>
      <c r="I698" s="318"/>
      <c r="J698" s="318"/>
      <c r="K698" s="318"/>
    </row>
    <row r="699">
      <c r="A699" s="318"/>
      <c r="B699" s="318"/>
      <c r="C699" s="318"/>
      <c r="D699" s="318"/>
      <c r="E699" s="318"/>
      <c r="F699" s="318"/>
      <c r="G699" s="318"/>
      <c r="H699" s="318"/>
      <c r="I699" s="318"/>
      <c r="J699" s="318"/>
      <c r="K699" s="318"/>
    </row>
    <row r="700">
      <c r="A700" s="318"/>
      <c r="B700" s="318"/>
      <c r="C700" s="318"/>
      <c r="D700" s="318"/>
      <c r="E700" s="318"/>
      <c r="F700" s="318"/>
      <c r="G700" s="318"/>
      <c r="H700" s="318"/>
      <c r="I700" s="318"/>
      <c r="J700" s="318"/>
      <c r="K700" s="318"/>
    </row>
    <row r="701">
      <c r="A701" s="318"/>
      <c r="B701" s="318"/>
      <c r="C701" s="318"/>
      <c r="D701" s="318"/>
      <c r="E701" s="318"/>
      <c r="F701" s="318"/>
      <c r="G701" s="318"/>
      <c r="H701" s="318"/>
      <c r="I701" s="318"/>
      <c r="J701" s="318"/>
      <c r="K701" s="318"/>
    </row>
    <row r="702">
      <c r="A702" s="318"/>
      <c r="B702" s="318"/>
      <c r="C702" s="318"/>
      <c r="D702" s="318"/>
      <c r="E702" s="318"/>
      <c r="F702" s="318"/>
      <c r="G702" s="318"/>
      <c r="H702" s="318"/>
      <c r="I702" s="318"/>
      <c r="J702" s="318"/>
      <c r="K702" s="318"/>
    </row>
    <row r="703">
      <c r="A703" s="318"/>
      <c r="B703" s="318"/>
      <c r="C703" s="318"/>
      <c r="D703" s="318"/>
      <c r="E703" s="318"/>
      <c r="F703" s="318"/>
      <c r="G703" s="318"/>
      <c r="H703" s="318"/>
      <c r="I703" s="318"/>
      <c r="J703" s="318"/>
      <c r="K703" s="318"/>
    </row>
    <row r="704">
      <c r="A704" s="318"/>
      <c r="B704" s="318"/>
      <c r="C704" s="318"/>
      <c r="D704" s="318"/>
      <c r="E704" s="318"/>
      <c r="F704" s="318"/>
      <c r="G704" s="318"/>
      <c r="H704" s="318"/>
      <c r="I704" s="318"/>
      <c r="J704" s="318"/>
      <c r="K704" s="318"/>
    </row>
    <row r="705">
      <c r="A705" s="318"/>
      <c r="B705" s="318"/>
      <c r="C705" s="318"/>
      <c r="D705" s="318"/>
      <c r="E705" s="318"/>
      <c r="F705" s="318"/>
      <c r="G705" s="318"/>
      <c r="H705" s="318"/>
      <c r="I705" s="318"/>
      <c r="J705" s="318"/>
      <c r="K705" s="318"/>
    </row>
    <row r="706">
      <c r="A706" s="318"/>
      <c r="B706" s="318"/>
      <c r="C706" s="318"/>
      <c r="D706" s="318"/>
      <c r="E706" s="318"/>
      <c r="F706" s="318"/>
      <c r="G706" s="318"/>
      <c r="H706" s="318"/>
      <c r="I706" s="318"/>
      <c r="J706" s="318"/>
      <c r="K706" s="318"/>
    </row>
    <row r="707">
      <c r="A707" s="318"/>
      <c r="B707" s="318"/>
      <c r="C707" s="318"/>
      <c r="D707" s="318"/>
      <c r="E707" s="318"/>
      <c r="F707" s="318"/>
      <c r="G707" s="318"/>
      <c r="H707" s="318"/>
      <c r="I707" s="318"/>
      <c r="J707" s="318"/>
      <c r="K707" s="318"/>
    </row>
    <row r="708">
      <c r="A708" s="318"/>
      <c r="B708" s="318"/>
      <c r="C708" s="318"/>
      <c r="D708" s="318"/>
      <c r="E708" s="318"/>
      <c r="F708" s="318"/>
      <c r="G708" s="318"/>
      <c r="H708" s="318"/>
      <c r="I708" s="318"/>
      <c r="J708" s="318"/>
      <c r="K708" s="318"/>
    </row>
    <row r="709">
      <c r="A709" s="318"/>
      <c r="B709" s="318"/>
      <c r="C709" s="318"/>
      <c r="D709" s="318"/>
      <c r="E709" s="318"/>
      <c r="F709" s="318"/>
      <c r="G709" s="318"/>
      <c r="H709" s="318"/>
      <c r="I709" s="318"/>
      <c r="J709" s="318"/>
      <c r="K709" s="318"/>
    </row>
    <row r="710">
      <c r="A710" s="318"/>
      <c r="B710" s="318"/>
      <c r="C710" s="318"/>
      <c r="D710" s="318"/>
      <c r="E710" s="318"/>
      <c r="F710" s="318"/>
      <c r="G710" s="318"/>
      <c r="H710" s="318"/>
      <c r="I710" s="318"/>
      <c r="J710" s="318"/>
      <c r="K710" s="318"/>
    </row>
    <row r="711">
      <c r="A711" s="318"/>
      <c r="B711" s="318"/>
      <c r="C711" s="318"/>
      <c r="D711" s="318"/>
      <c r="E711" s="318"/>
      <c r="F711" s="318"/>
      <c r="G711" s="318"/>
      <c r="H711" s="318"/>
      <c r="I711" s="318"/>
      <c r="J711" s="318"/>
      <c r="K711" s="318"/>
    </row>
    <row r="712">
      <c r="A712" s="318"/>
      <c r="B712" s="318"/>
      <c r="C712" s="318"/>
      <c r="D712" s="318"/>
      <c r="E712" s="318"/>
      <c r="F712" s="318"/>
      <c r="G712" s="318"/>
      <c r="H712" s="318"/>
      <c r="I712" s="318"/>
      <c r="J712" s="318"/>
      <c r="K712" s="318"/>
    </row>
    <row r="713">
      <c r="A713" s="318"/>
      <c r="B713" s="318"/>
      <c r="C713" s="318"/>
      <c r="D713" s="318"/>
      <c r="E713" s="318"/>
      <c r="F713" s="318"/>
      <c r="G713" s="318"/>
      <c r="H713" s="318"/>
      <c r="I713" s="318"/>
      <c r="J713" s="318"/>
      <c r="K713" s="318"/>
    </row>
    <row r="714">
      <c r="A714" s="318"/>
      <c r="B714" s="318"/>
      <c r="C714" s="318"/>
      <c r="D714" s="318"/>
      <c r="E714" s="318"/>
      <c r="F714" s="318"/>
      <c r="G714" s="318"/>
      <c r="H714" s="318"/>
      <c r="I714" s="318"/>
      <c r="J714" s="318"/>
      <c r="K714" s="318"/>
    </row>
    <row r="715">
      <c r="A715" s="318"/>
      <c r="B715" s="318"/>
      <c r="C715" s="318"/>
      <c r="D715" s="318"/>
      <c r="E715" s="318"/>
      <c r="F715" s="318"/>
      <c r="G715" s="318"/>
      <c r="H715" s="318"/>
      <c r="I715" s="318"/>
      <c r="J715" s="318"/>
      <c r="K715" s="318"/>
    </row>
    <row r="716">
      <c r="A716" s="318"/>
      <c r="B716" s="318"/>
      <c r="C716" s="318"/>
      <c r="D716" s="318"/>
      <c r="E716" s="318"/>
      <c r="F716" s="318"/>
      <c r="G716" s="318"/>
      <c r="H716" s="318"/>
      <c r="I716" s="318"/>
      <c r="J716" s="318"/>
      <c r="K716" s="318"/>
    </row>
    <row r="717">
      <c r="A717" s="318"/>
      <c r="B717" s="318"/>
      <c r="C717" s="318"/>
      <c r="D717" s="318"/>
      <c r="E717" s="318"/>
      <c r="F717" s="318"/>
      <c r="G717" s="318"/>
      <c r="H717" s="318"/>
      <c r="I717" s="318"/>
      <c r="J717" s="318"/>
      <c r="K717" s="318"/>
    </row>
    <row r="718">
      <c r="A718" s="318"/>
      <c r="B718" s="318"/>
      <c r="C718" s="318"/>
      <c r="D718" s="318"/>
      <c r="E718" s="318"/>
      <c r="F718" s="318"/>
      <c r="G718" s="318"/>
      <c r="H718" s="318"/>
      <c r="I718" s="318"/>
      <c r="J718" s="318"/>
      <c r="K718" s="318"/>
    </row>
    <row r="719">
      <c r="A719" s="318"/>
      <c r="B719" s="318"/>
      <c r="C719" s="318"/>
      <c r="D719" s="318"/>
      <c r="E719" s="318"/>
      <c r="F719" s="318"/>
      <c r="G719" s="318"/>
      <c r="H719" s="318"/>
      <c r="I719" s="318"/>
      <c r="J719" s="318"/>
      <c r="K719" s="318"/>
    </row>
    <row r="720">
      <c r="A720" s="318"/>
      <c r="B720" s="318"/>
      <c r="C720" s="318"/>
      <c r="D720" s="318"/>
      <c r="E720" s="318"/>
      <c r="F720" s="318"/>
      <c r="G720" s="318"/>
      <c r="H720" s="318"/>
      <c r="I720" s="318"/>
      <c r="J720" s="318"/>
      <c r="K720" s="318"/>
    </row>
    <row r="721">
      <c r="A721" s="318"/>
      <c r="B721" s="318"/>
      <c r="C721" s="318"/>
      <c r="D721" s="318"/>
      <c r="E721" s="318"/>
      <c r="F721" s="318"/>
      <c r="G721" s="318"/>
      <c r="H721" s="318"/>
      <c r="I721" s="318"/>
      <c r="J721" s="318"/>
      <c r="K721" s="318"/>
    </row>
    <row r="722">
      <c r="A722" s="318"/>
      <c r="B722" s="318"/>
      <c r="C722" s="318"/>
      <c r="D722" s="318"/>
      <c r="E722" s="318"/>
      <c r="F722" s="318"/>
      <c r="G722" s="318"/>
      <c r="H722" s="318"/>
      <c r="I722" s="318"/>
      <c r="J722" s="318"/>
      <c r="K722" s="318"/>
    </row>
    <row r="723">
      <c r="A723" s="318"/>
      <c r="B723" s="318"/>
      <c r="C723" s="318"/>
      <c r="D723" s="318"/>
      <c r="E723" s="318"/>
      <c r="F723" s="318"/>
      <c r="G723" s="318"/>
      <c r="H723" s="318"/>
      <c r="I723" s="318"/>
      <c r="J723" s="318"/>
      <c r="K723" s="318"/>
    </row>
    <row r="724">
      <c r="A724" s="318"/>
      <c r="B724" s="318"/>
      <c r="C724" s="318"/>
      <c r="D724" s="318"/>
      <c r="E724" s="318"/>
      <c r="F724" s="318"/>
      <c r="G724" s="318"/>
      <c r="H724" s="318"/>
      <c r="I724" s="318"/>
      <c r="J724" s="318"/>
      <c r="K724" s="318"/>
    </row>
    <row r="725">
      <c r="A725" s="318"/>
      <c r="B725" s="318"/>
      <c r="C725" s="318"/>
      <c r="D725" s="318"/>
      <c r="E725" s="318"/>
      <c r="F725" s="318"/>
      <c r="G725" s="318"/>
      <c r="H725" s="318"/>
      <c r="I725" s="318"/>
      <c r="J725" s="318"/>
      <c r="K725" s="318"/>
    </row>
    <row r="726">
      <c r="A726" s="318"/>
      <c r="B726" s="318"/>
      <c r="C726" s="318"/>
      <c r="D726" s="318"/>
      <c r="E726" s="318"/>
      <c r="F726" s="318"/>
      <c r="G726" s="318"/>
      <c r="H726" s="318"/>
      <c r="I726" s="318"/>
      <c r="J726" s="318"/>
      <c r="K726" s="318"/>
    </row>
    <row r="727">
      <c r="A727" s="318"/>
      <c r="B727" s="318"/>
      <c r="C727" s="318"/>
      <c r="D727" s="318"/>
      <c r="E727" s="318"/>
      <c r="F727" s="318"/>
      <c r="G727" s="318"/>
      <c r="H727" s="318"/>
      <c r="I727" s="318"/>
      <c r="J727" s="318"/>
      <c r="K727" s="318"/>
    </row>
    <row r="728">
      <c r="A728" s="318"/>
      <c r="B728" s="318"/>
      <c r="C728" s="318"/>
      <c r="D728" s="318"/>
      <c r="E728" s="318"/>
      <c r="F728" s="318"/>
      <c r="G728" s="318"/>
      <c r="H728" s="318"/>
      <c r="I728" s="318"/>
      <c r="J728" s="318"/>
      <c r="K728" s="318"/>
    </row>
    <row r="729">
      <c r="A729" s="318"/>
      <c r="B729" s="318"/>
      <c r="C729" s="318"/>
      <c r="D729" s="318"/>
      <c r="E729" s="318"/>
      <c r="F729" s="318"/>
      <c r="G729" s="318"/>
      <c r="H729" s="318"/>
      <c r="I729" s="318"/>
      <c r="J729" s="318"/>
      <c r="K729" s="318"/>
    </row>
    <row r="730">
      <c r="A730" s="318"/>
      <c r="B730" s="318"/>
      <c r="C730" s="318"/>
      <c r="D730" s="318"/>
      <c r="E730" s="318"/>
      <c r="F730" s="318"/>
      <c r="G730" s="318"/>
      <c r="H730" s="318"/>
      <c r="I730" s="318"/>
      <c r="J730" s="318"/>
      <c r="K730" s="318"/>
    </row>
    <row r="731">
      <c r="A731" s="318"/>
      <c r="B731" s="318"/>
      <c r="C731" s="318"/>
      <c r="D731" s="318"/>
      <c r="E731" s="318"/>
      <c r="F731" s="318"/>
      <c r="G731" s="318"/>
      <c r="H731" s="318"/>
      <c r="I731" s="318"/>
      <c r="J731" s="318"/>
      <c r="K731" s="318"/>
    </row>
    <row r="732">
      <c r="A732" s="318"/>
      <c r="B732" s="318"/>
      <c r="C732" s="318"/>
      <c r="D732" s="318"/>
      <c r="E732" s="318"/>
      <c r="F732" s="318"/>
      <c r="G732" s="318"/>
      <c r="H732" s="318"/>
      <c r="I732" s="318"/>
      <c r="J732" s="318"/>
      <c r="K732" s="318"/>
    </row>
    <row r="733">
      <c r="A733" s="318"/>
      <c r="B733" s="318"/>
      <c r="C733" s="318"/>
      <c r="D733" s="318"/>
      <c r="E733" s="318"/>
      <c r="F733" s="318"/>
      <c r="G733" s="318"/>
      <c r="H733" s="318"/>
      <c r="I733" s="318"/>
      <c r="J733" s="318"/>
      <c r="K733" s="318"/>
    </row>
    <row r="734">
      <c r="A734" s="318"/>
      <c r="B734" s="318"/>
      <c r="C734" s="318"/>
      <c r="D734" s="318"/>
      <c r="E734" s="318"/>
      <c r="F734" s="318"/>
      <c r="G734" s="318"/>
      <c r="H734" s="318"/>
      <c r="I734" s="318"/>
      <c r="J734" s="318"/>
      <c r="K734" s="318"/>
    </row>
    <row r="735">
      <c r="A735" s="318"/>
      <c r="B735" s="318"/>
      <c r="C735" s="318"/>
      <c r="D735" s="318"/>
      <c r="E735" s="318"/>
      <c r="F735" s="318"/>
      <c r="G735" s="318"/>
      <c r="H735" s="318"/>
      <c r="I735" s="318"/>
      <c r="J735" s="318"/>
      <c r="K735" s="318"/>
    </row>
    <row r="736">
      <c r="A736" s="318"/>
      <c r="B736" s="318"/>
      <c r="C736" s="318"/>
      <c r="D736" s="318"/>
      <c r="E736" s="318"/>
      <c r="F736" s="318"/>
      <c r="G736" s="318"/>
      <c r="H736" s="318"/>
      <c r="I736" s="318"/>
      <c r="J736" s="318"/>
      <c r="K736" s="318"/>
    </row>
    <row r="737">
      <c r="A737" s="318"/>
      <c r="B737" s="318"/>
      <c r="C737" s="318"/>
      <c r="D737" s="318"/>
      <c r="E737" s="318"/>
      <c r="F737" s="318"/>
      <c r="G737" s="318"/>
      <c r="H737" s="318"/>
      <c r="I737" s="318"/>
      <c r="J737" s="318"/>
      <c r="K737" s="318"/>
    </row>
    <row r="738">
      <c r="A738" s="318"/>
      <c r="B738" s="318"/>
      <c r="C738" s="318"/>
      <c r="D738" s="318"/>
      <c r="E738" s="318"/>
      <c r="F738" s="318"/>
      <c r="G738" s="318"/>
      <c r="H738" s="318"/>
      <c r="I738" s="318"/>
      <c r="J738" s="318"/>
      <c r="K738" s="318"/>
    </row>
    <row r="739">
      <c r="A739" s="318"/>
      <c r="B739" s="318"/>
      <c r="C739" s="318"/>
      <c r="D739" s="318"/>
      <c r="E739" s="318"/>
      <c r="F739" s="318"/>
      <c r="G739" s="318"/>
      <c r="H739" s="318"/>
      <c r="I739" s="318"/>
      <c r="J739" s="318"/>
      <c r="K739" s="318"/>
    </row>
    <row r="740">
      <c r="A740" s="318"/>
      <c r="B740" s="318"/>
      <c r="C740" s="318"/>
      <c r="D740" s="318"/>
      <c r="E740" s="318"/>
      <c r="F740" s="318"/>
      <c r="G740" s="318"/>
      <c r="H740" s="318"/>
      <c r="I740" s="318"/>
      <c r="J740" s="318"/>
      <c r="K740" s="318"/>
    </row>
    <row r="741">
      <c r="A741" s="318"/>
      <c r="B741" s="318"/>
      <c r="C741" s="318"/>
      <c r="D741" s="318"/>
      <c r="E741" s="318"/>
      <c r="F741" s="318"/>
      <c r="G741" s="318"/>
      <c r="H741" s="318"/>
      <c r="I741" s="318"/>
      <c r="J741" s="318"/>
      <c r="K741" s="318"/>
    </row>
    <row r="742">
      <c r="A742" s="318"/>
      <c r="B742" s="318"/>
      <c r="C742" s="318"/>
      <c r="D742" s="318"/>
      <c r="E742" s="318"/>
      <c r="F742" s="318"/>
      <c r="G742" s="318"/>
      <c r="H742" s="318"/>
      <c r="I742" s="318"/>
      <c r="J742" s="318"/>
      <c r="K742" s="318"/>
    </row>
    <row r="743">
      <c r="A743" s="318"/>
      <c r="B743" s="318"/>
      <c r="C743" s="318"/>
      <c r="D743" s="318"/>
      <c r="E743" s="318"/>
      <c r="F743" s="318"/>
      <c r="G743" s="318"/>
      <c r="H743" s="318"/>
      <c r="I743" s="318"/>
      <c r="J743" s="318"/>
      <c r="K743" s="318"/>
    </row>
    <row r="744">
      <c r="A744" s="318"/>
      <c r="B744" s="318"/>
      <c r="C744" s="318"/>
      <c r="D744" s="318"/>
      <c r="E744" s="318"/>
      <c r="F744" s="318"/>
      <c r="G744" s="318"/>
      <c r="H744" s="318"/>
      <c r="I744" s="318"/>
      <c r="J744" s="318"/>
      <c r="K744" s="318"/>
    </row>
    <row r="745">
      <c r="A745" s="318"/>
      <c r="B745" s="318"/>
      <c r="C745" s="318"/>
      <c r="D745" s="318"/>
      <c r="E745" s="318"/>
      <c r="F745" s="318"/>
      <c r="G745" s="318"/>
      <c r="H745" s="318"/>
      <c r="I745" s="318"/>
      <c r="J745" s="318"/>
      <c r="K745" s="318"/>
    </row>
    <row r="746">
      <c r="A746" s="318"/>
      <c r="B746" s="318"/>
      <c r="C746" s="318"/>
      <c r="D746" s="318"/>
      <c r="E746" s="318"/>
      <c r="F746" s="318"/>
      <c r="G746" s="318"/>
      <c r="H746" s="318"/>
      <c r="I746" s="318"/>
      <c r="J746" s="318"/>
      <c r="K746" s="318"/>
    </row>
    <row r="747">
      <c r="A747" s="318"/>
      <c r="B747" s="318"/>
      <c r="C747" s="318"/>
      <c r="D747" s="318"/>
      <c r="E747" s="318"/>
      <c r="F747" s="318"/>
      <c r="G747" s="318"/>
      <c r="H747" s="318"/>
      <c r="I747" s="318"/>
      <c r="J747" s="318"/>
      <c r="K747" s="318"/>
    </row>
    <row r="748">
      <c r="A748" s="318"/>
      <c r="B748" s="318"/>
      <c r="C748" s="318"/>
      <c r="D748" s="318"/>
      <c r="E748" s="318"/>
      <c r="F748" s="318"/>
      <c r="G748" s="318"/>
      <c r="H748" s="318"/>
      <c r="I748" s="318"/>
      <c r="J748" s="318"/>
      <c r="K748" s="318"/>
    </row>
    <row r="749">
      <c r="A749" s="318"/>
      <c r="B749" s="318"/>
      <c r="C749" s="318"/>
      <c r="D749" s="318"/>
      <c r="E749" s="318"/>
      <c r="F749" s="318"/>
      <c r="G749" s="318"/>
      <c r="H749" s="318"/>
      <c r="I749" s="318"/>
      <c r="J749" s="318"/>
      <c r="K749" s="318"/>
    </row>
    <row r="750">
      <c r="A750" s="318"/>
      <c r="B750" s="318"/>
      <c r="C750" s="318"/>
      <c r="D750" s="318"/>
      <c r="E750" s="318"/>
      <c r="F750" s="318"/>
      <c r="G750" s="318"/>
      <c r="H750" s="318"/>
      <c r="I750" s="318"/>
      <c r="J750" s="318"/>
      <c r="K750" s="318"/>
    </row>
    <row r="751">
      <c r="A751" s="318"/>
      <c r="B751" s="318"/>
      <c r="C751" s="318"/>
      <c r="D751" s="318"/>
      <c r="E751" s="318"/>
      <c r="F751" s="318"/>
      <c r="G751" s="318"/>
      <c r="H751" s="318"/>
      <c r="I751" s="318"/>
      <c r="J751" s="318"/>
      <c r="K751" s="318"/>
    </row>
    <row r="752">
      <c r="A752" s="318"/>
      <c r="B752" s="318"/>
      <c r="C752" s="318"/>
      <c r="D752" s="318"/>
      <c r="E752" s="318"/>
      <c r="F752" s="318"/>
      <c r="G752" s="318"/>
      <c r="H752" s="318"/>
      <c r="I752" s="318"/>
      <c r="J752" s="318"/>
      <c r="K752" s="318"/>
    </row>
    <row r="753">
      <c r="A753" s="318"/>
      <c r="B753" s="318"/>
      <c r="C753" s="318"/>
      <c r="D753" s="318"/>
      <c r="E753" s="318"/>
      <c r="F753" s="318"/>
      <c r="G753" s="318"/>
      <c r="H753" s="318"/>
      <c r="I753" s="318"/>
      <c r="J753" s="318"/>
      <c r="K753" s="318"/>
    </row>
    <row r="754">
      <c r="A754" s="318"/>
      <c r="B754" s="318"/>
      <c r="C754" s="318"/>
      <c r="D754" s="318"/>
      <c r="E754" s="318"/>
      <c r="F754" s="318"/>
      <c r="G754" s="318"/>
      <c r="H754" s="318"/>
      <c r="I754" s="318"/>
      <c r="J754" s="318"/>
      <c r="K754" s="318"/>
    </row>
    <row r="755">
      <c r="A755" s="318"/>
      <c r="B755" s="318"/>
      <c r="C755" s="318"/>
      <c r="D755" s="318"/>
      <c r="E755" s="318"/>
      <c r="F755" s="318"/>
      <c r="G755" s="318"/>
      <c r="H755" s="318"/>
      <c r="I755" s="318"/>
      <c r="J755" s="318"/>
      <c r="K755" s="318"/>
    </row>
    <row r="756">
      <c r="A756" s="318"/>
      <c r="B756" s="318"/>
      <c r="C756" s="318"/>
      <c r="D756" s="318"/>
      <c r="E756" s="318"/>
      <c r="F756" s="318"/>
      <c r="G756" s="318"/>
      <c r="H756" s="318"/>
      <c r="I756" s="318"/>
      <c r="J756" s="318"/>
      <c r="K756" s="318"/>
    </row>
    <row r="757">
      <c r="A757" s="318"/>
      <c r="B757" s="318"/>
      <c r="C757" s="318"/>
      <c r="D757" s="318"/>
      <c r="E757" s="318"/>
      <c r="F757" s="318"/>
      <c r="G757" s="318"/>
      <c r="H757" s="318"/>
      <c r="I757" s="318"/>
      <c r="J757" s="318"/>
      <c r="K757" s="318"/>
    </row>
    <row r="758">
      <c r="A758" s="318"/>
      <c r="B758" s="318"/>
      <c r="C758" s="318"/>
      <c r="D758" s="318"/>
      <c r="E758" s="318"/>
      <c r="F758" s="318"/>
      <c r="G758" s="318"/>
      <c r="H758" s="318"/>
      <c r="I758" s="318"/>
      <c r="J758" s="318"/>
      <c r="K758" s="318"/>
    </row>
    <row r="759">
      <c r="A759" s="318"/>
      <c r="B759" s="318"/>
      <c r="C759" s="318"/>
      <c r="D759" s="318"/>
      <c r="E759" s="318"/>
      <c r="F759" s="318"/>
      <c r="G759" s="318"/>
      <c r="H759" s="318"/>
      <c r="I759" s="318"/>
      <c r="J759" s="318"/>
      <c r="K759" s="318"/>
    </row>
    <row r="760">
      <c r="A760" s="318"/>
      <c r="B760" s="318"/>
      <c r="C760" s="318"/>
      <c r="D760" s="318"/>
      <c r="E760" s="318"/>
      <c r="F760" s="318"/>
      <c r="G760" s="318"/>
      <c r="H760" s="318"/>
      <c r="I760" s="318"/>
      <c r="J760" s="318"/>
      <c r="K760" s="318"/>
    </row>
    <row r="761">
      <c r="A761" s="318"/>
      <c r="B761" s="318"/>
      <c r="C761" s="318"/>
      <c r="D761" s="318"/>
      <c r="E761" s="318"/>
      <c r="F761" s="318"/>
      <c r="G761" s="318"/>
      <c r="H761" s="318"/>
      <c r="I761" s="318"/>
      <c r="J761" s="318"/>
      <c r="K761" s="318"/>
    </row>
    <row r="762">
      <c r="A762" s="318"/>
      <c r="B762" s="318"/>
      <c r="C762" s="318"/>
      <c r="D762" s="318"/>
      <c r="E762" s="318"/>
      <c r="F762" s="318"/>
      <c r="G762" s="318"/>
      <c r="H762" s="318"/>
      <c r="I762" s="318"/>
      <c r="J762" s="318"/>
      <c r="K762" s="318"/>
    </row>
    <row r="763">
      <c r="A763" s="318"/>
      <c r="B763" s="318"/>
      <c r="C763" s="318"/>
      <c r="D763" s="318"/>
      <c r="E763" s="318"/>
      <c r="F763" s="318"/>
      <c r="G763" s="318"/>
      <c r="H763" s="318"/>
      <c r="I763" s="318"/>
      <c r="J763" s="318"/>
      <c r="K763" s="318"/>
    </row>
    <row r="764">
      <c r="A764" s="318"/>
      <c r="B764" s="318"/>
      <c r="C764" s="318"/>
      <c r="D764" s="318"/>
      <c r="E764" s="318"/>
      <c r="F764" s="318"/>
      <c r="G764" s="318"/>
      <c r="H764" s="318"/>
      <c r="I764" s="318"/>
      <c r="J764" s="318"/>
      <c r="K764" s="318"/>
    </row>
    <row r="765">
      <c r="A765" s="318"/>
      <c r="B765" s="318"/>
      <c r="C765" s="318"/>
      <c r="D765" s="318"/>
      <c r="E765" s="318"/>
      <c r="F765" s="318"/>
      <c r="G765" s="318"/>
      <c r="H765" s="318"/>
      <c r="I765" s="318"/>
      <c r="J765" s="318"/>
      <c r="K765" s="318"/>
    </row>
    <row r="766">
      <c r="A766" s="318"/>
      <c r="B766" s="318"/>
      <c r="C766" s="318"/>
      <c r="D766" s="318"/>
      <c r="E766" s="318"/>
      <c r="F766" s="318"/>
      <c r="G766" s="318"/>
      <c r="H766" s="318"/>
      <c r="I766" s="318"/>
      <c r="J766" s="318"/>
      <c r="K766" s="318"/>
    </row>
    <row r="767">
      <c r="A767" s="318"/>
      <c r="B767" s="318"/>
      <c r="C767" s="318"/>
      <c r="D767" s="318"/>
      <c r="E767" s="318"/>
      <c r="F767" s="318"/>
      <c r="G767" s="318"/>
      <c r="H767" s="318"/>
      <c r="I767" s="318"/>
      <c r="J767" s="318"/>
      <c r="K767" s="318"/>
    </row>
    <row r="768">
      <c r="A768" s="318"/>
      <c r="B768" s="318"/>
      <c r="C768" s="318"/>
      <c r="D768" s="318"/>
      <c r="E768" s="318"/>
      <c r="F768" s="318"/>
      <c r="G768" s="318"/>
      <c r="H768" s="318"/>
      <c r="I768" s="318"/>
      <c r="J768" s="318"/>
      <c r="K768" s="318"/>
    </row>
    <row r="769">
      <c r="A769" s="318"/>
      <c r="B769" s="318"/>
      <c r="C769" s="318"/>
      <c r="D769" s="318"/>
      <c r="E769" s="318"/>
      <c r="F769" s="318"/>
      <c r="G769" s="318"/>
      <c r="H769" s="318"/>
      <c r="I769" s="318"/>
      <c r="J769" s="318"/>
      <c r="K769" s="318"/>
    </row>
    <row r="770">
      <c r="A770" s="318"/>
      <c r="B770" s="318"/>
      <c r="C770" s="318"/>
      <c r="D770" s="318"/>
      <c r="E770" s="318"/>
      <c r="F770" s="318"/>
      <c r="G770" s="318"/>
      <c r="H770" s="318"/>
      <c r="I770" s="318"/>
      <c r="J770" s="318"/>
      <c r="K770" s="318"/>
    </row>
    <row r="771">
      <c r="A771" s="318"/>
      <c r="B771" s="318"/>
      <c r="C771" s="318"/>
      <c r="D771" s="318"/>
      <c r="E771" s="318"/>
      <c r="F771" s="318"/>
      <c r="G771" s="318"/>
      <c r="H771" s="318"/>
      <c r="I771" s="318"/>
      <c r="J771" s="318"/>
      <c r="K771" s="318"/>
    </row>
    <row r="772">
      <c r="A772" s="318"/>
      <c r="B772" s="318"/>
      <c r="C772" s="318"/>
      <c r="D772" s="318"/>
      <c r="E772" s="318"/>
      <c r="F772" s="318"/>
      <c r="G772" s="318"/>
      <c r="H772" s="318"/>
      <c r="I772" s="318"/>
      <c r="J772" s="318"/>
      <c r="K772" s="318"/>
    </row>
    <row r="773">
      <c r="A773" s="318"/>
      <c r="B773" s="318"/>
      <c r="C773" s="318"/>
      <c r="D773" s="318"/>
      <c r="E773" s="318"/>
      <c r="F773" s="318"/>
      <c r="G773" s="318"/>
      <c r="H773" s="318"/>
      <c r="I773" s="318"/>
      <c r="J773" s="318"/>
      <c r="K773" s="318"/>
    </row>
    <row r="774">
      <c r="A774" s="318"/>
      <c r="B774" s="318"/>
      <c r="C774" s="318"/>
      <c r="D774" s="318"/>
      <c r="E774" s="318"/>
      <c r="F774" s="318"/>
      <c r="G774" s="318"/>
      <c r="H774" s="318"/>
      <c r="I774" s="318"/>
      <c r="J774" s="318"/>
      <c r="K774" s="318"/>
    </row>
    <row r="775">
      <c r="A775" s="318"/>
      <c r="B775" s="318"/>
      <c r="C775" s="318"/>
      <c r="D775" s="318"/>
      <c r="E775" s="318"/>
      <c r="F775" s="318"/>
      <c r="G775" s="318"/>
      <c r="H775" s="318"/>
      <c r="I775" s="318"/>
      <c r="J775" s="318"/>
      <c r="K775" s="318"/>
    </row>
    <row r="776">
      <c r="A776" s="318"/>
      <c r="B776" s="318"/>
      <c r="C776" s="318"/>
      <c r="D776" s="318"/>
      <c r="E776" s="318"/>
      <c r="F776" s="318"/>
      <c r="G776" s="318"/>
      <c r="H776" s="318"/>
      <c r="I776" s="318"/>
      <c r="J776" s="318"/>
      <c r="K776" s="318"/>
    </row>
    <row r="777">
      <c r="A777" s="318"/>
      <c r="B777" s="318"/>
      <c r="C777" s="318"/>
      <c r="D777" s="318"/>
      <c r="E777" s="318"/>
      <c r="F777" s="318"/>
      <c r="G777" s="318"/>
      <c r="H777" s="318"/>
      <c r="I777" s="318"/>
      <c r="J777" s="318"/>
      <c r="K777" s="318"/>
    </row>
    <row r="778">
      <c r="A778" s="318"/>
      <c r="B778" s="318"/>
      <c r="C778" s="318"/>
      <c r="D778" s="318"/>
      <c r="E778" s="318"/>
      <c r="F778" s="318"/>
      <c r="G778" s="318"/>
      <c r="H778" s="318"/>
      <c r="I778" s="318"/>
      <c r="J778" s="318"/>
      <c r="K778" s="318"/>
    </row>
    <row r="779">
      <c r="A779" s="318"/>
      <c r="B779" s="318"/>
      <c r="C779" s="318"/>
      <c r="D779" s="318"/>
      <c r="E779" s="318"/>
      <c r="F779" s="318"/>
      <c r="G779" s="318"/>
      <c r="H779" s="318"/>
      <c r="I779" s="318"/>
      <c r="J779" s="318"/>
      <c r="K779" s="318"/>
    </row>
    <row r="780">
      <c r="A780" s="318"/>
      <c r="B780" s="318"/>
      <c r="C780" s="318"/>
      <c r="D780" s="318"/>
      <c r="E780" s="318"/>
      <c r="F780" s="318"/>
      <c r="G780" s="318"/>
      <c r="H780" s="318"/>
      <c r="I780" s="318"/>
      <c r="J780" s="318"/>
      <c r="K780" s="318"/>
    </row>
    <row r="781">
      <c r="A781" s="318"/>
      <c r="B781" s="318"/>
      <c r="C781" s="318"/>
      <c r="D781" s="318"/>
      <c r="E781" s="318"/>
      <c r="F781" s="318"/>
      <c r="G781" s="318"/>
      <c r="H781" s="318"/>
      <c r="I781" s="318"/>
      <c r="J781" s="318"/>
      <c r="K781" s="318"/>
    </row>
    <row r="782">
      <c r="A782" s="318"/>
      <c r="B782" s="318"/>
      <c r="C782" s="318"/>
      <c r="D782" s="318"/>
      <c r="E782" s="318"/>
      <c r="F782" s="318"/>
      <c r="G782" s="318"/>
      <c r="H782" s="318"/>
      <c r="I782" s="318"/>
      <c r="J782" s="318"/>
      <c r="K782" s="318"/>
    </row>
    <row r="783">
      <c r="A783" s="318"/>
      <c r="B783" s="318"/>
      <c r="C783" s="318"/>
      <c r="D783" s="318"/>
      <c r="E783" s="318"/>
      <c r="F783" s="318"/>
      <c r="G783" s="318"/>
      <c r="H783" s="318"/>
      <c r="I783" s="318"/>
      <c r="J783" s="318"/>
      <c r="K783" s="318"/>
    </row>
    <row r="784">
      <c r="A784" s="318"/>
      <c r="B784" s="318"/>
      <c r="C784" s="318"/>
      <c r="D784" s="318"/>
      <c r="E784" s="318"/>
      <c r="F784" s="318"/>
      <c r="G784" s="318"/>
      <c r="H784" s="318"/>
      <c r="I784" s="318"/>
      <c r="J784" s="318"/>
      <c r="K784" s="318"/>
    </row>
    <row r="785">
      <c r="A785" s="318"/>
      <c r="B785" s="318"/>
      <c r="C785" s="318"/>
      <c r="D785" s="318"/>
      <c r="E785" s="318"/>
      <c r="F785" s="318"/>
      <c r="G785" s="318"/>
      <c r="H785" s="318"/>
      <c r="I785" s="318"/>
      <c r="J785" s="318"/>
      <c r="K785" s="318"/>
    </row>
    <row r="786">
      <c r="A786" s="318"/>
      <c r="B786" s="318"/>
      <c r="C786" s="318"/>
      <c r="D786" s="318"/>
      <c r="E786" s="318"/>
      <c r="F786" s="318"/>
      <c r="G786" s="318"/>
      <c r="H786" s="318"/>
      <c r="I786" s="318"/>
      <c r="J786" s="318"/>
      <c r="K786" s="318"/>
    </row>
    <row r="787">
      <c r="A787" s="318"/>
      <c r="B787" s="318"/>
      <c r="C787" s="318"/>
      <c r="D787" s="318"/>
      <c r="E787" s="318"/>
      <c r="F787" s="318"/>
      <c r="G787" s="318"/>
      <c r="H787" s="318"/>
      <c r="I787" s="318"/>
      <c r="J787" s="318"/>
      <c r="K787" s="318"/>
    </row>
    <row r="788">
      <c r="A788" s="318"/>
      <c r="B788" s="318"/>
      <c r="C788" s="318"/>
      <c r="D788" s="318"/>
      <c r="E788" s="318"/>
      <c r="F788" s="318"/>
      <c r="G788" s="318"/>
      <c r="H788" s="318"/>
      <c r="I788" s="318"/>
      <c r="J788" s="318"/>
      <c r="K788" s="318"/>
    </row>
    <row r="789">
      <c r="A789" s="318"/>
      <c r="B789" s="318"/>
      <c r="C789" s="318"/>
      <c r="D789" s="318"/>
      <c r="E789" s="318"/>
      <c r="F789" s="318"/>
      <c r="G789" s="318"/>
      <c r="H789" s="318"/>
      <c r="I789" s="318"/>
      <c r="J789" s="318"/>
      <c r="K789" s="318"/>
    </row>
    <row r="790">
      <c r="A790" s="318"/>
      <c r="B790" s="318"/>
      <c r="C790" s="318"/>
      <c r="D790" s="318"/>
      <c r="E790" s="318"/>
      <c r="F790" s="318"/>
      <c r="G790" s="318"/>
      <c r="H790" s="318"/>
      <c r="I790" s="318"/>
      <c r="J790" s="318"/>
      <c r="K790" s="318"/>
    </row>
    <row r="791">
      <c r="A791" s="318"/>
      <c r="B791" s="318"/>
      <c r="C791" s="318"/>
      <c r="D791" s="318"/>
      <c r="E791" s="318"/>
      <c r="F791" s="318"/>
      <c r="G791" s="318"/>
      <c r="H791" s="318"/>
      <c r="I791" s="318"/>
      <c r="J791" s="318"/>
      <c r="K791" s="318"/>
    </row>
    <row r="792">
      <c r="A792" s="318"/>
      <c r="B792" s="318"/>
      <c r="C792" s="318"/>
      <c r="D792" s="318"/>
      <c r="E792" s="318"/>
      <c r="F792" s="318"/>
      <c r="G792" s="318"/>
      <c r="H792" s="318"/>
      <c r="I792" s="318"/>
      <c r="J792" s="318"/>
      <c r="K792" s="318"/>
    </row>
    <row r="793">
      <c r="A793" s="318"/>
      <c r="B793" s="318"/>
      <c r="C793" s="318"/>
      <c r="D793" s="318"/>
      <c r="E793" s="318"/>
      <c r="F793" s="318"/>
      <c r="G793" s="318"/>
      <c r="H793" s="318"/>
      <c r="I793" s="318"/>
      <c r="J793" s="318"/>
      <c r="K793" s="318"/>
    </row>
    <row r="794">
      <c r="A794" s="318"/>
      <c r="B794" s="318"/>
      <c r="C794" s="318"/>
      <c r="D794" s="318"/>
      <c r="E794" s="318"/>
      <c r="F794" s="318"/>
      <c r="G794" s="318"/>
      <c r="H794" s="318"/>
      <c r="I794" s="318"/>
      <c r="J794" s="318"/>
      <c r="K794" s="318"/>
    </row>
    <row r="795">
      <c r="A795" s="318"/>
      <c r="B795" s="318"/>
      <c r="C795" s="318"/>
      <c r="D795" s="318"/>
      <c r="E795" s="318"/>
      <c r="F795" s="318"/>
      <c r="G795" s="318"/>
      <c r="H795" s="318"/>
      <c r="I795" s="318"/>
      <c r="J795" s="318"/>
      <c r="K795" s="318"/>
    </row>
    <row r="796">
      <c r="A796" s="318"/>
      <c r="B796" s="318"/>
      <c r="C796" s="318"/>
      <c r="D796" s="318"/>
      <c r="E796" s="318"/>
      <c r="F796" s="318"/>
      <c r="G796" s="318"/>
      <c r="H796" s="318"/>
      <c r="I796" s="318"/>
      <c r="J796" s="318"/>
      <c r="K796" s="318"/>
    </row>
    <row r="797">
      <c r="A797" s="318"/>
      <c r="B797" s="318"/>
      <c r="C797" s="318"/>
      <c r="D797" s="318"/>
      <c r="E797" s="318"/>
      <c r="F797" s="318"/>
      <c r="G797" s="318"/>
      <c r="H797" s="318"/>
      <c r="I797" s="318"/>
      <c r="J797" s="318"/>
      <c r="K797" s="318"/>
    </row>
    <row r="798">
      <c r="A798" s="318"/>
      <c r="B798" s="318"/>
      <c r="C798" s="318"/>
      <c r="D798" s="318"/>
      <c r="E798" s="318"/>
      <c r="F798" s="318"/>
      <c r="G798" s="318"/>
      <c r="H798" s="318"/>
      <c r="I798" s="318"/>
      <c r="J798" s="318"/>
      <c r="K798" s="318"/>
    </row>
    <row r="799">
      <c r="A799" s="318"/>
      <c r="B799" s="318"/>
      <c r="C799" s="318"/>
      <c r="D799" s="318"/>
      <c r="E799" s="318"/>
      <c r="F799" s="318"/>
      <c r="G799" s="318"/>
      <c r="H799" s="318"/>
      <c r="I799" s="318"/>
      <c r="J799" s="318"/>
      <c r="K799" s="318"/>
    </row>
    <row r="800">
      <c r="A800" s="318"/>
      <c r="B800" s="318"/>
      <c r="C800" s="318"/>
      <c r="D800" s="318"/>
      <c r="E800" s="318"/>
      <c r="F800" s="318"/>
      <c r="G800" s="318"/>
      <c r="H800" s="318"/>
      <c r="I800" s="318"/>
      <c r="J800" s="318"/>
      <c r="K800" s="318"/>
    </row>
    <row r="801">
      <c r="A801" s="318"/>
      <c r="B801" s="318"/>
      <c r="C801" s="318"/>
      <c r="D801" s="318"/>
      <c r="E801" s="318"/>
      <c r="F801" s="318"/>
      <c r="G801" s="318"/>
      <c r="H801" s="318"/>
      <c r="I801" s="318"/>
      <c r="J801" s="318"/>
      <c r="K801" s="318"/>
    </row>
    <row r="802">
      <c r="A802" s="318"/>
      <c r="B802" s="318"/>
      <c r="C802" s="318"/>
      <c r="D802" s="318"/>
      <c r="E802" s="318"/>
      <c r="F802" s="318"/>
      <c r="G802" s="318"/>
      <c r="H802" s="318"/>
      <c r="I802" s="318"/>
      <c r="J802" s="318"/>
      <c r="K802" s="318"/>
    </row>
    <row r="803">
      <c r="A803" s="318"/>
      <c r="B803" s="318"/>
      <c r="C803" s="318"/>
      <c r="D803" s="318"/>
      <c r="E803" s="318"/>
      <c r="F803" s="318"/>
      <c r="G803" s="318"/>
      <c r="H803" s="318"/>
      <c r="I803" s="318"/>
      <c r="J803" s="318"/>
      <c r="K803" s="318"/>
    </row>
    <row r="804">
      <c r="A804" s="318"/>
      <c r="B804" s="318"/>
      <c r="C804" s="318"/>
      <c r="D804" s="318"/>
      <c r="E804" s="318"/>
      <c r="F804" s="318"/>
      <c r="G804" s="318"/>
      <c r="H804" s="318"/>
      <c r="I804" s="318"/>
      <c r="J804" s="318"/>
      <c r="K804" s="318"/>
    </row>
    <row r="805">
      <c r="A805" s="318"/>
      <c r="B805" s="318"/>
      <c r="C805" s="318"/>
      <c r="D805" s="318"/>
      <c r="E805" s="318"/>
      <c r="F805" s="318"/>
      <c r="G805" s="318"/>
      <c r="H805" s="318"/>
      <c r="I805" s="318"/>
      <c r="J805" s="318"/>
      <c r="K805" s="318"/>
    </row>
    <row r="806">
      <c r="A806" s="318"/>
      <c r="B806" s="318"/>
      <c r="C806" s="318"/>
      <c r="D806" s="318"/>
      <c r="E806" s="318"/>
      <c r="F806" s="318"/>
      <c r="G806" s="318"/>
      <c r="H806" s="318"/>
      <c r="I806" s="318"/>
      <c r="J806" s="318"/>
      <c r="K806" s="318"/>
    </row>
    <row r="807">
      <c r="A807" s="318"/>
      <c r="B807" s="318"/>
      <c r="C807" s="318"/>
      <c r="D807" s="318"/>
      <c r="E807" s="318"/>
      <c r="F807" s="318"/>
      <c r="G807" s="318"/>
      <c r="H807" s="318"/>
      <c r="I807" s="318"/>
      <c r="J807" s="318"/>
      <c r="K807" s="318"/>
    </row>
    <row r="808">
      <c r="A808" s="318"/>
      <c r="B808" s="318"/>
      <c r="C808" s="318"/>
      <c r="D808" s="318"/>
      <c r="E808" s="318"/>
      <c r="F808" s="318"/>
      <c r="G808" s="318"/>
      <c r="H808" s="318"/>
      <c r="I808" s="318"/>
      <c r="J808" s="318"/>
      <c r="K808" s="318"/>
    </row>
    <row r="809">
      <c r="A809" s="318"/>
      <c r="B809" s="318"/>
      <c r="C809" s="318"/>
      <c r="D809" s="318"/>
      <c r="E809" s="318"/>
      <c r="F809" s="318"/>
      <c r="G809" s="318"/>
      <c r="H809" s="318"/>
      <c r="I809" s="318"/>
      <c r="J809" s="318"/>
      <c r="K809" s="318"/>
    </row>
    <row r="810">
      <c r="A810" s="318"/>
      <c r="B810" s="318"/>
      <c r="C810" s="318"/>
      <c r="D810" s="318"/>
      <c r="E810" s="318"/>
      <c r="F810" s="318"/>
      <c r="G810" s="318"/>
      <c r="H810" s="318"/>
      <c r="I810" s="318"/>
      <c r="J810" s="318"/>
      <c r="K810" s="318"/>
    </row>
    <row r="811">
      <c r="A811" s="318"/>
      <c r="B811" s="318"/>
      <c r="C811" s="318"/>
      <c r="D811" s="318"/>
      <c r="E811" s="318"/>
      <c r="F811" s="318"/>
      <c r="G811" s="318"/>
      <c r="H811" s="318"/>
      <c r="I811" s="318"/>
      <c r="J811" s="318"/>
      <c r="K811" s="318"/>
    </row>
    <row r="812">
      <c r="A812" s="318"/>
      <c r="B812" s="318"/>
      <c r="C812" s="318"/>
      <c r="D812" s="318"/>
      <c r="E812" s="318"/>
      <c r="F812" s="318"/>
      <c r="G812" s="318"/>
      <c r="H812" s="318"/>
      <c r="I812" s="318"/>
      <c r="J812" s="318"/>
      <c r="K812" s="318"/>
    </row>
    <row r="813">
      <c r="A813" s="318"/>
      <c r="B813" s="318"/>
      <c r="C813" s="318"/>
      <c r="D813" s="318"/>
      <c r="E813" s="318"/>
      <c r="F813" s="318"/>
      <c r="G813" s="318"/>
      <c r="H813" s="318"/>
      <c r="I813" s="318"/>
      <c r="J813" s="318"/>
      <c r="K813" s="318"/>
    </row>
    <row r="814">
      <c r="A814" s="318"/>
      <c r="B814" s="318"/>
      <c r="C814" s="318"/>
      <c r="D814" s="318"/>
      <c r="E814" s="318"/>
      <c r="F814" s="318"/>
      <c r="G814" s="318"/>
      <c r="H814" s="318"/>
      <c r="I814" s="318"/>
      <c r="J814" s="318"/>
      <c r="K814" s="318"/>
    </row>
    <row r="815">
      <c r="A815" s="318"/>
      <c r="B815" s="318"/>
      <c r="C815" s="318"/>
      <c r="D815" s="318"/>
      <c r="E815" s="318"/>
      <c r="F815" s="318"/>
      <c r="G815" s="318"/>
      <c r="H815" s="318"/>
      <c r="I815" s="318"/>
      <c r="J815" s="318"/>
      <c r="K815" s="318"/>
    </row>
    <row r="816">
      <c r="A816" s="318"/>
      <c r="B816" s="318"/>
      <c r="C816" s="318"/>
      <c r="D816" s="318"/>
      <c r="E816" s="318"/>
      <c r="F816" s="318"/>
      <c r="G816" s="318"/>
      <c r="H816" s="318"/>
      <c r="I816" s="318"/>
      <c r="J816" s="318"/>
      <c r="K816" s="318"/>
    </row>
    <row r="817">
      <c r="A817" s="318"/>
      <c r="B817" s="318"/>
      <c r="C817" s="318"/>
      <c r="D817" s="318"/>
      <c r="E817" s="318"/>
      <c r="F817" s="318"/>
      <c r="G817" s="318"/>
      <c r="H817" s="318"/>
      <c r="I817" s="318"/>
      <c r="J817" s="318"/>
      <c r="K817" s="318"/>
    </row>
    <row r="818">
      <c r="A818" s="318"/>
      <c r="B818" s="318"/>
      <c r="C818" s="318"/>
      <c r="D818" s="318"/>
      <c r="E818" s="318"/>
      <c r="F818" s="318"/>
      <c r="G818" s="318"/>
      <c r="H818" s="318"/>
      <c r="I818" s="318"/>
      <c r="J818" s="318"/>
      <c r="K818" s="318"/>
    </row>
    <row r="819">
      <c r="A819" s="318"/>
      <c r="B819" s="318"/>
      <c r="C819" s="318"/>
      <c r="D819" s="318"/>
      <c r="E819" s="318"/>
      <c r="F819" s="318"/>
      <c r="G819" s="318"/>
      <c r="H819" s="318"/>
      <c r="I819" s="318"/>
      <c r="J819" s="318"/>
      <c r="K819" s="318"/>
    </row>
    <row r="820">
      <c r="A820" s="318"/>
      <c r="B820" s="318"/>
      <c r="C820" s="318"/>
      <c r="D820" s="318"/>
      <c r="E820" s="318"/>
      <c r="F820" s="318"/>
      <c r="G820" s="318"/>
      <c r="H820" s="318"/>
      <c r="I820" s="318"/>
      <c r="J820" s="318"/>
      <c r="K820" s="318"/>
    </row>
    <row r="821">
      <c r="A821" s="318"/>
      <c r="B821" s="318"/>
      <c r="C821" s="318"/>
      <c r="D821" s="318"/>
      <c r="E821" s="318"/>
      <c r="F821" s="318"/>
      <c r="G821" s="318"/>
      <c r="H821" s="318"/>
      <c r="I821" s="318"/>
      <c r="J821" s="318"/>
      <c r="K821" s="318"/>
    </row>
    <row r="822">
      <c r="A822" s="318"/>
      <c r="B822" s="318"/>
      <c r="C822" s="318"/>
      <c r="D822" s="318"/>
      <c r="E822" s="318"/>
      <c r="F822" s="318"/>
      <c r="G822" s="318"/>
      <c r="H822" s="318"/>
      <c r="I822" s="318"/>
      <c r="J822" s="318"/>
      <c r="K822" s="318"/>
    </row>
    <row r="823">
      <c r="A823" s="318"/>
      <c r="B823" s="318"/>
      <c r="C823" s="318"/>
      <c r="D823" s="318"/>
      <c r="E823" s="318"/>
      <c r="F823" s="318"/>
      <c r="G823" s="318"/>
      <c r="H823" s="318"/>
      <c r="I823" s="318"/>
      <c r="J823" s="318"/>
      <c r="K823" s="318"/>
    </row>
    <row r="824">
      <c r="A824" s="318"/>
      <c r="B824" s="318"/>
      <c r="C824" s="318"/>
      <c r="D824" s="318"/>
      <c r="E824" s="318"/>
      <c r="F824" s="318"/>
      <c r="G824" s="318"/>
      <c r="H824" s="318"/>
      <c r="I824" s="318"/>
      <c r="J824" s="318"/>
      <c r="K824" s="318"/>
    </row>
    <row r="825">
      <c r="A825" s="318"/>
      <c r="B825" s="318"/>
      <c r="C825" s="318"/>
      <c r="D825" s="318"/>
      <c r="E825" s="318"/>
      <c r="F825" s="318"/>
      <c r="G825" s="318"/>
      <c r="H825" s="318"/>
      <c r="I825" s="318"/>
      <c r="J825" s="318"/>
      <c r="K825" s="318"/>
    </row>
    <row r="826">
      <c r="A826" s="318"/>
      <c r="B826" s="318"/>
      <c r="C826" s="318"/>
      <c r="D826" s="318"/>
      <c r="E826" s="318"/>
      <c r="F826" s="318"/>
      <c r="G826" s="318"/>
      <c r="H826" s="318"/>
      <c r="I826" s="318"/>
      <c r="J826" s="318"/>
      <c r="K826" s="318"/>
    </row>
    <row r="827">
      <c r="A827" s="318"/>
      <c r="B827" s="318"/>
      <c r="C827" s="318"/>
      <c r="D827" s="318"/>
      <c r="E827" s="318"/>
      <c r="F827" s="318"/>
      <c r="G827" s="318"/>
      <c r="H827" s="318"/>
      <c r="I827" s="318"/>
      <c r="J827" s="318"/>
      <c r="K827" s="318"/>
    </row>
    <row r="828">
      <c r="A828" s="318"/>
      <c r="B828" s="318"/>
      <c r="C828" s="318"/>
      <c r="D828" s="318"/>
      <c r="E828" s="318"/>
      <c r="F828" s="318"/>
      <c r="G828" s="318"/>
      <c r="H828" s="318"/>
      <c r="I828" s="318"/>
      <c r="J828" s="318"/>
      <c r="K828" s="318"/>
    </row>
    <row r="829">
      <c r="A829" s="318"/>
      <c r="B829" s="318"/>
      <c r="C829" s="318"/>
      <c r="D829" s="318"/>
      <c r="E829" s="318"/>
      <c r="F829" s="318"/>
      <c r="G829" s="318"/>
      <c r="H829" s="318"/>
      <c r="I829" s="318"/>
      <c r="J829" s="318"/>
      <c r="K829" s="318"/>
    </row>
    <row r="830">
      <c r="A830" s="318"/>
      <c r="B830" s="318"/>
      <c r="C830" s="318"/>
      <c r="D830" s="318"/>
      <c r="E830" s="318"/>
      <c r="F830" s="318"/>
      <c r="G830" s="318"/>
      <c r="H830" s="318"/>
      <c r="I830" s="318"/>
      <c r="J830" s="318"/>
      <c r="K830" s="318"/>
    </row>
    <row r="831">
      <c r="A831" s="318"/>
      <c r="B831" s="318"/>
      <c r="C831" s="318"/>
      <c r="D831" s="318"/>
      <c r="E831" s="318"/>
      <c r="F831" s="318"/>
      <c r="G831" s="318"/>
      <c r="H831" s="318"/>
      <c r="I831" s="318"/>
      <c r="J831" s="318"/>
      <c r="K831" s="318"/>
    </row>
    <row r="832">
      <c r="A832" s="318"/>
      <c r="B832" s="318"/>
      <c r="C832" s="318"/>
      <c r="D832" s="318"/>
      <c r="E832" s="318"/>
      <c r="F832" s="318"/>
      <c r="G832" s="318"/>
      <c r="H832" s="318"/>
      <c r="I832" s="318"/>
      <c r="J832" s="318"/>
      <c r="K832" s="318"/>
    </row>
    <row r="833">
      <c r="A833" s="318"/>
      <c r="B833" s="318"/>
      <c r="C833" s="318"/>
      <c r="D833" s="318"/>
      <c r="E833" s="318"/>
      <c r="F833" s="318"/>
      <c r="G833" s="318"/>
      <c r="H833" s="318"/>
      <c r="I833" s="318"/>
      <c r="J833" s="318"/>
      <c r="K833" s="318"/>
    </row>
    <row r="834">
      <c r="A834" s="318"/>
      <c r="B834" s="318"/>
      <c r="C834" s="318"/>
      <c r="D834" s="318"/>
      <c r="E834" s="318"/>
      <c r="F834" s="318"/>
      <c r="G834" s="318"/>
      <c r="H834" s="318"/>
      <c r="I834" s="318"/>
      <c r="J834" s="318"/>
      <c r="K834" s="318"/>
    </row>
    <row r="835">
      <c r="A835" s="318"/>
      <c r="B835" s="318"/>
      <c r="C835" s="318"/>
      <c r="D835" s="318"/>
      <c r="E835" s="318"/>
      <c r="F835" s="318"/>
      <c r="G835" s="318"/>
      <c r="H835" s="318"/>
      <c r="I835" s="318"/>
      <c r="J835" s="318"/>
      <c r="K835" s="318"/>
    </row>
    <row r="836">
      <c r="A836" s="318"/>
      <c r="B836" s="318"/>
      <c r="C836" s="318"/>
      <c r="D836" s="318"/>
      <c r="E836" s="318"/>
      <c r="F836" s="318"/>
      <c r="G836" s="318"/>
      <c r="H836" s="318"/>
      <c r="I836" s="318"/>
      <c r="J836" s="318"/>
      <c r="K836" s="318"/>
    </row>
    <row r="837">
      <c r="A837" s="318"/>
      <c r="B837" s="318"/>
      <c r="C837" s="318"/>
      <c r="D837" s="318"/>
      <c r="E837" s="318"/>
      <c r="F837" s="318"/>
      <c r="G837" s="318"/>
      <c r="H837" s="318"/>
      <c r="I837" s="318"/>
      <c r="J837" s="318"/>
      <c r="K837" s="318"/>
    </row>
    <row r="838">
      <c r="A838" s="318"/>
      <c r="B838" s="318"/>
      <c r="C838" s="318"/>
      <c r="D838" s="318"/>
      <c r="E838" s="318"/>
      <c r="F838" s="318"/>
      <c r="G838" s="318"/>
      <c r="H838" s="318"/>
      <c r="I838" s="318"/>
      <c r="J838" s="318"/>
      <c r="K838" s="318"/>
    </row>
    <row r="839">
      <c r="A839" s="318"/>
      <c r="B839" s="318"/>
      <c r="C839" s="318"/>
      <c r="D839" s="318"/>
      <c r="E839" s="318"/>
      <c r="F839" s="318"/>
      <c r="G839" s="318"/>
      <c r="H839" s="318"/>
      <c r="I839" s="318"/>
      <c r="J839" s="318"/>
      <c r="K839" s="318"/>
    </row>
    <row r="840">
      <c r="A840" s="318"/>
      <c r="B840" s="318"/>
      <c r="C840" s="318"/>
      <c r="D840" s="318"/>
      <c r="E840" s="318"/>
      <c r="F840" s="318"/>
      <c r="G840" s="318"/>
      <c r="H840" s="318"/>
      <c r="I840" s="318"/>
      <c r="J840" s="318"/>
      <c r="K840" s="318"/>
    </row>
    <row r="841">
      <c r="A841" s="318"/>
      <c r="B841" s="318"/>
      <c r="C841" s="318"/>
      <c r="D841" s="318"/>
      <c r="E841" s="318"/>
      <c r="F841" s="318"/>
      <c r="G841" s="318"/>
      <c r="H841" s="318"/>
      <c r="I841" s="318"/>
      <c r="J841" s="318"/>
      <c r="K841" s="318"/>
    </row>
    <row r="842">
      <c r="A842" s="318"/>
      <c r="B842" s="318"/>
      <c r="C842" s="318"/>
      <c r="D842" s="318"/>
      <c r="E842" s="318"/>
      <c r="F842" s="318"/>
      <c r="G842" s="318"/>
      <c r="H842" s="318"/>
      <c r="I842" s="318"/>
      <c r="J842" s="318"/>
      <c r="K842" s="318"/>
    </row>
    <row r="843">
      <c r="A843" s="318"/>
      <c r="B843" s="318"/>
      <c r="C843" s="318"/>
      <c r="D843" s="318"/>
      <c r="E843" s="318"/>
      <c r="F843" s="318"/>
      <c r="G843" s="318"/>
      <c r="H843" s="318"/>
      <c r="I843" s="318"/>
      <c r="J843" s="318"/>
      <c r="K843" s="318"/>
    </row>
    <row r="844">
      <c r="A844" s="318"/>
      <c r="B844" s="318"/>
      <c r="C844" s="318"/>
      <c r="D844" s="318"/>
      <c r="E844" s="318"/>
      <c r="F844" s="318"/>
      <c r="G844" s="318"/>
      <c r="H844" s="318"/>
      <c r="I844" s="318"/>
      <c r="J844" s="318"/>
      <c r="K844" s="318"/>
    </row>
    <row r="845">
      <c r="A845" s="318"/>
      <c r="B845" s="318"/>
      <c r="C845" s="318"/>
      <c r="D845" s="318"/>
      <c r="E845" s="318"/>
      <c r="F845" s="318"/>
      <c r="G845" s="318"/>
      <c r="H845" s="318"/>
      <c r="I845" s="318"/>
      <c r="J845" s="318"/>
      <c r="K845" s="318"/>
    </row>
    <row r="846">
      <c r="A846" s="318"/>
      <c r="B846" s="318"/>
      <c r="C846" s="318"/>
      <c r="D846" s="318"/>
      <c r="E846" s="318"/>
      <c r="F846" s="318"/>
      <c r="G846" s="318"/>
      <c r="H846" s="318"/>
      <c r="I846" s="318"/>
      <c r="J846" s="318"/>
      <c r="K846" s="318"/>
    </row>
    <row r="847">
      <c r="A847" s="318"/>
      <c r="B847" s="318"/>
      <c r="C847" s="318"/>
      <c r="D847" s="318"/>
      <c r="E847" s="318"/>
      <c r="F847" s="318"/>
      <c r="G847" s="318"/>
      <c r="H847" s="318"/>
      <c r="I847" s="318"/>
      <c r="J847" s="318"/>
      <c r="K847" s="318"/>
    </row>
    <row r="848">
      <c r="A848" s="318"/>
      <c r="B848" s="318"/>
      <c r="C848" s="318"/>
      <c r="D848" s="318"/>
      <c r="E848" s="318"/>
      <c r="F848" s="318"/>
      <c r="G848" s="318"/>
      <c r="H848" s="318"/>
      <c r="I848" s="318"/>
      <c r="J848" s="318"/>
      <c r="K848" s="318"/>
    </row>
    <row r="849">
      <c r="A849" s="318"/>
      <c r="B849" s="318"/>
      <c r="C849" s="318"/>
      <c r="D849" s="318"/>
      <c r="E849" s="318"/>
      <c r="F849" s="318"/>
      <c r="G849" s="318"/>
      <c r="H849" s="318"/>
      <c r="I849" s="318"/>
      <c r="J849" s="318"/>
      <c r="K849" s="318"/>
    </row>
    <row r="850">
      <c r="A850" s="318"/>
      <c r="B850" s="318"/>
      <c r="C850" s="318"/>
      <c r="D850" s="318"/>
      <c r="E850" s="318"/>
      <c r="F850" s="318"/>
      <c r="G850" s="318"/>
      <c r="H850" s="318"/>
      <c r="I850" s="318"/>
      <c r="J850" s="318"/>
      <c r="K850" s="318"/>
    </row>
    <row r="851">
      <c r="A851" s="318"/>
      <c r="B851" s="318"/>
      <c r="C851" s="318"/>
      <c r="D851" s="318"/>
      <c r="E851" s="318"/>
      <c r="F851" s="318"/>
      <c r="G851" s="318"/>
      <c r="H851" s="318"/>
      <c r="I851" s="318"/>
      <c r="J851" s="318"/>
      <c r="K851" s="318"/>
    </row>
    <row r="852">
      <c r="A852" s="318"/>
      <c r="B852" s="318"/>
      <c r="C852" s="318"/>
      <c r="D852" s="318"/>
      <c r="E852" s="318"/>
      <c r="F852" s="318"/>
      <c r="G852" s="318"/>
      <c r="H852" s="318"/>
      <c r="I852" s="318"/>
      <c r="J852" s="318"/>
      <c r="K852" s="318"/>
    </row>
    <row r="853">
      <c r="A853" s="318"/>
      <c r="B853" s="318"/>
      <c r="C853" s="318"/>
      <c r="D853" s="318"/>
      <c r="E853" s="318"/>
      <c r="F853" s="318"/>
      <c r="G853" s="318"/>
      <c r="H853" s="318"/>
      <c r="I853" s="318"/>
      <c r="J853" s="318"/>
      <c r="K853" s="318"/>
    </row>
    <row r="854">
      <c r="A854" s="318"/>
      <c r="B854" s="318"/>
      <c r="C854" s="318"/>
      <c r="D854" s="318"/>
      <c r="E854" s="318"/>
      <c r="F854" s="318"/>
      <c r="G854" s="318"/>
      <c r="H854" s="318"/>
      <c r="I854" s="318"/>
      <c r="J854" s="318"/>
      <c r="K854" s="318"/>
    </row>
    <row r="855">
      <c r="A855" s="318"/>
      <c r="B855" s="318"/>
      <c r="C855" s="318"/>
      <c r="D855" s="318"/>
      <c r="E855" s="318"/>
      <c r="F855" s="318"/>
      <c r="G855" s="318"/>
      <c r="H855" s="318"/>
      <c r="I855" s="318"/>
      <c r="J855" s="318"/>
      <c r="K855" s="318"/>
    </row>
    <row r="856">
      <c r="A856" s="318"/>
      <c r="B856" s="318"/>
      <c r="C856" s="318"/>
      <c r="D856" s="318"/>
      <c r="E856" s="318"/>
      <c r="F856" s="318"/>
      <c r="G856" s="318"/>
      <c r="H856" s="318"/>
      <c r="I856" s="318"/>
      <c r="J856" s="318"/>
      <c r="K856" s="318"/>
    </row>
    <row r="857">
      <c r="A857" s="318"/>
      <c r="B857" s="318"/>
      <c r="C857" s="318"/>
      <c r="D857" s="318"/>
      <c r="E857" s="318"/>
      <c r="F857" s="318"/>
      <c r="G857" s="318"/>
      <c r="H857" s="318"/>
      <c r="I857" s="318"/>
      <c r="J857" s="318"/>
      <c r="K857" s="318"/>
    </row>
    <row r="858">
      <c r="A858" s="318"/>
      <c r="B858" s="318"/>
      <c r="C858" s="318"/>
      <c r="D858" s="318"/>
      <c r="E858" s="318"/>
      <c r="F858" s="318"/>
      <c r="G858" s="318"/>
      <c r="H858" s="318"/>
      <c r="I858" s="318"/>
      <c r="J858" s="318"/>
      <c r="K858" s="318"/>
    </row>
    <row r="859">
      <c r="A859" s="318"/>
      <c r="B859" s="318"/>
      <c r="C859" s="318"/>
      <c r="D859" s="318"/>
      <c r="E859" s="318"/>
      <c r="F859" s="318"/>
      <c r="G859" s="318"/>
      <c r="H859" s="318"/>
      <c r="I859" s="318"/>
      <c r="J859" s="318"/>
      <c r="K859" s="318"/>
    </row>
    <row r="860">
      <c r="A860" s="318"/>
      <c r="B860" s="318"/>
      <c r="C860" s="318"/>
      <c r="D860" s="318"/>
      <c r="E860" s="318"/>
      <c r="F860" s="318"/>
      <c r="G860" s="318"/>
      <c r="H860" s="318"/>
      <c r="I860" s="318"/>
      <c r="J860" s="318"/>
      <c r="K860" s="318"/>
    </row>
    <row r="861">
      <c r="A861" s="318"/>
      <c r="B861" s="318"/>
      <c r="C861" s="318"/>
      <c r="D861" s="318"/>
      <c r="E861" s="318"/>
      <c r="F861" s="318"/>
      <c r="G861" s="318"/>
      <c r="H861" s="318"/>
      <c r="I861" s="318"/>
      <c r="J861" s="318"/>
      <c r="K861" s="318"/>
    </row>
    <row r="862">
      <c r="A862" s="318"/>
      <c r="B862" s="318"/>
      <c r="C862" s="318"/>
      <c r="D862" s="318"/>
      <c r="E862" s="318"/>
      <c r="F862" s="318"/>
      <c r="G862" s="318"/>
      <c r="H862" s="318"/>
      <c r="I862" s="318"/>
      <c r="J862" s="318"/>
      <c r="K862" s="318"/>
    </row>
    <row r="863">
      <c r="A863" s="318"/>
      <c r="B863" s="318"/>
      <c r="C863" s="318"/>
      <c r="D863" s="318"/>
      <c r="E863" s="318"/>
      <c r="F863" s="318"/>
      <c r="G863" s="318"/>
      <c r="H863" s="318"/>
      <c r="I863" s="318"/>
      <c r="J863" s="318"/>
      <c r="K863" s="318"/>
    </row>
    <row r="864">
      <c r="A864" s="318"/>
      <c r="B864" s="318"/>
      <c r="C864" s="318"/>
      <c r="D864" s="318"/>
      <c r="E864" s="318"/>
      <c r="F864" s="318"/>
      <c r="G864" s="318"/>
      <c r="H864" s="318"/>
      <c r="I864" s="318"/>
      <c r="J864" s="318"/>
      <c r="K864" s="318"/>
    </row>
    <row r="865">
      <c r="A865" s="318"/>
      <c r="B865" s="318"/>
      <c r="C865" s="318"/>
      <c r="D865" s="318"/>
      <c r="E865" s="318"/>
      <c r="F865" s="318"/>
      <c r="G865" s="318"/>
      <c r="H865" s="318"/>
      <c r="I865" s="318"/>
      <c r="J865" s="318"/>
      <c r="K865" s="318"/>
    </row>
    <row r="866">
      <c r="A866" s="318"/>
      <c r="B866" s="318"/>
      <c r="C866" s="318"/>
      <c r="D866" s="318"/>
      <c r="E866" s="318"/>
      <c r="F866" s="318"/>
      <c r="G866" s="318"/>
      <c r="H866" s="318"/>
      <c r="I866" s="318"/>
      <c r="J866" s="318"/>
      <c r="K866" s="318"/>
    </row>
    <row r="867">
      <c r="A867" s="318"/>
      <c r="B867" s="318"/>
      <c r="C867" s="318"/>
      <c r="D867" s="318"/>
      <c r="E867" s="318"/>
      <c r="F867" s="318"/>
      <c r="G867" s="318"/>
      <c r="H867" s="318"/>
      <c r="I867" s="318"/>
      <c r="J867" s="318"/>
      <c r="K867" s="318"/>
    </row>
    <row r="868">
      <c r="A868" s="318"/>
      <c r="B868" s="318"/>
      <c r="C868" s="318"/>
      <c r="D868" s="318"/>
      <c r="E868" s="318"/>
      <c r="F868" s="318"/>
      <c r="G868" s="318"/>
      <c r="H868" s="318"/>
      <c r="I868" s="318"/>
      <c r="J868" s="318"/>
      <c r="K868" s="318"/>
    </row>
    <row r="869">
      <c r="A869" s="318"/>
      <c r="B869" s="318"/>
      <c r="C869" s="318"/>
      <c r="D869" s="318"/>
      <c r="E869" s="318"/>
      <c r="F869" s="318"/>
      <c r="G869" s="318"/>
      <c r="H869" s="318"/>
      <c r="I869" s="318"/>
      <c r="J869" s="318"/>
      <c r="K869" s="318"/>
    </row>
    <row r="870">
      <c r="A870" s="318"/>
      <c r="B870" s="318"/>
      <c r="C870" s="318"/>
      <c r="D870" s="318"/>
      <c r="E870" s="318"/>
      <c r="F870" s="318"/>
      <c r="G870" s="318"/>
      <c r="H870" s="318"/>
      <c r="I870" s="318"/>
      <c r="J870" s="318"/>
      <c r="K870" s="318"/>
    </row>
    <row r="871">
      <c r="A871" s="318"/>
      <c r="B871" s="318"/>
      <c r="C871" s="318"/>
      <c r="D871" s="318"/>
      <c r="E871" s="318"/>
      <c r="F871" s="318"/>
      <c r="G871" s="318"/>
      <c r="H871" s="318"/>
      <c r="I871" s="318"/>
      <c r="J871" s="318"/>
      <c r="K871" s="318"/>
    </row>
    <row r="872">
      <c r="A872" s="318"/>
      <c r="B872" s="318"/>
      <c r="C872" s="318"/>
      <c r="D872" s="318"/>
      <c r="E872" s="318"/>
      <c r="F872" s="318"/>
      <c r="G872" s="318"/>
      <c r="H872" s="318"/>
      <c r="I872" s="318"/>
      <c r="J872" s="318"/>
      <c r="K872" s="318"/>
    </row>
    <row r="873">
      <c r="A873" s="318"/>
      <c r="B873" s="318"/>
      <c r="C873" s="318"/>
      <c r="D873" s="318"/>
      <c r="E873" s="318"/>
      <c r="F873" s="318"/>
      <c r="G873" s="318"/>
      <c r="H873" s="318"/>
      <c r="I873" s="318"/>
      <c r="J873" s="318"/>
      <c r="K873" s="318"/>
    </row>
    <row r="874">
      <c r="A874" s="318"/>
      <c r="B874" s="318"/>
      <c r="C874" s="318"/>
      <c r="D874" s="318"/>
      <c r="E874" s="318"/>
      <c r="F874" s="318"/>
      <c r="G874" s="318"/>
      <c r="H874" s="318"/>
      <c r="I874" s="318"/>
      <c r="J874" s="318"/>
      <c r="K874" s="318"/>
    </row>
    <row r="875">
      <c r="A875" s="318"/>
      <c r="B875" s="318"/>
      <c r="C875" s="318"/>
      <c r="D875" s="318"/>
      <c r="E875" s="318"/>
      <c r="F875" s="318"/>
      <c r="G875" s="318"/>
      <c r="H875" s="318"/>
      <c r="I875" s="318"/>
      <c r="J875" s="318"/>
      <c r="K875" s="318"/>
    </row>
    <row r="876">
      <c r="A876" s="318"/>
      <c r="B876" s="318"/>
      <c r="C876" s="318"/>
      <c r="D876" s="318"/>
      <c r="E876" s="318"/>
      <c r="F876" s="318"/>
      <c r="G876" s="318"/>
      <c r="H876" s="318"/>
      <c r="I876" s="318"/>
      <c r="J876" s="318"/>
      <c r="K876" s="318"/>
    </row>
    <row r="877">
      <c r="A877" s="318"/>
      <c r="B877" s="318"/>
      <c r="C877" s="318"/>
      <c r="D877" s="318"/>
      <c r="E877" s="318"/>
      <c r="F877" s="318"/>
      <c r="G877" s="318"/>
      <c r="H877" s="318"/>
      <c r="I877" s="318"/>
      <c r="J877" s="318"/>
      <c r="K877" s="318"/>
    </row>
    <row r="878">
      <c r="A878" s="318"/>
      <c r="B878" s="318"/>
      <c r="C878" s="318"/>
      <c r="D878" s="318"/>
      <c r="E878" s="318"/>
      <c r="F878" s="318"/>
      <c r="G878" s="318"/>
      <c r="H878" s="318"/>
      <c r="I878" s="318"/>
      <c r="J878" s="318"/>
      <c r="K878" s="318"/>
    </row>
    <row r="879">
      <c r="A879" s="318"/>
      <c r="B879" s="318"/>
      <c r="C879" s="318"/>
      <c r="D879" s="318"/>
      <c r="E879" s="318"/>
      <c r="F879" s="318"/>
      <c r="G879" s="318"/>
      <c r="H879" s="318"/>
      <c r="I879" s="318"/>
      <c r="J879" s="318"/>
      <c r="K879" s="318"/>
    </row>
    <row r="880">
      <c r="A880" s="318"/>
      <c r="B880" s="318"/>
      <c r="C880" s="318"/>
      <c r="D880" s="318"/>
      <c r="E880" s="318"/>
      <c r="F880" s="318"/>
      <c r="G880" s="318"/>
      <c r="H880" s="318"/>
      <c r="I880" s="318"/>
      <c r="J880" s="318"/>
      <c r="K880" s="318"/>
    </row>
    <row r="881">
      <c r="A881" s="318"/>
      <c r="B881" s="318"/>
      <c r="C881" s="318"/>
      <c r="D881" s="318"/>
      <c r="E881" s="318"/>
      <c r="F881" s="318"/>
      <c r="G881" s="318"/>
      <c r="H881" s="318"/>
      <c r="I881" s="318"/>
      <c r="J881" s="318"/>
      <c r="K881" s="318"/>
    </row>
    <row r="882">
      <c r="A882" s="318"/>
      <c r="B882" s="318"/>
      <c r="C882" s="318"/>
      <c r="D882" s="318"/>
      <c r="E882" s="318"/>
      <c r="F882" s="318"/>
      <c r="G882" s="318"/>
      <c r="H882" s="318"/>
      <c r="I882" s="318"/>
      <c r="J882" s="318"/>
      <c r="K882" s="318"/>
    </row>
    <row r="883">
      <c r="A883" s="318"/>
      <c r="B883" s="318"/>
      <c r="C883" s="318"/>
      <c r="D883" s="318"/>
      <c r="E883" s="318"/>
      <c r="F883" s="318"/>
      <c r="G883" s="318"/>
      <c r="H883" s="318"/>
      <c r="I883" s="318"/>
      <c r="J883" s="318"/>
      <c r="K883" s="318"/>
    </row>
    <row r="884">
      <c r="A884" s="318"/>
      <c r="B884" s="318"/>
      <c r="C884" s="318"/>
      <c r="D884" s="318"/>
      <c r="E884" s="318"/>
      <c r="F884" s="318"/>
      <c r="G884" s="318"/>
      <c r="H884" s="318"/>
      <c r="I884" s="318"/>
      <c r="J884" s="318"/>
      <c r="K884" s="318"/>
    </row>
    <row r="885">
      <c r="A885" s="318"/>
      <c r="B885" s="318"/>
      <c r="C885" s="318"/>
      <c r="D885" s="318"/>
      <c r="E885" s="318"/>
      <c r="F885" s="318"/>
      <c r="G885" s="318"/>
      <c r="H885" s="318"/>
      <c r="I885" s="318"/>
      <c r="J885" s="318"/>
      <c r="K885" s="318"/>
    </row>
    <row r="886">
      <c r="A886" s="318"/>
      <c r="B886" s="318"/>
      <c r="C886" s="318"/>
      <c r="D886" s="318"/>
      <c r="E886" s="318"/>
      <c r="F886" s="318"/>
      <c r="G886" s="318"/>
      <c r="H886" s="318"/>
      <c r="I886" s="318"/>
      <c r="J886" s="318"/>
      <c r="K886" s="318"/>
    </row>
    <row r="887">
      <c r="A887" s="318"/>
      <c r="B887" s="318"/>
      <c r="C887" s="318"/>
      <c r="D887" s="318"/>
      <c r="E887" s="318"/>
      <c r="F887" s="318"/>
      <c r="G887" s="318"/>
      <c r="H887" s="318"/>
      <c r="I887" s="318"/>
      <c r="J887" s="318"/>
      <c r="K887" s="318"/>
    </row>
    <row r="888">
      <c r="A888" s="318"/>
      <c r="B888" s="318"/>
      <c r="C888" s="318"/>
      <c r="D888" s="318"/>
      <c r="E888" s="318"/>
      <c r="F888" s="318"/>
      <c r="G888" s="318"/>
      <c r="H888" s="318"/>
      <c r="I888" s="318"/>
      <c r="J888" s="318"/>
      <c r="K888" s="318"/>
    </row>
    <row r="889">
      <c r="A889" s="318"/>
      <c r="B889" s="318"/>
      <c r="C889" s="318"/>
      <c r="D889" s="318"/>
      <c r="E889" s="318"/>
      <c r="F889" s="318"/>
      <c r="G889" s="318"/>
      <c r="H889" s="318"/>
      <c r="I889" s="318"/>
      <c r="J889" s="318"/>
      <c r="K889" s="318"/>
    </row>
    <row r="890">
      <c r="A890" s="318"/>
      <c r="B890" s="318"/>
      <c r="C890" s="318"/>
      <c r="D890" s="318"/>
      <c r="E890" s="318"/>
      <c r="F890" s="318"/>
      <c r="G890" s="318"/>
      <c r="H890" s="318"/>
      <c r="I890" s="318"/>
      <c r="J890" s="318"/>
      <c r="K890" s="318"/>
    </row>
    <row r="891">
      <c r="A891" s="318"/>
      <c r="B891" s="318"/>
      <c r="C891" s="318"/>
      <c r="D891" s="318"/>
      <c r="E891" s="318"/>
      <c r="F891" s="318"/>
      <c r="G891" s="318"/>
      <c r="H891" s="318"/>
      <c r="I891" s="318"/>
      <c r="J891" s="318"/>
      <c r="K891" s="318"/>
    </row>
    <row r="892">
      <c r="A892" s="318"/>
      <c r="B892" s="318"/>
      <c r="C892" s="318"/>
      <c r="D892" s="318"/>
      <c r="E892" s="318"/>
      <c r="F892" s="318"/>
      <c r="G892" s="318"/>
      <c r="H892" s="318"/>
      <c r="I892" s="318"/>
      <c r="J892" s="318"/>
      <c r="K892" s="318"/>
    </row>
    <row r="893">
      <c r="A893" s="318"/>
      <c r="B893" s="318"/>
      <c r="C893" s="318"/>
      <c r="D893" s="318"/>
      <c r="E893" s="318"/>
      <c r="F893" s="318"/>
      <c r="G893" s="318"/>
      <c r="H893" s="318"/>
      <c r="I893" s="318"/>
      <c r="J893" s="318"/>
      <c r="K893" s="318"/>
    </row>
    <row r="894">
      <c r="A894" s="318"/>
      <c r="B894" s="318"/>
      <c r="C894" s="318"/>
      <c r="D894" s="318"/>
      <c r="E894" s="318"/>
      <c r="F894" s="318"/>
      <c r="G894" s="318"/>
      <c r="H894" s="318"/>
      <c r="I894" s="318"/>
      <c r="J894" s="318"/>
      <c r="K894" s="318"/>
    </row>
    <row r="895">
      <c r="A895" s="318"/>
      <c r="B895" s="318"/>
      <c r="C895" s="318"/>
      <c r="D895" s="318"/>
      <c r="E895" s="318"/>
      <c r="F895" s="318"/>
      <c r="G895" s="318"/>
      <c r="H895" s="318"/>
      <c r="I895" s="318"/>
      <c r="J895" s="318"/>
      <c r="K895" s="318"/>
    </row>
    <row r="896">
      <c r="A896" s="318"/>
      <c r="B896" s="318"/>
      <c r="C896" s="318"/>
      <c r="D896" s="318"/>
      <c r="E896" s="318"/>
      <c r="F896" s="318"/>
      <c r="G896" s="318"/>
      <c r="H896" s="318"/>
      <c r="I896" s="318"/>
      <c r="J896" s="318"/>
      <c r="K896" s="318"/>
    </row>
    <row r="897">
      <c r="A897" s="318"/>
      <c r="B897" s="318"/>
      <c r="C897" s="318"/>
      <c r="D897" s="318"/>
      <c r="E897" s="318"/>
      <c r="F897" s="318"/>
      <c r="G897" s="318"/>
      <c r="H897" s="318"/>
      <c r="I897" s="318"/>
      <c r="J897" s="318"/>
      <c r="K897" s="318"/>
    </row>
    <row r="898">
      <c r="A898" s="318"/>
      <c r="B898" s="318"/>
      <c r="C898" s="318"/>
      <c r="D898" s="318"/>
      <c r="E898" s="318"/>
      <c r="F898" s="318"/>
      <c r="G898" s="318"/>
      <c r="H898" s="318"/>
      <c r="I898" s="318"/>
      <c r="J898" s="318"/>
      <c r="K898" s="318"/>
    </row>
    <row r="899">
      <c r="A899" s="318"/>
      <c r="B899" s="318"/>
      <c r="C899" s="318"/>
      <c r="D899" s="318"/>
      <c r="E899" s="318"/>
      <c r="F899" s="318"/>
      <c r="G899" s="318"/>
      <c r="H899" s="318"/>
      <c r="I899" s="318"/>
      <c r="J899" s="318"/>
      <c r="K899" s="318"/>
    </row>
    <row r="900">
      <c r="A900" s="318"/>
      <c r="B900" s="318"/>
      <c r="C900" s="318"/>
      <c r="D900" s="318"/>
      <c r="E900" s="318"/>
      <c r="F900" s="318"/>
      <c r="G900" s="318"/>
      <c r="H900" s="318"/>
      <c r="I900" s="318"/>
      <c r="J900" s="318"/>
      <c r="K900" s="318"/>
    </row>
    <row r="901">
      <c r="A901" s="318"/>
      <c r="B901" s="318"/>
      <c r="C901" s="318"/>
      <c r="D901" s="318"/>
      <c r="E901" s="318"/>
      <c r="F901" s="318"/>
      <c r="G901" s="318"/>
      <c r="H901" s="318"/>
      <c r="I901" s="318"/>
      <c r="J901" s="318"/>
      <c r="K901" s="318"/>
    </row>
    <row r="902">
      <c r="A902" s="318"/>
      <c r="B902" s="318"/>
      <c r="C902" s="318"/>
      <c r="D902" s="318"/>
      <c r="E902" s="318"/>
      <c r="F902" s="318"/>
      <c r="G902" s="318"/>
      <c r="H902" s="318"/>
      <c r="I902" s="318"/>
      <c r="J902" s="318"/>
      <c r="K902" s="318"/>
    </row>
    <row r="903">
      <c r="A903" s="318"/>
      <c r="B903" s="318"/>
      <c r="C903" s="318"/>
      <c r="D903" s="318"/>
      <c r="E903" s="318"/>
      <c r="F903" s="318"/>
      <c r="G903" s="318"/>
      <c r="H903" s="318"/>
      <c r="I903" s="318"/>
      <c r="J903" s="318"/>
      <c r="K903" s="318"/>
    </row>
    <row r="904">
      <c r="A904" s="318"/>
      <c r="B904" s="318"/>
      <c r="C904" s="318"/>
      <c r="D904" s="318"/>
      <c r="E904" s="318"/>
      <c r="F904" s="318"/>
      <c r="G904" s="318"/>
      <c r="H904" s="318"/>
      <c r="I904" s="318"/>
      <c r="J904" s="318"/>
      <c r="K904" s="318"/>
    </row>
    <row r="905">
      <c r="A905" s="318"/>
      <c r="B905" s="318"/>
      <c r="C905" s="318"/>
      <c r="D905" s="318"/>
      <c r="E905" s="318"/>
      <c r="F905" s="318"/>
      <c r="G905" s="318"/>
      <c r="H905" s="318"/>
      <c r="I905" s="318"/>
      <c r="J905" s="318"/>
      <c r="K905" s="318"/>
    </row>
    <row r="906">
      <c r="A906" s="318"/>
      <c r="B906" s="318"/>
      <c r="C906" s="318"/>
      <c r="D906" s="318"/>
      <c r="E906" s="318"/>
      <c r="F906" s="318"/>
      <c r="G906" s="318"/>
      <c r="H906" s="318"/>
      <c r="I906" s="318"/>
      <c r="J906" s="318"/>
      <c r="K906" s="318"/>
    </row>
    <row r="907">
      <c r="A907" s="318"/>
      <c r="B907" s="318"/>
      <c r="C907" s="318"/>
      <c r="D907" s="318"/>
      <c r="E907" s="318"/>
      <c r="F907" s="318"/>
      <c r="G907" s="318"/>
      <c r="H907" s="318"/>
      <c r="I907" s="318"/>
      <c r="J907" s="318"/>
      <c r="K907" s="318"/>
    </row>
    <row r="908">
      <c r="A908" s="318"/>
      <c r="B908" s="318"/>
      <c r="C908" s="318"/>
      <c r="D908" s="318"/>
      <c r="E908" s="318"/>
      <c r="F908" s="318"/>
      <c r="G908" s="318"/>
      <c r="H908" s="318"/>
      <c r="I908" s="318"/>
      <c r="J908" s="318"/>
      <c r="K908" s="318"/>
    </row>
    <row r="909">
      <c r="A909" s="318"/>
      <c r="B909" s="318"/>
      <c r="C909" s="318"/>
      <c r="D909" s="318"/>
      <c r="E909" s="318"/>
      <c r="F909" s="318"/>
      <c r="G909" s="318"/>
      <c r="H909" s="318"/>
      <c r="I909" s="318"/>
      <c r="J909" s="318"/>
      <c r="K909" s="318"/>
    </row>
    <row r="910">
      <c r="A910" s="318"/>
      <c r="B910" s="318"/>
      <c r="C910" s="318"/>
      <c r="D910" s="318"/>
      <c r="E910" s="318"/>
      <c r="F910" s="318"/>
      <c r="G910" s="318"/>
      <c r="H910" s="318"/>
      <c r="I910" s="318"/>
      <c r="J910" s="318"/>
      <c r="K910" s="318"/>
    </row>
    <row r="911">
      <c r="A911" s="318"/>
      <c r="B911" s="318"/>
      <c r="C911" s="318"/>
      <c r="D911" s="318"/>
      <c r="E911" s="318"/>
      <c r="F911" s="318"/>
      <c r="G911" s="318"/>
      <c r="H911" s="318"/>
      <c r="I911" s="318"/>
      <c r="J911" s="318"/>
      <c r="K911" s="318"/>
    </row>
    <row r="912">
      <c r="A912" s="318"/>
      <c r="B912" s="318"/>
      <c r="C912" s="318"/>
      <c r="D912" s="318"/>
      <c r="E912" s="318"/>
      <c r="F912" s="318"/>
      <c r="G912" s="318"/>
      <c r="H912" s="318"/>
      <c r="I912" s="318"/>
      <c r="J912" s="318"/>
      <c r="K912" s="318"/>
    </row>
    <row r="913">
      <c r="A913" s="318"/>
      <c r="B913" s="318"/>
      <c r="C913" s="318"/>
      <c r="D913" s="318"/>
      <c r="E913" s="318"/>
      <c r="F913" s="318"/>
      <c r="G913" s="318"/>
      <c r="H913" s="318"/>
      <c r="I913" s="318"/>
      <c r="J913" s="318"/>
      <c r="K913" s="318"/>
    </row>
    <row r="914">
      <c r="A914" s="318"/>
      <c r="B914" s="318"/>
      <c r="C914" s="318"/>
      <c r="D914" s="318"/>
      <c r="E914" s="318"/>
      <c r="F914" s="318"/>
      <c r="G914" s="318"/>
      <c r="H914" s="318"/>
      <c r="I914" s="318"/>
      <c r="J914" s="318"/>
      <c r="K914" s="318"/>
    </row>
    <row r="915">
      <c r="A915" s="318"/>
      <c r="B915" s="318"/>
      <c r="C915" s="318"/>
      <c r="D915" s="318"/>
      <c r="E915" s="318"/>
      <c r="F915" s="318"/>
      <c r="G915" s="318"/>
      <c r="H915" s="318"/>
      <c r="I915" s="318"/>
      <c r="J915" s="318"/>
      <c r="K915" s="318"/>
    </row>
    <row r="916">
      <c r="A916" s="318"/>
      <c r="B916" s="318"/>
      <c r="C916" s="318"/>
      <c r="D916" s="318"/>
      <c r="E916" s="318"/>
      <c r="F916" s="318"/>
      <c r="G916" s="318"/>
      <c r="H916" s="318"/>
      <c r="I916" s="318"/>
      <c r="J916" s="318"/>
      <c r="K916" s="318"/>
    </row>
    <row r="917">
      <c r="A917" s="318"/>
      <c r="B917" s="318"/>
      <c r="C917" s="318"/>
      <c r="D917" s="318"/>
      <c r="E917" s="318"/>
      <c r="F917" s="318"/>
      <c r="G917" s="318"/>
      <c r="H917" s="318"/>
      <c r="I917" s="318"/>
      <c r="J917" s="318"/>
      <c r="K917" s="318"/>
    </row>
    <row r="918">
      <c r="A918" s="318"/>
      <c r="B918" s="318"/>
      <c r="C918" s="318"/>
      <c r="D918" s="318"/>
      <c r="E918" s="318"/>
      <c r="F918" s="318"/>
      <c r="G918" s="318"/>
      <c r="H918" s="318"/>
      <c r="I918" s="318"/>
      <c r="J918" s="318"/>
      <c r="K918" s="318"/>
    </row>
    <row r="919">
      <c r="A919" s="318"/>
      <c r="B919" s="318"/>
      <c r="C919" s="318"/>
      <c r="D919" s="318"/>
      <c r="E919" s="318"/>
      <c r="F919" s="318"/>
      <c r="G919" s="318"/>
      <c r="H919" s="318"/>
      <c r="I919" s="318"/>
      <c r="J919" s="318"/>
      <c r="K919" s="318"/>
    </row>
    <row r="920">
      <c r="A920" s="318"/>
      <c r="B920" s="318"/>
      <c r="C920" s="318"/>
      <c r="D920" s="318"/>
      <c r="E920" s="318"/>
      <c r="F920" s="318"/>
      <c r="G920" s="318"/>
      <c r="H920" s="318"/>
      <c r="I920" s="318"/>
      <c r="J920" s="318"/>
      <c r="K920" s="318"/>
    </row>
    <row r="921">
      <c r="A921" s="318"/>
      <c r="B921" s="318"/>
      <c r="C921" s="318"/>
      <c r="D921" s="318"/>
      <c r="E921" s="318"/>
      <c r="F921" s="318"/>
      <c r="G921" s="318"/>
      <c r="H921" s="318"/>
      <c r="I921" s="318"/>
      <c r="J921" s="318"/>
      <c r="K921" s="318"/>
    </row>
    <row r="922">
      <c r="A922" s="318"/>
      <c r="B922" s="318"/>
      <c r="C922" s="318"/>
      <c r="D922" s="318"/>
      <c r="E922" s="318"/>
      <c r="F922" s="318"/>
      <c r="G922" s="318"/>
      <c r="H922" s="318"/>
      <c r="I922" s="318"/>
      <c r="J922" s="318"/>
      <c r="K922" s="318"/>
    </row>
    <row r="923">
      <c r="A923" s="318"/>
      <c r="B923" s="318"/>
      <c r="C923" s="318"/>
      <c r="D923" s="318"/>
      <c r="E923" s="318"/>
      <c r="F923" s="318"/>
      <c r="G923" s="318"/>
      <c r="H923" s="318"/>
      <c r="I923" s="318"/>
      <c r="J923" s="318"/>
      <c r="K923" s="318"/>
    </row>
    <row r="924">
      <c r="A924" s="318"/>
      <c r="B924" s="318"/>
      <c r="C924" s="318"/>
      <c r="D924" s="318"/>
      <c r="E924" s="318"/>
      <c r="F924" s="318"/>
      <c r="G924" s="318"/>
      <c r="H924" s="318"/>
      <c r="I924" s="318"/>
      <c r="J924" s="318"/>
      <c r="K924" s="318"/>
    </row>
    <row r="925">
      <c r="A925" s="318"/>
      <c r="B925" s="318"/>
      <c r="C925" s="318"/>
      <c r="D925" s="318"/>
      <c r="E925" s="318"/>
      <c r="F925" s="318"/>
      <c r="G925" s="318"/>
      <c r="H925" s="318"/>
      <c r="I925" s="318"/>
      <c r="J925" s="318"/>
      <c r="K925" s="318"/>
    </row>
    <row r="926">
      <c r="A926" s="318"/>
      <c r="B926" s="318"/>
      <c r="C926" s="318"/>
      <c r="D926" s="318"/>
      <c r="E926" s="318"/>
      <c r="F926" s="318"/>
      <c r="G926" s="318"/>
      <c r="H926" s="318"/>
      <c r="I926" s="318"/>
      <c r="J926" s="318"/>
      <c r="K926" s="318"/>
    </row>
    <row r="927">
      <c r="A927" s="318"/>
      <c r="B927" s="318"/>
      <c r="C927" s="318"/>
      <c r="D927" s="318"/>
      <c r="E927" s="318"/>
      <c r="F927" s="318"/>
      <c r="G927" s="318"/>
      <c r="H927" s="318"/>
      <c r="I927" s="318"/>
      <c r="J927" s="318"/>
      <c r="K927" s="318"/>
    </row>
    <row r="928">
      <c r="A928" s="318"/>
      <c r="B928" s="318"/>
      <c r="C928" s="318"/>
      <c r="D928" s="318"/>
      <c r="E928" s="318"/>
      <c r="F928" s="318"/>
      <c r="G928" s="318"/>
      <c r="H928" s="318"/>
      <c r="I928" s="318"/>
      <c r="J928" s="318"/>
      <c r="K928" s="318"/>
    </row>
    <row r="929">
      <c r="A929" s="318"/>
      <c r="B929" s="318"/>
      <c r="C929" s="318"/>
      <c r="D929" s="318"/>
      <c r="E929" s="318"/>
      <c r="F929" s="318"/>
      <c r="G929" s="318"/>
      <c r="H929" s="318"/>
      <c r="I929" s="318"/>
      <c r="J929" s="318"/>
      <c r="K929" s="318"/>
    </row>
    <row r="930">
      <c r="A930" s="318"/>
      <c r="B930" s="318"/>
      <c r="C930" s="318"/>
      <c r="D930" s="318"/>
      <c r="E930" s="318"/>
      <c r="F930" s="318"/>
      <c r="G930" s="318"/>
      <c r="H930" s="318"/>
      <c r="I930" s="318"/>
      <c r="J930" s="318"/>
      <c r="K930" s="318"/>
    </row>
    <row r="931">
      <c r="A931" s="318"/>
      <c r="B931" s="318"/>
      <c r="C931" s="318"/>
      <c r="D931" s="318"/>
      <c r="E931" s="318"/>
      <c r="F931" s="318"/>
      <c r="G931" s="318"/>
      <c r="H931" s="318"/>
      <c r="I931" s="318"/>
      <c r="J931" s="318"/>
      <c r="K931" s="318"/>
    </row>
    <row r="932">
      <c r="A932" s="318"/>
      <c r="B932" s="318"/>
      <c r="C932" s="318"/>
      <c r="D932" s="318"/>
      <c r="E932" s="318"/>
      <c r="F932" s="318"/>
      <c r="G932" s="318"/>
      <c r="H932" s="318"/>
      <c r="I932" s="318"/>
      <c r="J932" s="318"/>
      <c r="K932" s="318"/>
    </row>
    <row r="933">
      <c r="A933" s="318"/>
      <c r="B933" s="318"/>
      <c r="C933" s="318"/>
      <c r="D933" s="318"/>
      <c r="E933" s="318"/>
      <c r="F933" s="318"/>
      <c r="G933" s="318"/>
      <c r="H933" s="318"/>
      <c r="I933" s="318"/>
      <c r="J933" s="318"/>
      <c r="K933" s="318"/>
    </row>
    <row r="934">
      <c r="A934" s="318"/>
      <c r="B934" s="318"/>
      <c r="C934" s="318"/>
      <c r="D934" s="318"/>
      <c r="E934" s="318"/>
      <c r="F934" s="318"/>
      <c r="G934" s="318"/>
      <c r="H934" s="318"/>
      <c r="I934" s="318"/>
      <c r="J934" s="318"/>
      <c r="K934" s="318"/>
    </row>
    <row r="935">
      <c r="A935" s="318"/>
      <c r="B935" s="318"/>
      <c r="C935" s="318"/>
      <c r="D935" s="318"/>
      <c r="E935" s="318"/>
      <c r="F935" s="318"/>
      <c r="G935" s="318"/>
      <c r="H935" s="318"/>
      <c r="I935" s="318"/>
      <c r="J935" s="318"/>
      <c r="K935" s="318"/>
    </row>
    <row r="936">
      <c r="A936" s="318"/>
      <c r="B936" s="318"/>
      <c r="C936" s="318"/>
      <c r="D936" s="318"/>
      <c r="E936" s="318"/>
      <c r="F936" s="318"/>
      <c r="G936" s="318"/>
      <c r="H936" s="318"/>
      <c r="I936" s="318"/>
      <c r="J936" s="318"/>
      <c r="K936" s="318"/>
    </row>
    <row r="937">
      <c r="A937" s="318"/>
      <c r="B937" s="318"/>
      <c r="C937" s="318"/>
      <c r="D937" s="318"/>
      <c r="E937" s="318"/>
      <c r="F937" s="318"/>
      <c r="G937" s="318"/>
      <c r="H937" s="318"/>
      <c r="I937" s="318"/>
      <c r="J937" s="318"/>
      <c r="K937" s="318"/>
    </row>
    <row r="938">
      <c r="A938" s="318"/>
      <c r="B938" s="318"/>
      <c r="C938" s="318"/>
      <c r="D938" s="318"/>
      <c r="E938" s="318"/>
      <c r="F938" s="318"/>
      <c r="G938" s="318"/>
      <c r="H938" s="318"/>
      <c r="I938" s="318"/>
      <c r="J938" s="318"/>
      <c r="K938" s="318"/>
    </row>
    <row r="939">
      <c r="A939" s="318"/>
      <c r="B939" s="318"/>
      <c r="C939" s="318"/>
      <c r="D939" s="318"/>
      <c r="E939" s="318"/>
      <c r="F939" s="318"/>
      <c r="G939" s="318"/>
      <c r="H939" s="318"/>
      <c r="I939" s="318"/>
      <c r="J939" s="318"/>
      <c r="K939" s="318"/>
    </row>
    <row r="940">
      <c r="A940" s="318"/>
      <c r="B940" s="318"/>
      <c r="C940" s="318"/>
      <c r="D940" s="318"/>
      <c r="E940" s="318"/>
      <c r="F940" s="318"/>
      <c r="G940" s="318"/>
      <c r="H940" s="318"/>
      <c r="I940" s="318"/>
      <c r="J940" s="318"/>
      <c r="K940" s="318"/>
    </row>
    <row r="941">
      <c r="A941" s="318"/>
      <c r="B941" s="318"/>
      <c r="C941" s="318"/>
      <c r="D941" s="318"/>
      <c r="E941" s="318"/>
      <c r="F941" s="318"/>
      <c r="G941" s="318"/>
      <c r="H941" s="318"/>
      <c r="I941" s="318"/>
      <c r="J941" s="318"/>
      <c r="K941" s="318"/>
    </row>
    <row r="942">
      <c r="A942" s="318"/>
      <c r="B942" s="318"/>
      <c r="C942" s="318"/>
      <c r="D942" s="318"/>
      <c r="E942" s="318"/>
      <c r="F942" s="318"/>
      <c r="G942" s="318"/>
      <c r="H942" s="318"/>
      <c r="I942" s="318"/>
      <c r="J942" s="318"/>
      <c r="K942" s="318"/>
    </row>
    <row r="943">
      <c r="A943" s="318"/>
      <c r="B943" s="318"/>
      <c r="C943" s="318"/>
      <c r="D943" s="318"/>
      <c r="E943" s="318"/>
      <c r="F943" s="318"/>
      <c r="G943" s="318"/>
      <c r="H943" s="318"/>
      <c r="I943" s="318"/>
      <c r="J943" s="318"/>
      <c r="K943" s="318"/>
    </row>
    <row r="944">
      <c r="A944" s="318"/>
      <c r="B944" s="318"/>
      <c r="C944" s="318"/>
      <c r="D944" s="318"/>
      <c r="E944" s="318"/>
      <c r="F944" s="318"/>
      <c r="G944" s="318"/>
      <c r="H944" s="318"/>
      <c r="I944" s="318"/>
      <c r="J944" s="318"/>
      <c r="K944" s="318"/>
    </row>
    <row r="945">
      <c r="A945" s="318"/>
      <c r="B945" s="318"/>
      <c r="C945" s="318"/>
      <c r="D945" s="318"/>
      <c r="E945" s="318"/>
      <c r="F945" s="318"/>
      <c r="G945" s="318"/>
      <c r="H945" s="318"/>
      <c r="I945" s="318"/>
      <c r="J945" s="318"/>
      <c r="K945" s="318"/>
    </row>
    <row r="946">
      <c r="A946" s="318"/>
      <c r="B946" s="318"/>
      <c r="C946" s="318"/>
      <c r="D946" s="318"/>
      <c r="E946" s="318"/>
      <c r="F946" s="318"/>
      <c r="G946" s="318"/>
      <c r="H946" s="318"/>
      <c r="I946" s="318"/>
      <c r="J946" s="318"/>
      <c r="K946" s="318"/>
    </row>
    <row r="947">
      <c r="A947" s="318"/>
      <c r="B947" s="318"/>
      <c r="C947" s="318"/>
      <c r="D947" s="318"/>
      <c r="E947" s="318"/>
      <c r="F947" s="318"/>
      <c r="G947" s="318"/>
      <c r="H947" s="318"/>
      <c r="I947" s="318"/>
      <c r="J947" s="318"/>
      <c r="K947" s="318"/>
    </row>
    <row r="948">
      <c r="A948" s="318"/>
      <c r="B948" s="318"/>
      <c r="C948" s="318"/>
      <c r="D948" s="318"/>
      <c r="E948" s="318"/>
      <c r="F948" s="318"/>
      <c r="G948" s="318"/>
      <c r="H948" s="318"/>
      <c r="I948" s="318"/>
      <c r="J948" s="318"/>
      <c r="K948" s="318"/>
    </row>
    <row r="949">
      <c r="A949" s="318"/>
      <c r="B949" s="318"/>
      <c r="C949" s="318"/>
      <c r="D949" s="318"/>
      <c r="E949" s="318"/>
      <c r="F949" s="318"/>
      <c r="G949" s="318"/>
      <c r="H949" s="318"/>
      <c r="I949" s="318"/>
      <c r="J949" s="318"/>
      <c r="K949" s="318"/>
    </row>
    <row r="950">
      <c r="A950" s="318"/>
      <c r="B950" s="318"/>
      <c r="C950" s="318"/>
      <c r="D950" s="318"/>
      <c r="E950" s="318"/>
      <c r="F950" s="318"/>
      <c r="G950" s="318"/>
      <c r="H950" s="318"/>
      <c r="I950" s="318"/>
      <c r="J950" s="318"/>
      <c r="K950" s="318"/>
    </row>
    <row r="951">
      <c r="A951" s="318"/>
      <c r="B951" s="318"/>
      <c r="C951" s="318"/>
      <c r="D951" s="318"/>
      <c r="E951" s="318"/>
      <c r="F951" s="318"/>
      <c r="G951" s="318"/>
      <c r="H951" s="318"/>
      <c r="I951" s="318"/>
      <c r="J951" s="318"/>
      <c r="K951" s="318"/>
    </row>
    <row r="952">
      <c r="A952" s="318"/>
      <c r="B952" s="318"/>
      <c r="C952" s="318"/>
      <c r="D952" s="318"/>
      <c r="E952" s="318"/>
      <c r="F952" s="318"/>
      <c r="G952" s="318"/>
      <c r="H952" s="318"/>
      <c r="I952" s="318"/>
      <c r="J952" s="318"/>
      <c r="K952" s="318"/>
    </row>
    <row r="953">
      <c r="A953" s="318"/>
      <c r="B953" s="318"/>
      <c r="C953" s="318"/>
      <c r="D953" s="318"/>
      <c r="E953" s="318"/>
      <c r="F953" s="318"/>
      <c r="G953" s="318"/>
      <c r="H953" s="318"/>
      <c r="I953" s="318"/>
      <c r="J953" s="318"/>
      <c r="K953" s="318"/>
    </row>
    <row r="954">
      <c r="A954" s="318"/>
      <c r="B954" s="318"/>
      <c r="C954" s="318"/>
      <c r="D954" s="318"/>
      <c r="E954" s="318"/>
      <c r="F954" s="318"/>
      <c r="G954" s="318"/>
      <c r="H954" s="318"/>
      <c r="I954" s="318"/>
      <c r="J954" s="318"/>
      <c r="K954" s="318"/>
    </row>
    <row r="955">
      <c r="A955" s="318"/>
      <c r="B955" s="318"/>
      <c r="C955" s="318"/>
      <c r="D955" s="318"/>
      <c r="E955" s="318"/>
      <c r="F955" s="318"/>
      <c r="G955" s="318"/>
      <c r="H955" s="318"/>
      <c r="I955" s="318"/>
      <c r="J955" s="318"/>
      <c r="K955" s="318"/>
    </row>
    <row r="956">
      <c r="A956" s="318"/>
      <c r="B956" s="318"/>
      <c r="C956" s="318"/>
      <c r="D956" s="318"/>
      <c r="E956" s="318"/>
      <c r="F956" s="318"/>
      <c r="G956" s="318"/>
      <c r="H956" s="318"/>
      <c r="I956" s="318"/>
      <c r="J956" s="318"/>
      <c r="K956" s="318"/>
    </row>
    <row r="957">
      <c r="A957" s="318"/>
      <c r="B957" s="318"/>
      <c r="C957" s="318"/>
      <c r="D957" s="318"/>
      <c r="E957" s="318"/>
      <c r="F957" s="318"/>
      <c r="G957" s="318"/>
      <c r="H957" s="318"/>
      <c r="I957" s="318"/>
      <c r="J957" s="318"/>
      <c r="K957" s="318"/>
    </row>
    <row r="958">
      <c r="A958" s="318"/>
      <c r="B958" s="318"/>
      <c r="C958" s="318"/>
      <c r="D958" s="318"/>
      <c r="E958" s="318"/>
      <c r="F958" s="318"/>
      <c r="G958" s="318"/>
      <c r="H958" s="318"/>
      <c r="I958" s="318"/>
      <c r="J958" s="318"/>
      <c r="K958" s="318"/>
    </row>
    <row r="959">
      <c r="A959" s="318"/>
      <c r="B959" s="318"/>
      <c r="C959" s="318"/>
      <c r="D959" s="318"/>
      <c r="E959" s="318"/>
      <c r="F959" s="318"/>
      <c r="G959" s="318"/>
      <c r="H959" s="318"/>
      <c r="I959" s="318"/>
      <c r="J959" s="318"/>
      <c r="K959" s="318"/>
    </row>
    <row r="960">
      <c r="A960" s="318"/>
      <c r="B960" s="318"/>
      <c r="C960" s="318"/>
      <c r="D960" s="318"/>
      <c r="E960" s="318"/>
      <c r="F960" s="318"/>
      <c r="G960" s="318"/>
      <c r="H960" s="318"/>
      <c r="I960" s="318"/>
      <c r="J960" s="318"/>
      <c r="K960" s="318"/>
    </row>
    <row r="961">
      <c r="A961" s="318"/>
      <c r="B961" s="318"/>
      <c r="C961" s="318"/>
      <c r="D961" s="318"/>
      <c r="E961" s="318"/>
      <c r="F961" s="318"/>
      <c r="G961" s="318"/>
      <c r="H961" s="318"/>
      <c r="I961" s="318"/>
      <c r="J961" s="318"/>
      <c r="K961" s="318"/>
    </row>
    <row r="962">
      <c r="A962" s="318"/>
      <c r="B962" s="318"/>
      <c r="C962" s="318"/>
      <c r="D962" s="318"/>
      <c r="E962" s="318"/>
      <c r="F962" s="318"/>
      <c r="G962" s="318"/>
      <c r="H962" s="318"/>
      <c r="I962" s="318"/>
      <c r="J962" s="318"/>
      <c r="K962" s="318"/>
    </row>
    <row r="963">
      <c r="A963" s="318"/>
      <c r="B963" s="318"/>
      <c r="C963" s="318"/>
      <c r="D963" s="318"/>
      <c r="E963" s="318"/>
      <c r="F963" s="318"/>
      <c r="G963" s="318"/>
      <c r="H963" s="318"/>
      <c r="I963" s="318"/>
      <c r="J963" s="318"/>
      <c r="K963" s="318"/>
    </row>
    <row r="964">
      <c r="A964" s="318"/>
      <c r="B964" s="318"/>
      <c r="C964" s="318"/>
      <c r="D964" s="318"/>
      <c r="E964" s="318"/>
      <c r="F964" s="318"/>
      <c r="G964" s="318"/>
      <c r="H964" s="318"/>
      <c r="I964" s="318"/>
      <c r="J964" s="318"/>
      <c r="K964" s="318"/>
    </row>
    <row r="965">
      <c r="A965" s="318"/>
      <c r="B965" s="318"/>
      <c r="C965" s="318"/>
      <c r="D965" s="318"/>
      <c r="E965" s="318"/>
      <c r="F965" s="318"/>
      <c r="G965" s="318"/>
      <c r="H965" s="318"/>
      <c r="I965" s="318"/>
      <c r="J965" s="318"/>
      <c r="K965" s="318"/>
    </row>
    <row r="966">
      <c r="A966" s="318"/>
      <c r="B966" s="318"/>
      <c r="C966" s="318"/>
      <c r="D966" s="318"/>
      <c r="E966" s="318"/>
      <c r="F966" s="318"/>
      <c r="G966" s="318"/>
      <c r="H966" s="318"/>
      <c r="I966" s="318"/>
      <c r="J966" s="318"/>
      <c r="K966" s="318"/>
    </row>
    <row r="967">
      <c r="A967" s="318"/>
      <c r="B967" s="318"/>
      <c r="C967" s="318"/>
      <c r="D967" s="318"/>
      <c r="E967" s="318"/>
      <c r="F967" s="318"/>
      <c r="G967" s="318"/>
      <c r="H967" s="318"/>
      <c r="I967" s="318"/>
      <c r="J967" s="318"/>
      <c r="K967" s="318"/>
    </row>
    <row r="968">
      <c r="A968" s="318"/>
      <c r="B968" s="318"/>
      <c r="C968" s="318"/>
      <c r="D968" s="318"/>
      <c r="E968" s="318"/>
      <c r="F968" s="318"/>
      <c r="G968" s="318"/>
      <c r="H968" s="318"/>
      <c r="I968" s="318"/>
      <c r="J968" s="318"/>
      <c r="K968" s="318"/>
    </row>
    <row r="969">
      <c r="A969" s="318"/>
      <c r="B969" s="318"/>
      <c r="C969" s="318"/>
      <c r="D969" s="318"/>
      <c r="E969" s="318"/>
      <c r="F969" s="318"/>
      <c r="G969" s="318"/>
      <c r="H969" s="318"/>
      <c r="I969" s="318"/>
      <c r="J969" s="318"/>
      <c r="K969" s="318"/>
    </row>
    <row r="970">
      <c r="A970" s="318"/>
      <c r="B970" s="318"/>
      <c r="C970" s="318"/>
      <c r="D970" s="318"/>
      <c r="E970" s="318"/>
      <c r="F970" s="318"/>
      <c r="G970" s="318"/>
      <c r="H970" s="318"/>
      <c r="I970" s="318"/>
      <c r="J970" s="318"/>
      <c r="K970" s="318"/>
    </row>
    <row r="971">
      <c r="A971" s="318"/>
      <c r="B971" s="318"/>
      <c r="C971" s="318"/>
      <c r="D971" s="318"/>
      <c r="E971" s="318"/>
      <c r="F971" s="318"/>
      <c r="G971" s="318"/>
      <c r="H971" s="318"/>
      <c r="I971" s="318"/>
      <c r="J971" s="318"/>
      <c r="K971" s="318"/>
    </row>
    <row r="972">
      <c r="A972" s="318"/>
      <c r="B972" s="318"/>
      <c r="C972" s="318"/>
      <c r="D972" s="318"/>
      <c r="E972" s="318"/>
      <c r="F972" s="318"/>
      <c r="G972" s="318"/>
      <c r="H972" s="318"/>
      <c r="I972" s="318"/>
      <c r="J972" s="318"/>
      <c r="K972" s="318"/>
    </row>
    <row r="973">
      <c r="A973" s="318"/>
      <c r="B973" s="318"/>
      <c r="C973" s="318"/>
      <c r="D973" s="318"/>
      <c r="E973" s="318"/>
      <c r="F973" s="318"/>
      <c r="G973" s="318"/>
      <c r="H973" s="318"/>
      <c r="I973" s="318"/>
      <c r="J973" s="318"/>
      <c r="K973" s="318"/>
    </row>
    <row r="974">
      <c r="A974" s="318"/>
      <c r="B974" s="318"/>
      <c r="C974" s="318"/>
      <c r="D974" s="318"/>
      <c r="E974" s="318"/>
      <c r="F974" s="318"/>
      <c r="G974" s="318"/>
      <c r="H974" s="318"/>
      <c r="I974" s="318"/>
      <c r="J974" s="318"/>
      <c r="K974" s="318"/>
    </row>
    <row r="975">
      <c r="A975" s="318"/>
      <c r="B975" s="318"/>
      <c r="C975" s="318"/>
      <c r="D975" s="318"/>
      <c r="E975" s="318"/>
      <c r="F975" s="318"/>
      <c r="G975" s="318"/>
      <c r="H975" s="318"/>
      <c r="I975" s="318"/>
      <c r="J975" s="318"/>
      <c r="K975" s="318"/>
    </row>
    <row r="976">
      <c r="A976" s="318"/>
      <c r="B976" s="318"/>
      <c r="C976" s="318"/>
      <c r="D976" s="318"/>
      <c r="E976" s="318"/>
      <c r="F976" s="318"/>
      <c r="G976" s="318"/>
      <c r="H976" s="318"/>
      <c r="I976" s="318"/>
      <c r="J976" s="318"/>
      <c r="K976" s="318"/>
    </row>
    <row r="977">
      <c r="A977" s="318"/>
      <c r="B977" s="318"/>
      <c r="C977" s="318"/>
      <c r="D977" s="318"/>
      <c r="E977" s="318"/>
      <c r="F977" s="318"/>
      <c r="G977" s="318"/>
      <c r="H977" s="318"/>
      <c r="I977" s="318"/>
      <c r="J977" s="318"/>
      <c r="K977" s="318"/>
    </row>
    <row r="978">
      <c r="A978" s="318"/>
      <c r="B978" s="318"/>
      <c r="C978" s="318"/>
      <c r="D978" s="318"/>
      <c r="E978" s="318"/>
      <c r="F978" s="318"/>
      <c r="G978" s="318"/>
      <c r="H978" s="318"/>
      <c r="I978" s="318"/>
      <c r="J978" s="318"/>
      <c r="K978" s="318"/>
    </row>
    <row r="979">
      <c r="A979" s="318"/>
      <c r="B979" s="318"/>
      <c r="C979" s="318"/>
      <c r="D979" s="318"/>
      <c r="E979" s="318"/>
      <c r="F979" s="318"/>
      <c r="G979" s="318"/>
      <c r="H979" s="318"/>
      <c r="I979" s="318"/>
      <c r="J979" s="318"/>
      <c r="K979" s="318"/>
    </row>
    <row r="980">
      <c r="A980" s="318"/>
      <c r="B980" s="318"/>
      <c r="C980" s="318"/>
      <c r="D980" s="318"/>
      <c r="E980" s="318"/>
      <c r="F980" s="318"/>
      <c r="G980" s="318"/>
      <c r="H980" s="318"/>
      <c r="I980" s="318"/>
      <c r="J980" s="318"/>
      <c r="K980" s="318"/>
    </row>
    <row r="981">
      <c r="A981" s="318"/>
      <c r="B981" s="318"/>
      <c r="C981" s="318"/>
      <c r="D981" s="318"/>
      <c r="E981" s="318"/>
      <c r="F981" s="318"/>
      <c r="G981" s="318"/>
      <c r="H981" s="318"/>
      <c r="I981" s="318"/>
      <c r="J981" s="318"/>
      <c r="K981" s="318"/>
    </row>
    <row r="982">
      <c r="A982" s="318"/>
      <c r="B982" s="318"/>
      <c r="C982" s="318"/>
      <c r="D982" s="318"/>
      <c r="E982" s="318"/>
      <c r="F982" s="318"/>
      <c r="G982" s="318"/>
      <c r="H982" s="318"/>
      <c r="I982" s="318"/>
      <c r="J982" s="318"/>
      <c r="K982" s="318"/>
    </row>
    <row r="983">
      <c r="A983" s="318"/>
      <c r="B983" s="318"/>
      <c r="C983" s="318"/>
      <c r="D983" s="318"/>
      <c r="E983" s="318"/>
      <c r="F983" s="318"/>
      <c r="G983" s="318"/>
      <c r="H983" s="318"/>
      <c r="I983" s="318"/>
      <c r="J983" s="318"/>
      <c r="K983" s="318"/>
    </row>
    <row r="984">
      <c r="A984" s="318"/>
      <c r="B984" s="318"/>
      <c r="C984" s="318"/>
      <c r="D984" s="318"/>
      <c r="E984" s="318"/>
      <c r="F984" s="318"/>
      <c r="G984" s="318"/>
      <c r="H984" s="318"/>
      <c r="I984" s="318"/>
      <c r="J984" s="318"/>
      <c r="K984" s="318"/>
    </row>
    <row r="985">
      <c r="A985" s="318"/>
      <c r="B985" s="318"/>
      <c r="C985" s="318"/>
      <c r="D985" s="318"/>
      <c r="E985" s="318"/>
      <c r="F985" s="318"/>
      <c r="G985" s="318"/>
      <c r="H985" s="318"/>
      <c r="I985" s="318"/>
      <c r="J985" s="318"/>
      <c r="K985" s="318"/>
    </row>
    <row r="986">
      <c r="A986" s="318"/>
      <c r="B986" s="318"/>
      <c r="C986" s="318"/>
      <c r="D986" s="318"/>
      <c r="E986" s="318"/>
      <c r="F986" s="318"/>
      <c r="G986" s="318"/>
      <c r="H986" s="318"/>
      <c r="I986" s="318"/>
      <c r="J986" s="318"/>
      <c r="K986" s="318"/>
    </row>
    <row r="987">
      <c r="A987" s="318"/>
      <c r="B987" s="318"/>
      <c r="C987" s="318"/>
      <c r="D987" s="318"/>
      <c r="E987" s="318"/>
      <c r="F987" s="318"/>
      <c r="G987" s="318"/>
      <c r="H987" s="318"/>
      <c r="I987" s="318"/>
      <c r="J987" s="318"/>
      <c r="K987" s="318"/>
    </row>
    <row r="988">
      <c r="A988" s="318"/>
      <c r="B988" s="318"/>
      <c r="C988" s="318"/>
      <c r="D988" s="318"/>
      <c r="E988" s="318"/>
      <c r="F988" s="318"/>
      <c r="G988" s="318"/>
      <c r="H988" s="318"/>
      <c r="I988" s="318"/>
      <c r="J988" s="318"/>
      <c r="K988" s="318"/>
    </row>
    <row r="989">
      <c r="A989" s="318"/>
      <c r="B989" s="318"/>
      <c r="C989" s="318"/>
      <c r="D989" s="318"/>
      <c r="E989" s="318"/>
      <c r="F989" s="318"/>
      <c r="G989" s="318"/>
      <c r="H989" s="318"/>
      <c r="I989" s="318"/>
      <c r="J989" s="318"/>
      <c r="K989" s="318"/>
    </row>
    <row r="990">
      <c r="A990" s="318"/>
      <c r="B990" s="318"/>
      <c r="C990" s="318"/>
      <c r="D990" s="318"/>
      <c r="E990" s="318"/>
      <c r="F990" s="318"/>
      <c r="G990" s="318"/>
      <c r="H990" s="318"/>
      <c r="I990" s="318"/>
      <c r="J990" s="318"/>
      <c r="K990" s="318"/>
    </row>
    <row r="991">
      <c r="A991" s="318"/>
      <c r="B991" s="318"/>
      <c r="C991" s="318"/>
      <c r="D991" s="318"/>
      <c r="E991" s="318"/>
      <c r="F991" s="318"/>
      <c r="G991" s="318"/>
      <c r="H991" s="318"/>
      <c r="I991" s="318"/>
      <c r="J991" s="318"/>
      <c r="K991" s="318"/>
    </row>
    <row r="992">
      <c r="A992" s="318"/>
      <c r="B992" s="318"/>
      <c r="C992" s="318"/>
      <c r="D992" s="318"/>
      <c r="E992" s="318"/>
      <c r="F992" s="318"/>
      <c r="G992" s="318"/>
      <c r="H992" s="318"/>
      <c r="I992" s="318"/>
      <c r="J992" s="318"/>
      <c r="K992" s="318"/>
    </row>
    <row r="993">
      <c r="A993" s="318"/>
      <c r="B993" s="318"/>
      <c r="C993" s="318"/>
      <c r="D993" s="318"/>
      <c r="E993" s="318"/>
      <c r="F993" s="318"/>
      <c r="G993" s="318"/>
      <c r="H993" s="318"/>
      <c r="I993" s="318"/>
      <c r="J993" s="318"/>
      <c r="K993" s="318"/>
    </row>
    <row r="994">
      <c r="A994" s="318"/>
      <c r="B994" s="318"/>
      <c r="C994" s="318"/>
      <c r="D994" s="318"/>
      <c r="E994" s="318"/>
      <c r="F994" s="318"/>
      <c r="G994" s="318"/>
      <c r="H994" s="318"/>
      <c r="I994" s="318"/>
      <c r="J994" s="318"/>
      <c r="K994" s="318"/>
    </row>
    <row r="995">
      <c r="A995" s="318"/>
      <c r="B995" s="318"/>
      <c r="C995" s="318"/>
      <c r="D995" s="318"/>
      <c r="E995" s="318"/>
      <c r="F995" s="318"/>
      <c r="G995" s="318"/>
      <c r="H995" s="318"/>
      <c r="I995" s="318"/>
      <c r="J995" s="318"/>
      <c r="K995" s="318"/>
    </row>
    <row r="996">
      <c r="A996" s="318"/>
      <c r="B996" s="318"/>
      <c r="C996" s="318"/>
      <c r="D996" s="318"/>
      <c r="E996" s="318"/>
      <c r="F996" s="318"/>
      <c r="G996" s="318"/>
      <c r="H996" s="318"/>
      <c r="I996" s="318"/>
      <c r="J996" s="318"/>
      <c r="K996" s="318"/>
    </row>
    <row r="997">
      <c r="A997" s="318"/>
      <c r="B997" s="318"/>
      <c r="C997" s="318"/>
      <c r="D997" s="318"/>
      <c r="E997" s="318"/>
      <c r="F997" s="318"/>
      <c r="G997" s="318"/>
      <c r="H997" s="318"/>
      <c r="I997" s="318"/>
      <c r="J997" s="318"/>
      <c r="K997" s="318"/>
    </row>
    <row r="998">
      <c r="A998" s="318"/>
      <c r="B998" s="318"/>
      <c r="C998" s="318"/>
      <c r="D998" s="318"/>
      <c r="E998" s="318"/>
      <c r="F998" s="318"/>
      <c r="G998" s="318"/>
      <c r="H998" s="318"/>
      <c r="I998" s="318"/>
      <c r="J998" s="318"/>
      <c r="K998" s="318"/>
    </row>
    <row r="999">
      <c r="A999" s="318"/>
      <c r="B999" s="318"/>
      <c r="C999" s="318"/>
      <c r="D999" s="318"/>
      <c r="E999" s="318"/>
      <c r="F999" s="318"/>
      <c r="G999" s="318"/>
      <c r="H999" s="318"/>
      <c r="I999" s="318"/>
      <c r="J999" s="318"/>
      <c r="K999" s="318"/>
    </row>
    <row r="1000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</row>
  </sheetData>
  <mergeCells count="4">
    <mergeCell ref="A1:K2"/>
    <mergeCell ref="D3:E3"/>
    <mergeCell ref="F3:K3"/>
    <mergeCell ref="A4:K4"/>
  </mergeCells>
  <dataValidations>
    <dataValidation type="custom" allowBlank="1" showDropDown="1" showErrorMessage="1" sqref="B3 D3">
      <formula1>OR(NOT(ISERROR(DATEVALUE(B3))), AND(ISNUMBER(B3), LEFT(CELL("format", B3))="D"))</formula1>
    </dataValidation>
  </dataValidations>
  <drawing r:id="rId1"/>
  <tableParts count="1">
    <tablePart r:id="rId3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7" t="str">
        <f>IFERROR(__xludf.DUMMYFUNCTION("QUERY(SmallScale!A4:K1000,""SELECT *"" &amp; IF(COUNTBLANK(HelperFormulas!A32:A33)=2,"""","" WHERE "" &amp; TEXTJOIN("" AND "", TRUE, HelperFormulas!A32:A33)),1)"),"DATE")</f>
        <v>DATE</v>
      </c>
      <c r="B1" s="96" t="str">
        <f>IFERROR(__xludf.DUMMYFUNCTION("""COMPUTED_VALUE"""),"NAMES")</f>
        <v>NAMES</v>
      </c>
      <c r="C1" s="96" t="str">
        <f>IFERROR(__xludf.DUMMYFUNCTION("""COMPUTED_VALUE"""),"GROSS WT")</f>
        <v>GROSS WT</v>
      </c>
      <c r="D1" s="96" t="str">
        <f>IFERROR(__xludf.DUMMYFUNCTION("""COMPUTED_VALUE"""),"TAR WEIGHT")</f>
        <v>TAR WEIGHT</v>
      </c>
      <c r="E1" s="96" t="str">
        <f>IFERROR(__xludf.DUMMYFUNCTION("""COMPUTED_VALUE"""),"DISCOUNT")</f>
        <v>DISCOUNT</v>
      </c>
      <c r="F1" s="96" t="str">
        <f>IFERROR(__xludf.DUMMYFUNCTION("""COMPUTED_VALUE"""),"UNIT PRICE")</f>
        <v>UNIT PRICE</v>
      </c>
      <c r="G1" s="96" t="str">
        <f>IFERROR(__xludf.DUMMYFUNCTION("""COMPUTED_VALUE""")," BAGS")</f>
        <v> BAGS</v>
      </c>
      <c r="H1" s="96" t="str">
        <f>IFERROR(__xludf.DUMMYFUNCTION("""COMPUTED_VALUE"""),"KGS")</f>
        <v>KGS</v>
      </c>
      <c r="I1" s="96" t="str">
        <f>IFERROR(__xludf.DUMMYFUNCTION("""COMPUTED_VALUE"""),"AMOUNT")</f>
        <v>AMOUNT</v>
      </c>
      <c r="J1" s="96" t="str">
        <f>IFERROR(__xludf.DUMMYFUNCTION("""COMPUTED_VALUE"""),"NET WEIGHT")</f>
        <v>NET WEIGHT</v>
      </c>
      <c r="K1" s="96" t="str">
        <f>IFERROR(__xludf.DUMMYFUNCTION("""COMPUTED_VALUE"""),"PAYABLE")</f>
        <v>PAYABLE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  <col customWidth="1" min="5" max="5" width="14.5"/>
    <col customWidth="1" min="6" max="6" width="19.75"/>
  </cols>
  <sheetData>
    <row r="1">
      <c r="D1" s="97" t="str">
        <f>IF(ISBLANK(D2),"","B &gt;= Date '" &amp; TEXT(D2, "YYYY-MM-DD") &amp; "'")</f>
        <v>B &gt;= Date '2020-10-22'</v>
      </c>
      <c r="M1" s="101" t="s">
        <v>644</v>
      </c>
      <c r="N1" s="101" t="s">
        <v>645</v>
      </c>
    </row>
    <row r="2">
      <c r="A2" s="96" t="str">
        <f>IF(ISBLANK(Dashboard!B3),"","B &gt;= Date '" &amp; TEXT(Dashboard!B3, "YYYY-MM-DD") &amp; "'")</f>
        <v>B &gt;= Date '2020-10-23'</v>
      </c>
      <c r="D2" s="323">
        <f>DATE(YEAR(Dashboard!B3),MONTH(Dashboard!B3),DAY(Dashboard!B3)-1)</f>
        <v>44126</v>
      </c>
      <c r="H2" s="324" t="s">
        <v>646</v>
      </c>
      <c r="I2" s="95">
        <f>SUM(WarehouseSScale!G2:G999)+INT(sum(WarehouseSScale!H2:H999)/64)</f>
        <v>0</v>
      </c>
      <c r="J2" s="325">
        <f>SUM(WarehouseSScale!H2:H999)+INT(sum(WarehouseSScale!H2:H999)/64)</f>
        <v>0</v>
      </c>
      <c r="K2" s="326"/>
      <c r="M2" s="99">
        <f>Dashboard!L6</f>
        <v>0</v>
      </c>
      <c r="N2" s="99">
        <f>Dashboard!L12</f>
        <v>1810500</v>
      </c>
    </row>
    <row r="3">
      <c r="A3" s="96" t="str">
        <f>IF(ISBLANK(Dashboard!D3),"","B &lt;= Date '" &amp; TEXT(Dashboard!D3, "YYYY-MM-DD") &amp; "'")</f>
        <v>B &lt;= Date '2020-10-23'</v>
      </c>
      <c r="F3" s="327" t="s">
        <v>647</v>
      </c>
      <c r="G3" s="327" t="s">
        <v>648</v>
      </c>
      <c r="H3" s="328"/>
      <c r="I3" s="95">
        <f>SUM(TempPrefinance!O3:O1299)+INT(sum(TempPrefinance!P3:P999)/64)</f>
        <v>0</v>
      </c>
      <c r="J3" s="325">
        <f>SUM(TempSmallscale!H5:H1800)+INT(sum(TempSmallscale!I5:I999)/64)</f>
        <v>0</v>
      </c>
    </row>
    <row r="4">
      <c r="F4" s="96">
        <f>I3+J3</f>
        <v>0</v>
      </c>
      <c r="G4" s="96">
        <f>(((SUM(TempSmallscale!I5:I1800))/64-TRUNC((SUM(TempSmallscale!I5:I1800))/64))*64) +(((SUM(TempPrefinance!P3:P1299))/64-TRUNC((SUM(TempPrefinance!P3:P1299))/64))*64)</f>
        <v>0</v>
      </c>
      <c r="M4" s="96" t="str">
        <f>IF(ISBLANK(F17),"","B = Date '" &amp; TEXT(F17, "YYYY-MM-DD") &amp; "'")</f>
        <v>B = Date '2020-10-22'</v>
      </c>
    </row>
    <row r="5">
      <c r="H5" s="329"/>
    </row>
    <row r="6">
      <c r="A6" s="96" t="str">
        <f>IF(ISBLANK(Dashboard!B3),"","A &gt;= Date '" &amp; TEXT(Dashboard!B3, "YYYY-MM-DD") &amp; "'")</f>
        <v>A &gt;= Date '2020-10-23'</v>
      </c>
      <c r="C6" s="330" t="str">
        <f>IF(SUM(TempSmallscale!H5:H1800)+INT(sum(TempSmallscale!I5:I999)/64)&gt;1,SUM(TempSmallscale!H5:H1800)+INT(sum(TempSmallscale!I5:I999)/64) &amp; " BAGS " ,SUM(TempSmallscale!H5:H1800)+INT(sum(TempSmallscale!I5:I999)/64) &amp; " BAG ")&amp; " &amp; "&amp;IF((((SUM(TempSmallscale!I5:I1800))/64-TRUNC((SUM(TempSmallscale!I5:I1800))/64))*64) &gt;1,(((SUM(TempSmallscale!I5:I1800))/64-TRUNC((SUM(TempSmallscale!I5:I1800))/64))*64) &amp; " KGS ",(((SUM(TempSmallscale!I5:I1800))/64-TRUNC((SUM(TempSmallscale!I5:I1800))/64))*64) &amp; " KG")</f>
        <v>0 BAG  &amp; 0 KG</v>
      </c>
    </row>
    <row r="7">
      <c r="A7" s="96" t="str">
        <f>IF(ISBLANK(Dashboard!D3),"","A &lt;= Date '" &amp; TEXT(Dashboard!D3, "YYYY-MM-DD") &amp; "'")</f>
        <v>A &lt;= Date '2020-10-23'</v>
      </c>
      <c r="C7" s="330" t="str">
        <f>IF(SUM(TempPrefinance!O3:O1299)+INT(sum(TempPrefinance!P3:P999)/64)&gt;1,SUM(TempPrefinance!O3:O1299)+INT(sum(TempPrefinance!P3:P999)/64) &amp; " BAGS " ,SUM(TempPrefinance!O3:O1299)+INT(sum(TempPrefinance!P3:P999)/64)&amp;" BAG ")&amp; " &amp; "&amp;IF( (((SUM(TempPrefinance!P3:P1299))/64-TRUNC((SUM(TempPrefinance!P3:P1299))/64))*64)&gt;1,(((SUM(TempPrefinance!P3:P1299))/64-TRUNC((SUM(TempPrefinance!P3:P1299))/64))*64) &amp; " KGS",(((SUM(TempPrefinance!P3:P1299))/64-TRUNC((SUM(TempPrefinance!P3:P1299))/64))*64)&amp;" KG")</f>
        <v>0 BAG  &amp; 0 KG</v>
      </c>
      <c r="E7" s="331" t="s">
        <v>649</v>
      </c>
      <c r="F7" s="327" t="s">
        <v>647</v>
      </c>
      <c r="G7" s="327" t="s">
        <v>648</v>
      </c>
      <c r="H7" s="328"/>
      <c r="I7" s="95">
        <f>SUM(WarehousePfnance!O3:O1303)+INT(sum(WarehousePfnance!P3:P1003)/64)</f>
        <v>0</v>
      </c>
      <c r="J7" s="325">
        <f>SUM(WarehouseSScale!G3:G1804)+INT(sum(WarehouseSScale!H3:H1003)/64)</f>
        <v>0</v>
      </c>
      <c r="K7" s="332" t="str">
        <f>IF(F8&gt;1,F8&amp; " BAGS",F8&amp;" BAG") &amp; " "&amp;IF(G8&gt;1,G8&amp; " KGS",G8&amp;" KG")</f>
        <v>0 BAG 0 KG</v>
      </c>
      <c r="L7" s="332" t="str">
        <f>IF(G8&gt;1,G8&amp; " KGS",G8&amp;" KG")</f>
        <v>0 KG</v>
      </c>
    </row>
    <row r="8">
      <c r="F8" s="96">
        <f>I7+J7</f>
        <v>0</v>
      </c>
      <c r="G8" s="96">
        <f>(((SUM(WarehouseSScale!H3:H1804))/64-TRUNC((SUM(WarehouseSScale!H3:H1804))/64))*64) +(((SUM(WarehousePfnance!P3:P1303))/64-TRUNC((SUM(WarehousePfnance!P3:P1303))/64))*64)</f>
        <v>0</v>
      </c>
    </row>
    <row r="9">
      <c r="I9" s="333" t="s">
        <v>650</v>
      </c>
      <c r="J9" s="333" t="s">
        <v>651</v>
      </c>
    </row>
    <row r="10">
      <c r="A10" s="101" t="s">
        <v>652</v>
      </c>
      <c r="B10" s="101" t="s">
        <v>653</v>
      </c>
      <c r="C10" s="101" t="s">
        <v>575</v>
      </c>
      <c r="D10" s="101" t="s">
        <v>654</v>
      </c>
      <c r="E10" s="331" t="s">
        <v>575</v>
      </c>
      <c r="F10" s="327" t="s">
        <v>647</v>
      </c>
      <c r="G10" s="327" t="s">
        <v>648</v>
      </c>
      <c r="H10" s="328"/>
      <c r="I10" s="95">
        <f>SUM(BBFpf!O2:O1306)+INT(sum(BBFpf!P2:P1006)/64)</f>
        <v>1906</v>
      </c>
      <c r="J10" s="325">
        <f>SUM(BBFss!G3:G1807)+INT(sum(BBFss!H3:H1006)/64)</f>
        <v>262</v>
      </c>
    </row>
    <row r="11">
      <c r="A11" s="95">
        <f>F4+(INT(sum(G4)/64))</f>
        <v>0</v>
      </c>
      <c r="B11" s="334">
        <f>F8+(INT(sum(G8)/64))</f>
        <v>0</v>
      </c>
      <c r="C11" s="95">
        <f>F11+(INT(sum(G11)/64))</f>
        <v>2169</v>
      </c>
      <c r="D11" s="97">
        <f>F20+(INT(sum(G20)/64))</f>
        <v>2169</v>
      </c>
      <c r="F11" s="96">
        <f>I10+J10</f>
        <v>2168</v>
      </c>
      <c r="G11" s="96">
        <f>(((SUM(BBFss!H3:H1807))/64-TRUNC((SUM(BBFss!H3:H1807))/64))*64) +(((SUM(BBFpf!P2:P1306))/64-TRUNC((SUM(BBFpf!P2:P1306))/64))*64)</f>
        <v>87</v>
      </c>
    </row>
    <row r="12">
      <c r="A12" s="95">
        <f>((SUM(G4)/64-TRUNC((SUM(G4))/64))*64)</f>
        <v>0</v>
      </c>
      <c r="B12" s="95">
        <f>((SUM(G8)/64-TRUNC((SUM(G8))/64))*64)</f>
        <v>0</v>
      </c>
      <c r="C12" s="97">
        <f>((SUM(G11)/64-TRUNC((SUM(G11))/64))*64)</f>
        <v>23</v>
      </c>
      <c r="D12" s="97">
        <f>((SUM(G20)/64-TRUNC((SUM(G20))/64))*64)</f>
        <v>23</v>
      </c>
    </row>
    <row r="13">
      <c r="D13" s="101" t="s">
        <v>655</v>
      </c>
      <c r="F13" s="335" t="s">
        <v>575</v>
      </c>
      <c r="G13" s="101" t="s">
        <v>656</v>
      </c>
    </row>
    <row r="14">
      <c r="B14" s="336">
        <f>COUNTBLANK(HelperFormulas!A6:A7)</f>
        <v>0</v>
      </c>
      <c r="C14" s="101" t="s">
        <v>657</v>
      </c>
      <c r="D14" s="97" t="str">
        <f>IF(ISBLANK(Dashboard!B3),"","A = Date '" &amp; TEXT(Dashboard!B3, "YYYY-MM-DD") &amp; "'")</f>
        <v>A = Date '2020-10-23'</v>
      </c>
      <c r="F14" s="97" t="str">
        <f>IF(ISBLANK(F17),"","A &lt;= Date '" &amp; TEXT(F17, "YYYY-MM-DD") &amp; "'")</f>
        <v>A &lt;= Date '2020-10-22'</v>
      </c>
      <c r="G14" s="96">
        <f>(D11*64)+D12</f>
        <v>138839</v>
      </c>
    </row>
    <row r="15">
      <c r="D15" s="96" t="str">
        <f>IF(I2&gt;1,I2&amp; " BAGS",I2&amp;" BAG") &amp; " "&amp;IF(J2&gt;1,J2&amp; " KGS",J2&amp;" KG")</f>
        <v>0 BAG 0 KG</v>
      </c>
      <c r="G15" s="97"/>
      <c r="I15" s="101" t="s">
        <v>658</v>
      </c>
    </row>
    <row r="16">
      <c r="C16" s="101" t="s">
        <v>659</v>
      </c>
      <c r="D16" s="97" t="str">
        <f>IF(ISBLANK(Dashboard!B3),"","B = Date '" &amp; TEXT(Dashboard!B3, "YYYY-MM-DD") &amp; "'")</f>
        <v>B = Date '2020-10-23'</v>
      </c>
      <c r="F16" s="97" t="str">
        <f>IF(ISBLANK(F17),"","B &lt;= Date '" &amp; TEXT(F17, "YYYY-MM-DD") &amp; "'")</f>
        <v>B &lt;= Date '2020-10-22'</v>
      </c>
      <c r="G16" s="97"/>
      <c r="I16" s="101" t="s">
        <v>660</v>
      </c>
    </row>
    <row r="17">
      <c r="D17" s="101" t="s">
        <v>661</v>
      </c>
      <c r="F17" s="98">
        <f>DATE(YEAR(Dashboard!D6),MONTH(Dashboard!D6),DAY(Dashboard!D6)-1)</f>
        <v>44126</v>
      </c>
      <c r="G17" s="97"/>
    </row>
    <row r="18">
      <c r="A18" s="2" t="s">
        <v>662</v>
      </c>
      <c r="B18" s="2" t="s">
        <v>663</v>
      </c>
      <c r="C18" s="101" t="s">
        <v>664</v>
      </c>
      <c r="D18" s="97" t="str">
        <f>IF(ISBLANK(F17),"","A &lt;= Date '" &amp; TEXT(F17, "YYYY-MM-DD") &amp; "'")</f>
        <v>A &lt;= Date '2020-10-22'</v>
      </c>
      <c r="E18" s="337"/>
      <c r="F18" s="97"/>
      <c r="G18" s="97"/>
      <c r="H18" s="338"/>
    </row>
    <row r="19">
      <c r="A19" s="339">
        <f>(SUM(TempFinOps!U2:U999)+SUM(TempFinOps!W2:W999))-(((SUM(WarehousePfnance!AF2:AF999)+SUM(TempFinOps!S2:S999))+((SUM(TempFinOps!V2:V999)))))</f>
        <v>1810500</v>
      </c>
      <c r="B19" s="339">
        <f>SUM(TempFinOps!V2:V999)-(SUM(WarehouseSScale!V3:V999)+SUM(TempFinOps!T2:T999)+SUM(TempFinOps!W2:W999))</f>
        <v>0</v>
      </c>
      <c r="C19" s="99">
        <f>SUM(BBFfnce!I2:I999)-(SUM(BBFss!I3:I999)+SUM(BBFfnce!G2:G999))</f>
        <v>-13334830</v>
      </c>
      <c r="D19" s="97" t="str">
        <f>IF(ISBLANK(F17),"","B &lt;= Date '" &amp; TEXT(F17, "YYYY-MM-DD") &amp; "'")</f>
        <v>B &lt;= Date '2020-10-22'</v>
      </c>
      <c r="E19" s="331" t="s">
        <v>575</v>
      </c>
      <c r="F19" s="327" t="s">
        <v>647</v>
      </c>
      <c r="G19" s="327" t="s">
        <v>648</v>
      </c>
      <c r="H19" s="328"/>
      <c r="I19" s="95">
        <f>SUM(BBFpf!O11:O1315)+INT(sum(BBFpf!P11:P1015)/64)</f>
        <v>1906</v>
      </c>
      <c r="J19" s="325">
        <f>SUM(BBFss!G12:G1816)+INT(sum(BBFss!H12:H1015)/64)</f>
        <v>238</v>
      </c>
    </row>
    <row r="20">
      <c r="C20" s="101" t="s">
        <v>665</v>
      </c>
      <c r="F20" s="96">
        <f>C11+B11</f>
        <v>2169</v>
      </c>
      <c r="G20" s="96">
        <f>C12+B12</f>
        <v>23</v>
      </c>
    </row>
    <row r="21">
      <c r="A21" s="101" t="s">
        <v>666</v>
      </c>
      <c r="C21" s="99">
        <f>SUM(BBFfnce!H2:H999)-(SUM(BBFfnce!F2:F999)+SUM(BBFfnce!I2:I999)+SUM(BBFpf!K2:K999))</f>
        <v>-273693990</v>
      </c>
    </row>
    <row r="22">
      <c r="A22" s="96">
        <f>SUM(wareEvacuate!E2:E999)</f>
        <v>0</v>
      </c>
      <c r="D22" s="96">
        <f>SUM(BBFpf!K2:K999)</f>
        <v>338294435</v>
      </c>
    </row>
    <row r="23">
      <c r="A23" s="101" t="s">
        <v>667</v>
      </c>
    </row>
    <row r="24">
      <c r="A24" s="96">
        <f>SUM(BBFevaquate!E3:E999)</f>
        <v>100</v>
      </c>
    </row>
    <row r="26">
      <c r="B26" s="335"/>
    </row>
    <row r="28">
      <c r="A28" s="340" t="s">
        <v>668</v>
      </c>
    </row>
    <row r="29">
      <c r="A29" s="96" t="str">
        <f>IF(ISBLANK('Non Cocoa History'!B3),"","A &gt;= Date '" &amp; TEXT('Non Cocoa History'!B3, "YYYY-MM-DD") &amp; "'")</f>
        <v>A &gt;= Date '2020-09-18'</v>
      </c>
      <c r="C29" s="97" t="str">
        <f>IF(ISBLANK('Non Cocoa History'!B3),"","B &gt;= Date '" &amp; TEXT('Non Cocoa History'!B3, "YYYY-MM-DD") &amp; "'")</f>
        <v>B &gt;= Date '2020-09-18'</v>
      </c>
    </row>
    <row r="30">
      <c r="A30" s="96" t="str">
        <f>IF(ISBLANK('Non Cocoa History'!D3),"","A &lt;= Date '" &amp; TEXT('Non Cocoa History'!D3, "YYYY-MM-DD") &amp; "'")</f>
        <v>A &lt;= Date '2020-09-19'</v>
      </c>
      <c r="C30" s="97" t="str">
        <f>IF(ISBLANK('Non Cocoa History'!D3),"","B &lt;= Date '" &amp; TEXT('Non Cocoa History'!D3, "YYYY-MM-DD") &amp; "'")</f>
        <v>B &lt;= Date '2020-09-19'</v>
      </c>
    </row>
    <row r="31">
      <c r="A31" s="97" t="str">
        <f>IF('Non Cocoa History'!B4="","","B='"&amp; 'Non Cocoa History'!B4 &amp;"'")</f>
        <v/>
      </c>
      <c r="E31" s="341" t="s">
        <v>669</v>
      </c>
    </row>
    <row r="32">
      <c r="A32" s="95" t="str">
        <f>IF(ISBLANK('Small-Scale History'!B3),"","A &gt;= Date '" &amp; TEXT('Small-Scale History'!B3, "YYYY-MM-DD") &amp; "'")</f>
        <v>A &gt;= Date '2020-09-19'</v>
      </c>
      <c r="E32" s="101" t="s">
        <v>670</v>
      </c>
      <c r="F32" s="97" t="str">
        <f>IF(HelperFormulas!B11 &gt; 1, HelperFormulas!B11 &amp;" BAGS ",HelperFormulas!B11 &amp;" BAG ") &amp; "&amp; "&amp; IF(HelperFormulas!B12&gt;1,HelperFormulas!B12 &amp; " KGS ",HelperFormulas!B12 &amp; " KG ")</f>
        <v>0 BAG &amp; 0 KG </v>
      </c>
      <c r="G32" s="101" t="s">
        <v>568</v>
      </c>
      <c r="H32" s="342" t="str">
        <f>HelperFormulas!C6</f>
        <v>0 BAG  &amp; 0 KG</v>
      </c>
    </row>
    <row r="33">
      <c r="A33" s="96" t="str">
        <f>IF(ISBLANK('Small-Scale History'!D3),"","A &lt;= Date '" &amp; TEXT('Small-Scale History'!D3, "YYYY-MM-DD") &amp; "'")</f>
        <v>A &lt;= Date '2020-09-19'</v>
      </c>
      <c r="E33" s="101" t="s">
        <v>575</v>
      </c>
      <c r="F33" s="97" t="str">
        <f>IF((HelperFormulas!C11-HelperFormulas!A24)&gt;1,(HelperFormulas!C11-HelperFormulas!A24)&amp;" BAGS ",(HelperFormulas!C11-HelperFormulas!A24)&amp;" BAG ") &amp; "&amp; "&amp; IF(HelperFormulas!C12&gt;1,HelperFormulas!C12&amp; " KGS ",HelperFormulas!C12 &amp; " KG")</f>
        <v>2069 BAGS &amp; 23 KGS </v>
      </c>
      <c r="G33" s="101" t="s">
        <v>671</v>
      </c>
      <c r="H33" s="342" t="str">
        <f>HelperFormulas!C7</f>
        <v>0 BAG  &amp; 0 KG</v>
      </c>
    </row>
    <row r="34">
      <c r="E34" s="101" t="s">
        <v>672</v>
      </c>
      <c r="F34" s="97" t="str">
        <f>IF((HelperFormulas!D11-HelperFormulas!A22)&gt;1,(HelperFormulas!D11-HelperFormulas!A22)&amp;" BAGS ",(HelperFormulas!D11-HelperFormulas!A22)&amp;" BAG ") &amp; "&amp; "&amp; IF(HelperFormulas!D12&gt;1,HelperFormulas!D12&amp; " KGS ",HelperFormulas!D12 &amp; " KG")</f>
        <v>2169 BAGS &amp; 23 KGS </v>
      </c>
      <c r="G34" s="101" t="s">
        <v>569</v>
      </c>
      <c r="H34" s="95" t="str">
        <f>IF(HelperFormulas!A11&gt;1,HelperFormulas!A11 &amp; " BAGS ",HelperFormulas!A11&amp;" BAG ") &amp; " &amp; " &amp; IF(HelperFormulas!A12&gt;1,HelperFormulas!A12 &amp; " KGS",HelperFormulas!A12&amp;" KG")</f>
        <v>0 BAG  &amp; 0 KG</v>
      </c>
    </row>
    <row r="35">
      <c r="E35" s="101" t="s">
        <v>587</v>
      </c>
      <c r="F35" s="342">
        <f>HelperFormulas!G14</f>
        <v>138839</v>
      </c>
    </row>
    <row r="36">
      <c r="E36" s="101" t="s">
        <v>546</v>
      </c>
      <c r="F36" s="343" t="str">
        <f>HelperFormulas!A22 &amp; " BAGS"</f>
        <v>0 BAGS</v>
      </c>
    </row>
    <row r="38">
      <c r="E38" s="101" t="s">
        <v>673</v>
      </c>
      <c r="F38" s="344">
        <f>HelperFormulas!B19</f>
        <v>0</v>
      </c>
      <c r="G38" s="101" t="s">
        <v>674</v>
      </c>
      <c r="H38" s="344">
        <f>HelperFormulas!A19</f>
        <v>1810500</v>
      </c>
    </row>
    <row r="39">
      <c r="E39" s="101" t="s">
        <v>675</v>
      </c>
      <c r="F39" s="97">
        <f>SUM(TempFinOps!I2:I999)</f>
        <v>0</v>
      </c>
      <c r="G39" s="101" t="s">
        <v>676</v>
      </c>
      <c r="H39" s="97">
        <f>SUM(TempFinOps!H2:H999)</f>
        <v>0</v>
      </c>
    </row>
    <row r="40">
      <c r="E40" s="101" t="s">
        <v>677</v>
      </c>
      <c r="F40" s="97">
        <f>SUM(TempFinOps!J2:J999)</f>
        <v>0</v>
      </c>
      <c r="G40" s="101" t="s">
        <v>678</v>
      </c>
      <c r="H40" s="97">
        <f>sum(WarehousePfnance!K2:K999)+SUM(TempFinOps!F2:F999)</f>
        <v>0</v>
      </c>
    </row>
    <row r="41">
      <c r="E41" s="101" t="s">
        <v>679</v>
      </c>
      <c r="F41" s="97">
        <f>sum(WarehouseSScale!I3:I999)</f>
        <v>0</v>
      </c>
    </row>
    <row r="42">
      <c r="E42" s="101" t="s">
        <v>680</v>
      </c>
      <c r="F42" s="97">
        <f>SUM(TempFinOps!G2:G999)</f>
        <v>0</v>
      </c>
    </row>
  </sheetData>
  <mergeCells count="2">
    <mergeCell ref="A28:D28"/>
    <mergeCell ref="E31:H31"/>
  </mergeCells>
  <drawing r:id="rId1"/>
  <tableParts count="4">
    <tablePart r:id="rId6"/>
    <tablePart r:id="rId7"/>
    <tablePart r:id="rId8"/>
    <tablePart r:id="rId9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14.63"/>
    <col customWidth="1" min="4" max="4" width="10.5"/>
    <col customWidth="1" min="5" max="5" width="14.38"/>
  </cols>
  <sheetData>
    <row r="1">
      <c r="A1" s="345" t="s">
        <v>681</v>
      </c>
    </row>
    <row r="3">
      <c r="A3" s="213" t="s">
        <v>566</v>
      </c>
      <c r="B3" s="346">
        <v>44092.0</v>
      </c>
      <c r="C3" s="213" t="s">
        <v>567</v>
      </c>
      <c r="D3" s="347">
        <v>44093.0</v>
      </c>
    </row>
    <row r="4">
      <c r="A4" s="348"/>
      <c r="B4" s="349"/>
      <c r="C4" s="348"/>
      <c r="D4" s="349"/>
    </row>
    <row r="5">
      <c r="A5" s="350" t="s">
        <v>2</v>
      </c>
      <c r="B5" s="350" t="s">
        <v>682</v>
      </c>
      <c r="C5" s="350" t="s">
        <v>683</v>
      </c>
      <c r="D5" s="350" t="s">
        <v>95</v>
      </c>
      <c r="E5" s="350" t="s">
        <v>684</v>
      </c>
    </row>
    <row r="6">
      <c r="A6" s="323">
        <f>IFERROR(__xludf.DUMMYFUNCTION("QUERY(tempFinanceHistoryQuery!A2:E999)"),44092.0)</f>
        <v>44092</v>
      </c>
      <c r="B6" s="318" t="str">
        <f>IFERROR(__xludf.DUMMYFUNCTION("""COMPUTED_VALUE"""),"LYDIA HNSON ")</f>
        <v>LYDIA HNSON </v>
      </c>
      <c r="C6" s="318" t="str">
        <f>IFERROR(__xludf.DUMMYFUNCTION("""COMPUTED_VALUE"""),"ADVANCE")</f>
        <v>ADVANCE</v>
      </c>
      <c r="D6" s="351">
        <f>IFERROR(__xludf.DUMMYFUNCTION("""COMPUTED_VALUE"""),2000000.0)</f>
        <v>2000000</v>
      </c>
      <c r="E6" s="318" t="str">
        <f>IFERROR(__xludf.DUMMYFUNCTION("""COMPUTED_VALUE"""),"Prefinance")</f>
        <v>Prefinance</v>
      </c>
    </row>
    <row r="7">
      <c r="A7" s="352">
        <f>IFERROR(__xludf.DUMMYFUNCTION("""COMPUTED_VALUE"""),44092.0)</f>
        <v>44092</v>
      </c>
      <c r="B7" s="318" t="str">
        <f>IFERROR(__xludf.DUMMYFUNCTION("""COMPUTED_VALUE"""),"LYDIA HNSON ")</f>
        <v>LYDIA HNSON </v>
      </c>
      <c r="C7" s="318" t="str">
        <f>IFERROR(__xludf.DUMMYFUNCTION("""COMPUTED_VALUE"""),"ADVANCE (DIR)")</f>
        <v>ADVANCE (DIR)</v>
      </c>
      <c r="D7" s="351">
        <f>IFERROR(__xludf.DUMMYFUNCTION("""COMPUTED_VALUE"""),300000.0)</f>
        <v>300000</v>
      </c>
      <c r="E7" s="318" t="str">
        <f>IFERROR(__xludf.DUMMYFUNCTION("""COMPUTED_VALUE"""),"Prefinance")</f>
        <v>Prefinance</v>
      </c>
    </row>
    <row r="8">
      <c r="A8" s="352">
        <f>IFERROR(__xludf.DUMMYFUNCTION("""COMPUTED_VALUE"""),44092.0)</f>
        <v>44092</v>
      </c>
      <c r="B8" s="318" t="str">
        <f>IFERROR(__xludf.DUMMYFUNCTION("""COMPUTED_VALUE"""),"ZULU ")</f>
        <v>ZULU </v>
      </c>
      <c r="C8" s="318" t="str">
        <f>IFERROR(__xludf.DUMMYFUNCTION("""COMPUTED_VALUE"""),"ADVANCE (DIR)")</f>
        <v>ADVANCE (DIR)</v>
      </c>
      <c r="D8" s="351">
        <f>IFERROR(__xludf.DUMMYFUNCTION("""COMPUTED_VALUE"""),275000.0)</f>
        <v>275000</v>
      </c>
      <c r="E8" s="318" t="str">
        <f>IFERROR(__xludf.DUMMYFUNCTION("""COMPUTED_VALUE"""),"Prefinance")</f>
        <v>Prefinance</v>
      </c>
    </row>
    <row r="9">
      <c r="A9" s="352">
        <f>IFERROR(__xludf.DUMMYFUNCTION("""COMPUTED_VALUE"""),44092.0)</f>
        <v>44092</v>
      </c>
      <c r="B9" s="318" t="str">
        <f>IFERROR(__xludf.DUMMYFUNCTION("""COMPUTED_VALUE"""),"OTU KOKO KEIBO")</f>
        <v>OTU KOKO KEIBO</v>
      </c>
      <c r="C9" s="318" t="str">
        <f>IFERROR(__xludf.DUMMYFUNCTION("""COMPUTED_VALUE"""),"CAN HAULAGE")</f>
        <v>CAN HAULAGE</v>
      </c>
      <c r="D9" s="351">
        <f>IFERROR(__xludf.DUMMYFUNCTION("""COMPUTED_VALUE"""),20500.0)</f>
        <v>20500</v>
      </c>
      <c r="E9" s="318" t="str">
        <f>IFERROR(__xludf.DUMMYFUNCTION("""COMPUTED_VALUE"""),"Prefinance")</f>
        <v>Prefinance</v>
      </c>
    </row>
    <row r="10">
      <c r="A10" s="352">
        <f>IFERROR(__xludf.DUMMYFUNCTION("""COMPUTED_VALUE"""),44092.0)</f>
        <v>44092</v>
      </c>
      <c r="B10" s="318" t="str">
        <f>IFERROR(__xludf.DUMMYFUNCTION("""COMPUTED_VALUE"""),"OTU KOKO KEIBO")</f>
        <v>OTU KOKO KEIBO</v>
      </c>
      <c r="C10" s="318" t="str">
        <f>IFERROR(__xludf.DUMMYFUNCTION("""COMPUTED_VALUE"""),"TITTLES")</f>
        <v>TITTLES</v>
      </c>
      <c r="D10" s="351">
        <f>IFERROR(__xludf.DUMMYFUNCTION("""COMPUTED_VALUE"""),116000.0)</f>
        <v>116000</v>
      </c>
      <c r="E10" s="318" t="str">
        <f>IFERROR(__xludf.DUMMYFUNCTION("""COMPUTED_VALUE"""),"Prefinance")</f>
        <v>Prefinance</v>
      </c>
    </row>
    <row r="11">
      <c r="A11" s="352">
        <f>IFERROR(__xludf.DUMMYFUNCTION("""COMPUTED_VALUE"""),44092.0)</f>
        <v>44092</v>
      </c>
      <c r="B11" s="318" t="str">
        <f>IFERROR(__xludf.DUMMYFUNCTION("""COMPUTED_VALUE"""),"ABANG. DUNLOP")</f>
        <v>ABANG. DUNLOP</v>
      </c>
      <c r="C11" s="318" t="str">
        <f>IFERROR(__xludf.DUMMYFUNCTION("""COMPUTED_VALUE"""),"ADVANCE")</f>
        <v>ADVANCE</v>
      </c>
      <c r="D11" s="351">
        <f>IFERROR(__xludf.DUMMYFUNCTION("""COMPUTED_VALUE"""),500000.0)</f>
        <v>500000</v>
      </c>
      <c r="E11" s="318" t="str">
        <f>IFERROR(__xludf.DUMMYFUNCTION("""COMPUTED_VALUE"""),"Prefinance")</f>
        <v>Prefinance</v>
      </c>
    </row>
    <row r="12">
      <c r="A12" s="352">
        <f>IFERROR(__xludf.DUMMYFUNCTION("""COMPUTED_VALUE"""),44092.0)</f>
        <v>44092</v>
      </c>
      <c r="B12" s="318" t="str">
        <f>IFERROR(__xludf.DUMMYFUNCTION("""COMPUTED_VALUE"""),"DIRECTOR")</f>
        <v>DIRECTOR</v>
      </c>
      <c r="C12" s="318" t="str">
        <f>IFERROR(__xludf.DUMMYFUNCTION("""COMPUTED_VALUE"""),"CASH TRANSFERD")</f>
        <v>CASH TRANSFERD</v>
      </c>
      <c r="D12" s="351">
        <f>IFERROR(__xludf.DUMMYFUNCTION("""COMPUTED_VALUE"""),575000.0)</f>
        <v>575000</v>
      </c>
      <c r="E12" s="318" t="str">
        <f>IFERROR(__xludf.DUMMYFUNCTION("""COMPUTED_VALUE"""),"From Bank")</f>
        <v>From Bank</v>
      </c>
    </row>
    <row r="13">
      <c r="A13" s="352">
        <f>IFERROR(__xludf.DUMMYFUNCTION("""COMPUTED_VALUE"""),44092.0)</f>
        <v>44092</v>
      </c>
      <c r="B13" s="318" t="str">
        <f>IFERROR(__xludf.DUMMYFUNCTION("""COMPUTED_VALUE"""),"DIRECTOR")</f>
        <v>DIRECTOR</v>
      </c>
      <c r="C13" s="318" t="str">
        <f>IFERROR(__xludf.DUMMYFUNCTION("""COMPUTED_VALUE"""),"CASH-IN")</f>
        <v>CASH-IN</v>
      </c>
      <c r="D13" s="351">
        <f>IFERROR(__xludf.DUMMYFUNCTION("""COMPUTED_VALUE"""),4357000.0)</f>
        <v>4357000</v>
      </c>
      <c r="E13" s="318" t="str">
        <f>IFERROR(__xludf.DUMMYFUNCTION("""COMPUTED_VALUE"""),"From Bank")</f>
        <v>From Bank</v>
      </c>
    </row>
    <row r="14">
      <c r="A14" s="352">
        <f>IFERROR(__xludf.DUMMYFUNCTION("""COMPUTED_VALUE"""),44092.0)</f>
        <v>44092</v>
      </c>
      <c r="B14" s="318" t="str">
        <f>IFERROR(__xludf.DUMMYFUNCTION("""COMPUTED_VALUE"""),"ABANG. ASHA")</f>
        <v>ABANG. ASHA</v>
      </c>
      <c r="C14" s="318" t="str">
        <f>IFERROR(__xludf.DUMMYFUNCTION("""COMPUTED_VALUE"""),"LAPTOP BALANCE")</f>
        <v>LAPTOP BALANCE</v>
      </c>
      <c r="D14" s="351">
        <f>IFERROR(__xludf.DUMMYFUNCTION("""COMPUTED_VALUE"""),20000.0)</f>
        <v>20000</v>
      </c>
      <c r="E14" s="318" t="str">
        <f>IFERROR(__xludf.DUMMYFUNCTION("""COMPUTED_VALUE"""),"General Expenses")</f>
        <v>General Expenses</v>
      </c>
    </row>
    <row r="15">
      <c r="A15" s="352">
        <f>IFERROR(__xludf.DUMMYFUNCTION("""COMPUTED_VALUE"""),44092.0)</f>
        <v>44092</v>
      </c>
      <c r="B15" s="318" t="str">
        <f>IFERROR(__xludf.DUMMYFUNCTION("""COMPUTED_VALUE"""),"DIRECTOR")</f>
        <v>DIRECTOR</v>
      </c>
      <c r="C15" s="318" t="str">
        <f>IFERROR(__xludf.DUMMYFUNCTION("""COMPUTED_VALUE"""),"CAMERA MAN")</f>
        <v>CAMERA MAN</v>
      </c>
      <c r="D15" s="351">
        <f>IFERROR(__xludf.DUMMYFUNCTION("""COMPUTED_VALUE"""),35000.0)</f>
        <v>35000</v>
      </c>
      <c r="E15" s="320" t="str">
        <f>IFERROR(__xludf.DUMMYFUNCTION("""COMPUTED_VALUE"""),"General Expenses")</f>
        <v>General Expenses</v>
      </c>
    </row>
    <row r="16">
      <c r="A16" s="352">
        <f>IFERROR(__xludf.DUMMYFUNCTION("""COMPUTED_VALUE"""),44092.0)</f>
        <v>44092</v>
      </c>
      <c r="B16" s="318" t="str">
        <f>IFERROR(__xludf.DUMMYFUNCTION("""COMPUTED_VALUE"""),"FILTER MAN")</f>
        <v>FILTER MAN</v>
      </c>
      <c r="C16" s="318" t="str">
        <f>IFERROR(__xludf.DUMMYFUNCTION("""COMPUTED_VALUE"""),"REPAIRS")</f>
        <v>REPAIRS</v>
      </c>
      <c r="D16" s="351">
        <f>IFERROR(__xludf.DUMMYFUNCTION("""COMPUTED_VALUE"""),2500.0)</f>
        <v>2500</v>
      </c>
      <c r="E16" s="318" t="str">
        <f>IFERROR(__xludf.DUMMYFUNCTION("""COMPUTED_VALUE"""),"General Expenses")</f>
        <v>General Expenses</v>
      </c>
    </row>
    <row r="17">
      <c r="A17" s="352">
        <f>IFERROR(__xludf.DUMMYFUNCTION("""COMPUTED_VALUE"""),44092.0)</f>
        <v>44092</v>
      </c>
      <c r="B17" s="318" t="str">
        <f>IFERROR(__xludf.DUMMYFUNCTION("""COMPUTED_VALUE"""),"LABOUR  BOY")</f>
        <v>LABOUR  BOY</v>
      </c>
      <c r="C17" s="318" t="str">
        <f>IFERROR(__xludf.DUMMYFUNCTION("""COMPUTED_VALUE"""),"WAGES ADVANCE")</f>
        <v>WAGES ADVANCE</v>
      </c>
      <c r="D17" s="351">
        <f>IFERROR(__xludf.DUMMYFUNCTION("""COMPUTED_VALUE"""),4000.0)</f>
        <v>4000</v>
      </c>
      <c r="E17" s="318" t="str">
        <f>IFERROR(__xludf.DUMMYFUNCTION("""COMPUTED_VALUE"""),"General Expenses")</f>
        <v>General Expenses</v>
      </c>
    </row>
    <row r="18">
      <c r="A18" s="352">
        <f>IFERROR(__xludf.DUMMYFUNCTION("""COMPUTED_VALUE"""),44092.0)</f>
        <v>44092</v>
      </c>
      <c r="B18" s="318" t="str">
        <f>IFERROR(__xludf.DUMMYFUNCTION("""COMPUTED_VALUE"""),"DAVID ")</f>
        <v>DAVID </v>
      </c>
      <c r="C18" s="318" t="str">
        <f>IFERROR(__xludf.DUMMYFUNCTION("""COMPUTED_VALUE"""),"DIRECTORS ORDER")</f>
        <v>DIRECTORS ORDER</v>
      </c>
      <c r="D18" s="351">
        <f>IFERROR(__xludf.DUMMYFUNCTION("""COMPUTED_VALUE"""),200.0)</f>
        <v>200</v>
      </c>
      <c r="E18" s="318" t="str">
        <f>IFERROR(__xludf.DUMMYFUNCTION("""COMPUTED_VALUE"""),"General Expenses")</f>
        <v>General Expenses</v>
      </c>
    </row>
    <row r="19">
      <c r="A19" s="352">
        <f>IFERROR(__xludf.DUMMYFUNCTION("""COMPUTED_VALUE"""),44092.0)</f>
        <v>44092</v>
      </c>
      <c r="B19" s="318" t="str">
        <f>IFERROR(__xludf.DUMMYFUNCTION("""COMPUTED_VALUE"""),"MANAGER")</f>
        <v>MANAGER</v>
      </c>
      <c r="C19" s="318" t="str">
        <f>IFERROR(__xludf.DUMMYFUNCTION("""COMPUTED_VALUE"""),"PAPERS")</f>
        <v>PAPERS</v>
      </c>
      <c r="D19" s="351">
        <f>IFERROR(__xludf.DUMMYFUNCTION("""COMPUTED_VALUE"""),200000.0)</f>
        <v>200000</v>
      </c>
      <c r="E19" s="318" t="str">
        <f>IFERROR(__xludf.DUMMYFUNCTION("""COMPUTED_VALUE"""),"General Expenses")</f>
        <v>General Expenses</v>
      </c>
    </row>
    <row r="20">
      <c r="A20" s="352">
        <f>IFERROR(__xludf.DUMMYFUNCTION("""COMPUTED_VALUE"""),44092.0)</f>
        <v>44092</v>
      </c>
      <c r="B20" s="318"/>
      <c r="C20" s="318"/>
      <c r="D20" s="351">
        <f>IFERROR(__xludf.DUMMYFUNCTION("""COMPUTED_VALUE"""),357300.0)</f>
        <v>357300</v>
      </c>
      <c r="E20" s="318" t="str">
        <f>IFERROR(__xludf.DUMMYFUNCTION("""COMPUTED_VALUE"""),"Petty Cash")</f>
        <v>Petty Cash</v>
      </c>
    </row>
    <row r="21">
      <c r="A21" s="352">
        <f>IFERROR(__xludf.DUMMYFUNCTION("""COMPUTED_VALUE"""),44092.0)</f>
        <v>44092</v>
      </c>
      <c r="B21" s="318"/>
      <c r="C21" s="318"/>
      <c r="D21" s="351"/>
      <c r="E21" s="318"/>
    </row>
    <row r="22">
      <c r="A22" s="352">
        <f>IFERROR(__xludf.DUMMYFUNCTION("""COMPUTED_VALUE"""),44092.0)</f>
        <v>44092</v>
      </c>
      <c r="B22" s="318"/>
      <c r="C22" s="318"/>
      <c r="D22" s="351"/>
      <c r="E22" s="318"/>
    </row>
    <row r="23">
      <c r="A23" s="352">
        <f>IFERROR(__xludf.DUMMYFUNCTION("""COMPUTED_VALUE"""),44092.0)</f>
        <v>44092</v>
      </c>
      <c r="B23" s="318"/>
      <c r="C23" s="318"/>
      <c r="D23" s="351"/>
      <c r="E23" s="318"/>
    </row>
    <row r="24">
      <c r="A24" s="352">
        <f>IFERROR(__xludf.DUMMYFUNCTION("""COMPUTED_VALUE"""),44092.0)</f>
        <v>44092</v>
      </c>
      <c r="B24" s="318" t="str">
        <f>IFERROR(__xludf.DUMMYFUNCTION("""COMPUTED_VALUE"""),"BLESSING CHAPMAN")</f>
        <v>BLESSING CHAPMAN</v>
      </c>
      <c r="C24" s="318" t="str">
        <f>IFERROR(__xludf.DUMMYFUNCTION("""COMPUTED_VALUE"""),"cash collected")</f>
        <v>cash collected</v>
      </c>
      <c r="D24" s="351">
        <f>IFERROR(__xludf.DUMMYFUNCTION("""COMPUTED_VALUE"""),357300.0)</f>
        <v>357300</v>
      </c>
      <c r="E24" s="318" t="str">
        <f>IFERROR(__xludf.DUMMYFUNCTION("""COMPUTED_VALUE"""),"Petty Cash")</f>
        <v>Petty Cash</v>
      </c>
    </row>
    <row r="25">
      <c r="A25" s="352">
        <f>IFERROR(__xludf.DUMMYFUNCTION("""COMPUTED_VALUE"""),44093.0)</f>
        <v>44093</v>
      </c>
      <c r="B25" s="318" t="str">
        <f>IFERROR(__xludf.DUMMYFUNCTION("""COMPUTED_VALUE"""),"OSIM MARIAM")</f>
        <v>OSIM MARIAM</v>
      </c>
      <c r="C25" s="318" t="str">
        <f>IFERROR(__xludf.DUMMYFUNCTION("""COMPUTED_VALUE"""),"advance (dir)")</f>
        <v>advance (dir)</v>
      </c>
      <c r="D25" s="351">
        <f>IFERROR(__xludf.DUMMYFUNCTION("""COMPUTED_VALUE"""),50000.0)</f>
        <v>50000</v>
      </c>
      <c r="E25" s="318" t="str">
        <f>IFERROR(__xludf.DUMMYFUNCTION("""COMPUTED_VALUE"""),"Prefinance")</f>
        <v>Prefinance</v>
      </c>
    </row>
    <row r="26">
      <c r="A26" s="352">
        <f>IFERROR(__xludf.DUMMYFUNCTION("""COMPUTED_VALUE"""),44093.0)</f>
        <v>44093</v>
      </c>
      <c r="B26" s="318" t="str">
        <f>IFERROR(__xludf.DUMMYFUNCTION("""COMPUTED_VALUE"""),"DIESEL BOY")</f>
        <v>DIESEL BOY</v>
      </c>
      <c r="C26" s="318" t="str">
        <f>IFERROR(__xludf.DUMMYFUNCTION("""COMPUTED_VALUE"""),"diesel")</f>
        <v>diesel</v>
      </c>
      <c r="D26" s="351">
        <f>IFERROR(__xludf.DUMMYFUNCTION("""COMPUTED_VALUE"""),20000.0)</f>
        <v>20000</v>
      </c>
      <c r="E26" s="318" t="str">
        <f>IFERROR(__xludf.DUMMYFUNCTION("""COMPUTED_VALUE"""),"General Expenses")</f>
        <v>General Expenses</v>
      </c>
    </row>
    <row r="27">
      <c r="A27" s="352">
        <f>IFERROR(__xludf.DUMMYFUNCTION("""COMPUTED_VALUE"""),44093.0)</f>
        <v>44093</v>
      </c>
      <c r="B27" s="318" t="str">
        <f>IFERROR(__xludf.DUMMYFUNCTION("""COMPUTED_VALUE"""),"ABANGS. HNSON")</f>
        <v>ABANGS. HNSON</v>
      </c>
      <c r="C27" s="318" t="str">
        <f>IFERROR(__xludf.DUMMYFUNCTION("""COMPUTED_VALUE"""),"director order")</f>
        <v>director order</v>
      </c>
      <c r="D27" s="351">
        <f>IFERROR(__xludf.DUMMYFUNCTION("""COMPUTED_VALUE"""),70000.0)</f>
        <v>70000</v>
      </c>
      <c r="E27" s="318" t="str">
        <f>IFERROR(__xludf.DUMMYFUNCTION("""COMPUTED_VALUE"""),"General Expenses")</f>
        <v>General Expenses</v>
      </c>
    </row>
    <row r="28">
      <c r="A28" s="352">
        <f>IFERROR(__xludf.DUMMYFUNCTION("""COMPUTED_VALUE"""),44093.0)</f>
        <v>44093</v>
      </c>
      <c r="B28" s="318" t="str">
        <f>IFERROR(__xludf.DUMMYFUNCTION("""COMPUTED_VALUE"""),"DIRECTOR")</f>
        <v>DIRECTOR</v>
      </c>
      <c r="C28" s="318" t="str">
        <f>IFERROR(__xludf.DUMMYFUNCTION("""COMPUTED_VALUE"""),"food")</f>
        <v>food</v>
      </c>
      <c r="D28" s="351">
        <f>IFERROR(__xludf.DUMMYFUNCTION("""COMPUTED_VALUE"""),300.0)</f>
        <v>300</v>
      </c>
      <c r="E28" s="318" t="str">
        <f>IFERROR(__xludf.DUMMYFUNCTION("""COMPUTED_VALUE"""),"General Expenses")</f>
        <v>General Expenses</v>
      </c>
    </row>
    <row r="29">
      <c r="A29" s="352">
        <f>IFERROR(__xludf.DUMMYFUNCTION("""COMPUTED_VALUE"""),44093.0)</f>
        <v>44093</v>
      </c>
      <c r="B29" s="318" t="str">
        <f>IFERROR(__xludf.DUMMYFUNCTION("""COMPUTED_VALUE"""),"LABOUR  BOY")</f>
        <v>LABOUR  BOY</v>
      </c>
      <c r="C29" s="318" t="str">
        <f>IFERROR(__xludf.DUMMYFUNCTION("""COMPUTED_VALUE"""),"wages advance")</f>
        <v>wages advance</v>
      </c>
      <c r="D29" s="351">
        <f>IFERROR(__xludf.DUMMYFUNCTION("""COMPUTED_VALUE"""),2500.0)</f>
        <v>2500</v>
      </c>
      <c r="E29" s="318" t="str">
        <f>IFERROR(__xludf.DUMMYFUNCTION("""COMPUTED_VALUE"""),"General Expenses")</f>
        <v>General Expenses</v>
      </c>
    </row>
    <row r="30">
      <c r="A30" s="352">
        <f>IFERROR(__xludf.DUMMYFUNCTION("""COMPUTED_VALUE"""),44093.0)</f>
        <v>44093</v>
      </c>
      <c r="B30" s="318" t="str">
        <f>IFERROR(__xludf.DUMMYFUNCTION("""COMPUTED_VALUE"""),"LABOUR  BOY")</f>
        <v>LABOUR  BOY</v>
      </c>
      <c r="C30" s="318" t="str">
        <f>IFERROR(__xludf.DUMMYFUNCTION("""COMPUTED_VALUE"""),"wages   ")</f>
        <v>wages   </v>
      </c>
      <c r="D30" s="351">
        <f>IFERROR(__xludf.DUMMYFUNCTION("""COMPUTED_VALUE"""),121000.0)</f>
        <v>121000</v>
      </c>
      <c r="E30" s="318" t="str">
        <f>IFERROR(__xludf.DUMMYFUNCTION("""COMPUTED_VALUE"""),"General Expenses")</f>
        <v>General Expenses</v>
      </c>
    </row>
    <row r="31">
      <c r="A31" s="352">
        <f>IFERROR(__xludf.DUMMYFUNCTION("""COMPUTED_VALUE"""),44093.0)</f>
        <v>44093</v>
      </c>
      <c r="B31" s="318" t="str">
        <f>IFERROR(__xludf.DUMMYFUNCTION("""COMPUTED_VALUE"""),"SECURITY")</f>
        <v>SECURITY</v>
      </c>
      <c r="C31" s="318" t="str">
        <f>IFERROR(__xludf.DUMMYFUNCTION("""COMPUTED_VALUE"""),"salary")</f>
        <v>salary</v>
      </c>
      <c r="D31" s="351">
        <f>IFERROR(__xludf.DUMMYFUNCTION("""COMPUTED_VALUE"""),20000.0)</f>
        <v>20000</v>
      </c>
      <c r="E31" s="318" t="str">
        <f>IFERROR(__xludf.DUMMYFUNCTION("""COMPUTED_VALUE"""),"General Expenses")</f>
        <v>General Expenses</v>
      </c>
    </row>
    <row r="32">
      <c r="A32" s="352">
        <f>IFERROR(__xludf.DUMMYFUNCTION("""COMPUTED_VALUE"""),44093.0)</f>
        <v>44093</v>
      </c>
      <c r="B32" s="318" t="str">
        <f>IFERROR(__xludf.DUMMYFUNCTION("""COMPUTED_VALUE"""),"BLESSING CHAPMAN")</f>
        <v>BLESSING CHAPMAN</v>
      </c>
      <c r="C32" s="318" t="str">
        <f>IFERROR(__xludf.DUMMYFUNCTION("""COMPUTED_VALUE"""),"cash collected")</f>
        <v>cash collected</v>
      </c>
      <c r="D32" s="351">
        <f>IFERROR(__xludf.DUMMYFUNCTION("""COMPUTED_VALUE"""),233800.0)</f>
        <v>233800</v>
      </c>
      <c r="E32" s="318" t="str">
        <f>IFERROR(__xludf.DUMMYFUNCTION("""COMPUTED_VALUE"""),"Petty Cash")</f>
        <v>Petty Cash</v>
      </c>
    </row>
    <row r="33">
      <c r="A33" s="352">
        <f>IFERROR(__xludf.DUMMYFUNCTION("""COMPUTED_VALUE"""),44093.0)</f>
        <v>44093</v>
      </c>
      <c r="B33" s="318" t="str">
        <f>IFERROR(__xludf.DUMMYFUNCTION("""COMPUTED_VALUE"""),"DIRECTOR")</f>
        <v>DIRECTOR</v>
      </c>
      <c r="C33" s="318" t="str">
        <f>IFERROR(__xludf.DUMMYFUNCTION("""COMPUTED_VALUE"""),"advance transfered")</f>
        <v>advance transfered</v>
      </c>
      <c r="D33" s="351">
        <f>IFERROR(__xludf.DUMMYFUNCTION("""COMPUTED_VALUE"""),50000.0)</f>
        <v>50000</v>
      </c>
      <c r="E33" s="318" t="str">
        <f>IFERROR(__xludf.DUMMYFUNCTION("""COMPUTED_VALUE"""),"From Bank")</f>
        <v>From Bank</v>
      </c>
    </row>
    <row r="34">
      <c r="A34" s="352"/>
      <c r="B34" s="318"/>
      <c r="C34" s="318"/>
      <c r="D34" s="351"/>
      <c r="E34" s="318"/>
    </row>
    <row r="35">
      <c r="A35" s="352"/>
      <c r="B35" s="318"/>
      <c r="C35" s="318"/>
      <c r="D35" s="351"/>
      <c r="E35" s="318"/>
    </row>
    <row r="36">
      <c r="A36" s="352"/>
      <c r="B36" s="318"/>
      <c r="C36" s="318"/>
      <c r="D36" s="351"/>
      <c r="E36" s="318"/>
    </row>
    <row r="37">
      <c r="A37" s="352"/>
      <c r="B37" s="318"/>
      <c r="C37" s="318"/>
      <c r="D37" s="351"/>
      <c r="E37" s="318"/>
    </row>
    <row r="38">
      <c r="A38" s="352"/>
      <c r="B38" s="318"/>
      <c r="C38" s="318"/>
      <c r="D38" s="351"/>
      <c r="E38" s="318"/>
    </row>
    <row r="39">
      <c r="A39" s="352"/>
      <c r="B39" s="318"/>
      <c r="C39" s="318"/>
      <c r="D39" s="351"/>
      <c r="E39" s="318"/>
    </row>
    <row r="40">
      <c r="A40" s="352"/>
      <c r="B40" s="318"/>
      <c r="C40" s="318"/>
      <c r="D40" s="351"/>
      <c r="E40" s="318"/>
    </row>
    <row r="41">
      <c r="A41" s="352"/>
      <c r="B41" s="318"/>
      <c r="C41" s="318"/>
      <c r="D41" s="351"/>
      <c r="E41" s="318"/>
    </row>
    <row r="42">
      <c r="A42" s="352"/>
      <c r="B42" s="318"/>
      <c r="C42" s="318"/>
      <c r="D42" s="351"/>
      <c r="E42" s="318"/>
    </row>
    <row r="43">
      <c r="A43" s="352"/>
      <c r="B43" s="318"/>
      <c r="C43" s="318"/>
      <c r="D43" s="351"/>
      <c r="E43" s="318"/>
    </row>
    <row r="44">
      <c r="A44" s="352"/>
      <c r="B44" s="318"/>
      <c r="C44" s="318"/>
      <c r="D44" s="351"/>
      <c r="E44" s="318"/>
    </row>
    <row r="45">
      <c r="A45" s="352"/>
      <c r="B45" s="318"/>
      <c r="C45" s="318"/>
      <c r="D45" s="351"/>
      <c r="E45" s="318"/>
    </row>
    <row r="46">
      <c r="A46" s="352"/>
      <c r="B46" s="318"/>
      <c r="C46" s="318"/>
      <c r="D46" s="351"/>
      <c r="E46" s="318"/>
    </row>
    <row r="47">
      <c r="A47" s="352"/>
      <c r="B47" s="318"/>
      <c r="C47" s="318"/>
      <c r="D47" s="351"/>
      <c r="E47" s="318"/>
    </row>
    <row r="48">
      <c r="A48" s="352"/>
      <c r="B48" s="318"/>
      <c r="C48" s="318"/>
      <c r="D48" s="351"/>
      <c r="E48" s="318"/>
    </row>
    <row r="49">
      <c r="A49" s="352"/>
      <c r="B49" s="318"/>
      <c r="C49" s="318"/>
      <c r="D49" s="351"/>
      <c r="E49" s="318"/>
    </row>
    <row r="50">
      <c r="A50" s="352"/>
      <c r="B50" s="318"/>
      <c r="C50" s="318"/>
      <c r="D50" s="351"/>
      <c r="E50" s="318"/>
    </row>
    <row r="51">
      <c r="A51" s="352"/>
      <c r="B51" s="318"/>
      <c r="C51" s="318"/>
      <c r="D51" s="351"/>
      <c r="E51" s="318"/>
    </row>
    <row r="52">
      <c r="A52" s="352"/>
      <c r="B52" s="318"/>
      <c r="C52" s="318"/>
      <c r="D52" s="351"/>
      <c r="E52" s="318"/>
    </row>
    <row r="53">
      <c r="A53" s="352"/>
      <c r="B53" s="318"/>
      <c r="C53" s="318"/>
      <c r="D53" s="351"/>
      <c r="E53" s="318"/>
    </row>
    <row r="54">
      <c r="A54" s="352"/>
      <c r="B54" s="318"/>
      <c r="C54" s="318"/>
      <c r="D54" s="351"/>
      <c r="E54" s="318"/>
    </row>
    <row r="55">
      <c r="A55" s="352"/>
      <c r="B55" s="318"/>
      <c r="C55" s="318"/>
      <c r="D55" s="351"/>
      <c r="E55" s="318"/>
    </row>
    <row r="56">
      <c r="A56" s="352"/>
      <c r="B56" s="318"/>
      <c r="C56" s="318"/>
      <c r="D56" s="351"/>
      <c r="E56" s="318"/>
    </row>
    <row r="57">
      <c r="A57" s="352"/>
      <c r="B57" s="318"/>
      <c r="C57" s="318"/>
      <c r="D57" s="351"/>
      <c r="E57" s="318"/>
    </row>
    <row r="58">
      <c r="A58" s="352"/>
      <c r="B58" s="318"/>
      <c r="C58" s="318"/>
      <c r="D58" s="351"/>
      <c r="E58" s="318"/>
    </row>
    <row r="59">
      <c r="A59" s="352"/>
      <c r="B59" s="318"/>
      <c r="C59" s="318"/>
      <c r="D59" s="351"/>
      <c r="E59" s="318"/>
    </row>
    <row r="60">
      <c r="A60" s="352"/>
      <c r="B60" s="318"/>
      <c r="C60" s="318"/>
      <c r="D60" s="351"/>
      <c r="E60" s="318"/>
    </row>
    <row r="61">
      <c r="A61" s="352"/>
      <c r="B61" s="318"/>
      <c r="C61" s="318"/>
      <c r="D61" s="351"/>
      <c r="E61" s="318"/>
    </row>
    <row r="62">
      <c r="A62" s="352"/>
      <c r="B62" s="318"/>
      <c r="C62" s="318"/>
      <c r="D62" s="351"/>
      <c r="E62" s="318"/>
    </row>
    <row r="63">
      <c r="A63" s="352"/>
      <c r="B63" s="318"/>
      <c r="C63" s="318"/>
      <c r="D63" s="351"/>
      <c r="E63" s="318"/>
    </row>
    <row r="64">
      <c r="A64" s="352"/>
      <c r="B64" s="318"/>
      <c r="C64" s="318"/>
      <c r="D64" s="351"/>
      <c r="E64" s="318"/>
    </row>
    <row r="65">
      <c r="A65" s="352"/>
      <c r="B65" s="318"/>
      <c r="C65" s="318"/>
      <c r="D65" s="351"/>
      <c r="E65" s="318"/>
    </row>
    <row r="66">
      <c r="A66" s="352"/>
      <c r="B66" s="318"/>
      <c r="C66" s="318"/>
      <c r="D66" s="351"/>
      <c r="E66" s="318"/>
    </row>
    <row r="67">
      <c r="A67" s="352"/>
      <c r="B67" s="318"/>
      <c r="C67" s="318"/>
      <c r="D67" s="351"/>
      <c r="E67" s="318"/>
    </row>
    <row r="68">
      <c r="A68" s="352"/>
      <c r="B68" s="318"/>
      <c r="C68" s="318"/>
      <c r="D68" s="351"/>
      <c r="E68" s="318"/>
    </row>
    <row r="69">
      <c r="A69" s="352"/>
      <c r="B69" s="318"/>
      <c r="C69" s="318"/>
      <c r="D69" s="351"/>
      <c r="E69" s="318"/>
    </row>
    <row r="70">
      <c r="A70" s="352"/>
      <c r="B70" s="318"/>
      <c r="C70" s="318"/>
      <c r="D70" s="351"/>
      <c r="E70" s="318"/>
    </row>
    <row r="71">
      <c r="A71" s="352"/>
      <c r="B71" s="318"/>
      <c r="C71" s="318"/>
      <c r="D71" s="351"/>
      <c r="E71" s="318"/>
    </row>
    <row r="72">
      <c r="A72" s="352"/>
      <c r="B72" s="318"/>
      <c r="C72" s="318"/>
      <c r="D72" s="351"/>
      <c r="E72" s="318"/>
    </row>
    <row r="73">
      <c r="A73" s="352"/>
      <c r="B73" s="318"/>
      <c r="C73" s="318"/>
      <c r="D73" s="351"/>
      <c r="E73" s="318"/>
    </row>
    <row r="74">
      <c r="A74" s="352"/>
      <c r="B74" s="318"/>
      <c r="C74" s="318"/>
      <c r="D74" s="351"/>
      <c r="E74" s="318"/>
    </row>
    <row r="75">
      <c r="A75" s="352"/>
      <c r="B75" s="318"/>
      <c r="C75" s="318"/>
      <c r="D75" s="351"/>
      <c r="E75" s="318"/>
    </row>
    <row r="76">
      <c r="A76" s="352"/>
      <c r="B76" s="318"/>
      <c r="C76" s="318"/>
      <c r="D76" s="351"/>
      <c r="E76" s="318"/>
    </row>
    <row r="77">
      <c r="A77" s="352"/>
      <c r="B77" s="318"/>
      <c r="C77" s="318"/>
      <c r="D77" s="351"/>
      <c r="E77" s="318"/>
    </row>
    <row r="78">
      <c r="A78" s="352"/>
      <c r="B78" s="318"/>
      <c r="C78" s="318"/>
      <c r="D78" s="351"/>
      <c r="E78" s="318"/>
    </row>
    <row r="79">
      <c r="A79" s="352"/>
      <c r="B79" s="318"/>
      <c r="C79" s="318"/>
      <c r="D79" s="351"/>
      <c r="E79" s="318"/>
    </row>
    <row r="80">
      <c r="A80" s="352"/>
      <c r="B80" s="318"/>
      <c r="C80" s="318"/>
      <c r="D80" s="351"/>
      <c r="E80" s="318"/>
    </row>
    <row r="81">
      <c r="A81" s="352"/>
      <c r="B81" s="318"/>
      <c r="C81" s="318"/>
      <c r="D81" s="351"/>
      <c r="E81" s="318"/>
    </row>
    <row r="82">
      <c r="A82" s="352"/>
      <c r="B82" s="318"/>
      <c r="C82" s="318"/>
      <c r="D82" s="351"/>
      <c r="E82" s="318"/>
    </row>
    <row r="83">
      <c r="A83" s="352"/>
      <c r="B83" s="318"/>
      <c r="C83" s="318"/>
      <c r="D83" s="351"/>
      <c r="E83" s="318"/>
    </row>
    <row r="84">
      <c r="A84" s="352"/>
      <c r="B84" s="318"/>
      <c r="C84" s="318"/>
      <c r="D84" s="351"/>
      <c r="E84" s="318"/>
    </row>
    <row r="85">
      <c r="A85" s="352"/>
      <c r="B85" s="318"/>
      <c r="C85" s="318"/>
      <c r="D85" s="351"/>
      <c r="E85" s="318"/>
    </row>
    <row r="86">
      <c r="A86" s="352"/>
      <c r="B86" s="318"/>
      <c r="C86" s="318"/>
      <c r="D86" s="351"/>
      <c r="E86" s="318"/>
    </row>
    <row r="87">
      <c r="A87" s="352"/>
      <c r="B87" s="318"/>
      <c r="C87" s="318"/>
      <c r="D87" s="351"/>
      <c r="E87" s="318"/>
    </row>
    <row r="88">
      <c r="A88" s="352"/>
      <c r="B88" s="318"/>
      <c r="C88" s="318"/>
      <c r="D88" s="351"/>
      <c r="E88" s="318"/>
    </row>
    <row r="89">
      <c r="A89" s="352"/>
      <c r="B89" s="318"/>
      <c r="C89" s="318"/>
      <c r="D89" s="351"/>
      <c r="E89" s="318"/>
    </row>
    <row r="90">
      <c r="A90" s="352"/>
      <c r="B90" s="318"/>
      <c r="C90" s="318"/>
      <c r="D90" s="351"/>
      <c r="E90" s="318"/>
    </row>
    <row r="91">
      <c r="A91" s="352"/>
      <c r="B91" s="318"/>
      <c r="C91" s="318"/>
      <c r="D91" s="351"/>
      <c r="E91" s="318"/>
    </row>
    <row r="92">
      <c r="A92" s="352"/>
      <c r="B92" s="318"/>
      <c r="C92" s="318"/>
      <c r="D92" s="351"/>
      <c r="E92" s="318"/>
    </row>
    <row r="93">
      <c r="A93" s="352"/>
      <c r="B93" s="318"/>
      <c r="C93" s="318"/>
      <c r="D93" s="351"/>
      <c r="E93" s="318"/>
    </row>
    <row r="94">
      <c r="A94" s="319"/>
      <c r="B94" s="318"/>
      <c r="C94" s="318"/>
      <c r="D94" s="351"/>
      <c r="E94" s="318"/>
    </row>
    <row r="95">
      <c r="A95" s="352"/>
      <c r="B95" s="318"/>
      <c r="C95" s="318"/>
      <c r="D95" s="351"/>
      <c r="E95" s="318"/>
    </row>
    <row r="96">
      <c r="A96" s="352"/>
      <c r="B96" s="318"/>
      <c r="C96" s="318"/>
      <c r="D96" s="351"/>
      <c r="E96" s="318"/>
    </row>
    <row r="97">
      <c r="A97" s="352"/>
      <c r="B97" s="318"/>
      <c r="C97" s="318"/>
      <c r="D97" s="351"/>
      <c r="E97" s="318"/>
    </row>
    <row r="98">
      <c r="A98" s="352"/>
      <c r="B98" s="318"/>
      <c r="C98" s="318"/>
      <c r="D98" s="351"/>
      <c r="E98" s="318"/>
    </row>
    <row r="99">
      <c r="A99" s="352"/>
      <c r="B99" s="318"/>
      <c r="C99" s="318"/>
      <c r="D99" s="351"/>
      <c r="E99" s="318"/>
    </row>
    <row r="100">
      <c r="A100" s="352"/>
      <c r="B100" s="318"/>
      <c r="C100" s="318"/>
      <c r="D100" s="351"/>
      <c r="E100" s="318"/>
    </row>
    <row r="101">
      <c r="A101" s="352"/>
      <c r="B101" s="318"/>
      <c r="C101" s="318"/>
      <c r="D101" s="351"/>
      <c r="E101" s="318"/>
    </row>
    <row r="102">
      <c r="A102" s="352"/>
      <c r="B102" s="318"/>
      <c r="C102" s="318"/>
      <c r="D102" s="351"/>
      <c r="E102" s="318"/>
    </row>
    <row r="103">
      <c r="A103" s="352"/>
      <c r="B103" s="318"/>
      <c r="C103" s="318"/>
      <c r="D103" s="351"/>
      <c r="E103" s="318"/>
    </row>
    <row r="104">
      <c r="A104" s="352"/>
      <c r="B104" s="318"/>
      <c r="C104" s="318"/>
      <c r="D104" s="351"/>
      <c r="E104" s="318"/>
    </row>
    <row r="105">
      <c r="A105" s="352"/>
      <c r="B105" s="318"/>
      <c r="C105" s="318"/>
      <c r="D105" s="351"/>
      <c r="E105" s="318"/>
    </row>
    <row r="106">
      <c r="A106" s="352"/>
      <c r="B106" s="318"/>
      <c r="C106" s="318"/>
      <c r="D106" s="351"/>
      <c r="E106" s="318"/>
    </row>
    <row r="107">
      <c r="A107" s="352"/>
      <c r="B107" s="318"/>
      <c r="C107" s="318"/>
      <c r="D107" s="351"/>
      <c r="E107" s="318"/>
    </row>
    <row r="108">
      <c r="A108" s="352"/>
      <c r="B108" s="318"/>
      <c r="C108" s="318"/>
      <c r="D108" s="351"/>
      <c r="E108" s="318"/>
    </row>
    <row r="109">
      <c r="A109" s="352"/>
      <c r="B109" s="318"/>
      <c r="C109" s="318"/>
      <c r="D109" s="351"/>
      <c r="E109" s="318"/>
    </row>
    <row r="110">
      <c r="A110" s="352"/>
      <c r="B110" s="318"/>
      <c r="C110" s="318"/>
      <c r="D110" s="351"/>
      <c r="E110" s="318"/>
    </row>
    <row r="111">
      <c r="A111" s="352"/>
      <c r="B111" s="318"/>
      <c r="C111" s="318"/>
      <c r="D111" s="351"/>
      <c r="E111" s="318"/>
    </row>
    <row r="112">
      <c r="A112" s="352"/>
      <c r="B112" s="318"/>
      <c r="C112" s="318"/>
      <c r="D112" s="351"/>
      <c r="E112" s="318"/>
    </row>
    <row r="113">
      <c r="A113" s="352"/>
      <c r="B113" s="318"/>
      <c r="C113" s="318"/>
      <c r="D113" s="351"/>
      <c r="E113" s="318"/>
    </row>
    <row r="114">
      <c r="A114" s="352"/>
      <c r="B114" s="318"/>
      <c r="C114" s="318"/>
      <c r="D114" s="351"/>
      <c r="E114" s="318"/>
    </row>
    <row r="115">
      <c r="A115" s="352"/>
      <c r="B115" s="318"/>
      <c r="C115" s="318"/>
      <c r="D115" s="351"/>
      <c r="E115" s="318"/>
    </row>
    <row r="116">
      <c r="A116" s="352"/>
      <c r="B116" s="318"/>
      <c r="C116" s="318"/>
      <c r="D116" s="351"/>
      <c r="E116" s="318"/>
    </row>
    <row r="117">
      <c r="A117" s="352"/>
      <c r="B117" s="318"/>
      <c r="C117" s="318"/>
      <c r="D117" s="351"/>
      <c r="E117" s="318"/>
    </row>
    <row r="118">
      <c r="A118" s="352"/>
      <c r="B118" s="318"/>
      <c r="C118" s="318"/>
      <c r="D118" s="351"/>
      <c r="E118" s="318"/>
    </row>
    <row r="119">
      <c r="A119" s="352"/>
      <c r="B119" s="318"/>
      <c r="C119" s="318"/>
      <c r="D119" s="351"/>
      <c r="E119" s="318"/>
    </row>
    <row r="120">
      <c r="A120" s="352"/>
      <c r="B120" s="318"/>
      <c r="C120" s="318"/>
      <c r="D120" s="351"/>
      <c r="E120" s="318"/>
    </row>
    <row r="121">
      <c r="A121" s="352"/>
      <c r="B121" s="318"/>
      <c r="C121" s="318"/>
      <c r="D121" s="351"/>
      <c r="E121" s="318"/>
    </row>
    <row r="122">
      <c r="A122" s="352"/>
      <c r="B122" s="318"/>
      <c r="C122" s="318"/>
      <c r="D122" s="351"/>
      <c r="E122" s="318"/>
    </row>
    <row r="123">
      <c r="A123" s="352"/>
      <c r="B123" s="318"/>
      <c r="C123" s="318"/>
      <c r="D123" s="351"/>
      <c r="E123" s="318"/>
    </row>
    <row r="124">
      <c r="A124" s="352"/>
      <c r="B124" s="318"/>
      <c r="C124" s="318"/>
      <c r="D124" s="351"/>
      <c r="E124" s="318"/>
    </row>
    <row r="125">
      <c r="A125" s="352"/>
      <c r="B125" s="318"/>
      <c r="C125" s="318"/>
      <c r="D125" s="351"/>
      <c r="E125" s="318"/>
    </row>
    <row r="126">
      <c r="A126" s="352"/>
      <c r="B126" s="318"/>
      <c r="C126" s="318"/>
      <c r="D126" s="351"/>
      <c r="E126" s="318"/>
    </row>
    <row r="127">
      <c r="A127" s="352"/>
      <c r="B127" s="318"/>
      <c r="C127" s="318"/>
      <c r="D127" s="351"/>
      <c r="E127" s="318"/>
    </row>
    <row r="128">
      <c r="A128" s="352"/>
      <c r="B128" s="318"/>
      <c r="C128" s="318"/>
      <c r="D128" s="351"/>
      <c r="E128" s="318"/>
    </row>
    <row r="129">
      <c r="A129" s="352"/>
      <c r="B129" s="318"/>
      <c r="C129" s="318"/>
      <c r="D129" s="351"/>
      <c r="E129" s="318"/>
    </row>
    <row r="130">
      <c r="A130" s="352"/>
      <c r="B130" s="318"/>
      <c r="C130" s="318"/>
      <c r="D130" s="351"/>
      <c r="E130" s="318"/>
    </row>
    <row r="131">
      <c r="A131" s="352"/>
      <c r="B131" s="318"/>
      <c r="C131" s="318"/>
      <c r="D131" s="351"/>
      <c r="E131" s="320"/>
    </row>
    <row r="132">
      <c r="A132" s="352"/>
      <c r="B132" s="318"/>
      <c r="C132" s="318"/>
      <c r="D132" s="351"/>
      <c r="E132" s="318"/>
    </row>
    <row r="133">
      <c r="A133" s="352"/>
      <c r="B133" s="318"/>
      <c r="C133" s="318"/>
      <c r="D133" s="351"/>
      <c r="E133" s="318"/>
    </row>
    <row r="134">
      <c r="A134" s="352"/>
      <c r="B134" s="318"/>
      <c r="C134" s="318"/>
      <c r="D134" s="351"/>
      <c r="E134" s="318"/>
    </row>
    <row r="135">
      <c r="A135" s="352"/>
      <c r="B135" s="318"/>
      <c r="C135" s="318"/>
      <c r="D135" s="351"/>
      <c r="E135" s="318"/>
    </row>
    <row r="136">
      <c r="A136" s="352"/>
      <c r="B136" s="318"/>
      <c r="C136" s="318"/>
      <c r="D136" s="351"/>
      <c r="E136" s="318"/>
    </row>
    <row r="137">
      <c r="A137" s="352"/>
      <c r="B137" s="318"/>
      <c r="C137" s="318"/>
      <c r="D137" s="351"/>
      <c r="E137" s="318"/>
    </row>
    <row r="138">
      <c r="A138" s="352"/>
      <c r="B138" s="318"/>
      <c r="C138" s="318"/>
      <c r="D138" s="351"/>
      <c r="E138" s="318"/>
    </row>
    <row r="139">
      <c r="A139" s="352"/>
      <c r="B139" s="318"/>
      <c r="C139" s="318"/>
      <c r="D139" s="351"/>
      <c r="E139" s="318"/>
    </row>
    <row r="140">
      <c r="A140" s="352"/>
      <c r="B140" s="318"/>
      <c r="C140" s="318"/>
      <c r="D140" s="351"/>
      <c r="E140" s="318"/>
    </row>
    <row r="141">
      <c r="A141" s="352"/>
      <c r="B141" s="318"/>
      <c r="C141" s="318"/>
      <c r="D141" s="351"/>
      <c r="E141" s="318"/>
    </row>
    <row r="142">
      <c r="A142" s="352"/>
      <c r="B142" s="318"/>
      <c r="C142" s="318"/>
      <c r="D142" s="351"/>
      <c r="E142" s="318"/>
    </row>
    <row r="143">
      <c r="A143" s="352"/>
      <c r="B143" s="318"/>
      <c r="C143" s="318"/>
      <c r="D143" s="351"/>
      <c r="E143" s="318"/>
    </row>
    <row r="144">
      <c r="A144" s="352"/>
      <c r="B144" s="318"/>
      <c r="C144" s="318"/>
      <c r="D144" s="351"/>
      <c r="E144" s="318"/>
    </row>
    <row r="145">
      <c r="A145" s="352"/>
      <c r="B145" s="318"/>
      <c r="C145" s="318"/>
      <c r="D145" s="351"/>
      <c r="E145" s="318"/>
    </row>
    <row r="146">
      <c r="A146" s="352"/>
      <c r="B146" s="318"/>
      <c r="C146" s="318"/>
      <c r="D146" s="351"/>
      <c r="E146" s="318"/>
    </row>
    <row r="147">
      <c r="A147" s="352"/>
      <c r="B147" s="318"/>
      <c r="C147" s="318"/>
      <c r="D147" s="351"/>
      <c r="E147" s="318"/>
    </row>
    <row r="148">
      <c r="A148" s="352"/>
      <c r="B148" s="318"/>
      <c r="C148" s="318"/>
      <c r="D148" s="351"/>
      <c r="E148" s="318"/>
    </row>
    <row r="149">
      <c r="A149" s="352"/>
      <c r="B149" s="318"/>
      <c r="C149" s="318"/>
      <c r="D149" s="351"/>
      <c r="E149" s="318"/>
    </row>
    <row r="150">
      <c r="A150" s="352"/>
      <c r="B150" s="318"/>
      <c r="C150" s="318"/>
      <c r="D150" s="351"/>
      <c r="E150" s="318"/>
    </row>
    <row r="151">
      <c r="A151" s="352"/>
      <c r="B151" s="318"/>
      <c r="C151" s="318"/>
      <c r="D151" s="351"/>
      <c r="E151" s="318"/>
    </row>
    <row r="152">
      <c r="A152" s="352"/>
      <c r="B152" s="318"/>
      <c r="C152" s="318"/>
      <c r="D152" s="351"/>
      <c r="E152" s="318"/>
    </row>
    <row r="153">
      <c r="A153" s="352"/>
      <c r="B153" s="318"/>
      <c r="C153" s="318"/>
      <c r="D153" s="351"/>
      <c r="E153" s="318"/>
    </row>
    <row r="154">
      <c r="A154" s="352"/>
      <c r="B154" s="318"/>
      <c r="C154" s="318"/>
      <c r="D154" s="351"/>
      <c r="E154" s="318"/>
    </row>
    <row r="155">
      <c r="A155" s="352"/>
      <c r="B155" s="318"/>
      <c r="C155" s="318"/>
      <c r="D155" s="351"/>
      <c r="E155" s="318"/>
    </row>
    <row r="156">
      <c r="A156" s="352"/>
      <c r="B156" s="318"/>
      <c r="C156" s="318"/>
      <c r="D156" s="351"/>
      <c r="E156" s="318"/>
    </row>
    <row r="157">
      <c r="A157" s="352"/>
      <c r="B157" s="318"/>
      <c r="C157" s="318"/>
      <c r="D157" s="351"/>
      <c r="E157" s="318"/>
    </row>
    <row r="158">
      <c r="A158" s="352"/>
      <c r="B158" s="318"/>
      <c r="C158" s="318"/>
      <c r="D158" s="351"/>
      <c r="E158" s="318"/>
    </row>
    <row r="159">
      <c r="A159" s="352"/>
      <c r="B159" s="318"/>
      <c r="C159" s="318"/>
      <c r="D159" s="351"/>
      <c r="E159" s="318"/>
    </row>
    <row r="160">
      <c r="A160" s="352"/>
      <c r="B160" s="318"/>
      <c r="C160" s="318"/>
      <c r="D160" s="351"/>
      <c r="E160" s="318"/>
    </row>
    <row r="161">
      <c r="A161" s="352"/>
      <c r="B161" s="318"/>
      <c r="C161" s="318"/>
      <c r="D161" s="351"/>
      <c r="E161" s="318"/>
    </row>
    <row r="162">
      <c r="A162" s="352"/>
      <c r="B162" s="318"/>
      <c r="C162" s="318"/>
      <c r="D162" s="351"/>
      <c r="E162" s="318"/>
    </row>
    <row r="163">
      <c r="A163" s="352"/>
      <c r="B163" s="318"/>
      <c r="C163" s="318"/>
      <c r="D163" s="351"/>
      <c r="E163" s="318"/>
    </row>
    <row r="164">
      <c r="A164" s="352"/>
      <c r="B164" s="318"/>
      <c r="C164" s="318"/>
      <c r="D164" s="351"/>
      <c r="E164" s="318"/>
    </row>
    <row r="165">
      <c r="A165" s="352"/>
      <c r="B165" s="318"/>
      <c r="C165" s="318"/>
      <c r="D165" s="351"/>
      <c r="E165" s="318"/>
    </row>
    <row r="166">
      <c r="A166" s="352"/>
      <c r="B166" s="318"/>
      <c r="C166" s="318"/>
      <c r="D166" s="351"/>
      <c r="E166" s="318"/>
    </row>
    <row r="167">
      <c r="A167" s="352"/>
      <c r="B167" s="318"/>
      <c r="C167" s="318"/>
      <c r="D167" s="351"/>
      <c r="E167" s="318"/>
    </row>
    <row r="168">
      <c r="A168" s="352"/>
      <c r="B168" s="318"/>
      <c r="C168" s="318"/>
      <c r="D168" s="351"/>
      <c r="E168" s="318"/>
    </row>
    <row r="169">
      <c r="A169" s="352"/>
      <c r="B169" s="318"/>
      <c r="C169" s="318"/>
      <c r="D169" s="351"/>
      <c r="E169" s="318"/>
    </row>
    <row r="170">
      <c r="A170" s="352"/>
      <c r="B170" s="318"/>
      <c r="C170" s="318"/>
      <c r="D170" s="351"/>
      <c r="E170" s="318"/>
    </row>
    <row r="171">
      <c r="A171" s="352"/>
      <c r="B171" s="318"/>
      <c r="C171" s="318"/>
      <c r="D171" s="351"/>
      <c r="E171" s="318"/>
    </row>
    <row r="172">
      <c r="A172" s="352"/>
      <c r="B172" s="318"/>
      <c r="C172" s="318"/>
      <c r="D172" s="351"/>
      <c r="E172" s="318"/>
    </row>
    <row r="173">
      <c r="A173" s="352"/>
      <c r="B173" s="318"/>
      <c r="C173" s="318"/>
      <c r="D173" s="351"/>
      <c r="E173" s="318"/>
    </row>
    <row r="174">
      <c r="A174" s="352"/>
      <c r="B174" s="318"/>
      <c r="C174" s="318"/>
      <c r="D174" s="351"/>
      <c r="E174" s="318"/>
    </row>
    <row r="175">
      <c r="A175" s="352"/>
      <c r="B175" s="318"/>
      <c r="C175" s="318"/>
      <c r="D175" s="351"/>
      <c r="E175" s="318"/>
    </row>
    <row r="176">
      <c r="A176" s="352"/>
      <c r="B176" s="318"/>
      <c r="C176" s="318"/>
      <c r="D176" s="351"/>
      <c r="E176" s="318"/>
    </row>
    <row r="177">
      <c r="A177" s="352"/>
      <c r="B177" s="318"/>
      <c r="C177" s="318"/>
      <c r="D177" s="351"/>
      <c r="E177" s="318"/>
    </row>
    <row r="178">
      <c r="A178" s="352"/>
      <c r="B178" s="318"/>
      <c r="C178" s="318"/>
      <c r="D178" s="351"/>
      <c r="E178" s="318"/>
    </row>
    <row r="179">
      <c r="A179" s="352"/>
      <c r="B179" s="318"/>
      <c r="C179" s="318"/>
      <c r="D179" s="351"/>
      <c r="E179" s="318"/>
    </row>
    <row r="180">
      <c r="A180" s="352"/>
      <c r="B180" s="318"/>
      <c r="C180" s="318"/>
      <c r="D180" s="351"/>
      <c r="E180" s="318"/>
    </row>
    <row r="181">
      <c r="A181" s="352"/>
      <c r="B181" s="318"/>
      <c r="C181" s="318"/>
      <c r="D181" s="351"/>
      <c r="E181" s="318"/>
    </row>
    <row r="182">
      <c r="A182" s="352"/>
      <c r="B182" s="318"/>
      <c r="C182" s="318"/>
      <c r="D182" s="351"/>
      <c r="E182" s="318"/>
    </row>
    <row r="183">
      <c r="A183" s="352"/>
      <c r="B183" s="318"/>
      <c r="C183" s="318"/>
      <c r="D183" s="351"/>
      <c r="E183" s="318"/>
    </row>
    <row r="184">
      <c r="A184" s="352"/>
      <c r="B184" s="318"/>
      <c r="C184" s="318"/>
      <c r="D184" s="351"/>
      <c r="E184" s="318"/>
    </row>
    <row r="185">
      <c r="A185" s="352"/>
      <c r="B185" s="318"/>
      <c r="C185" s="318"/>
      <c r="D185" s="351"/>
      <c r="E185" s="318"/>
    </row>
    <row r="186">
      <c r="A186" s="352"/>
      <c r="B186" s="318"/>
      <c r="C186" s="318"/>
      <c r="D186" s="351"/>
      <c r="E186" s="318"/>
    </row>
    <row r="187">
      <c r="A187" s="352"/>
      <c r="B187" s="318"/>
      <c r="C187" s="318"/>
      <c r="D187" s="351"/>
      <c r="E187" s="318"/>
    </row>
    <row r="188">
      <c r="A188" s="352"/>
      <c r="B188" s="318"/>
      <c r="C188" s="318"/>
      <c r="D188" s="351"/>
      <c r="E188" s="318"/>
    </row>
    <row r="189">
      <c r="A189" s="352"/>
      <c r="B189" s="318"/>
      <c r="C189" s="318"/>
      <c r="D189" s="351"/>
      <c r="E189" s="318"/>
    </row>
    <row r="190">
      <c r="A190" s="319"/>
      <c r="B190" s="318"/>
      <c r="C190" s="318"/>
      <c r="D190" s="351"/>
      <c r="E190" s="318"/>
    </row>
    <row r="191">
      <c r="A191" s="352"/>
      <c r="B191" s="318"/>
      <c r="C191" s="318"/>
      <c r="D191" s="351"/>
      <c r="E191" s="318"/>
    </row>
    <row r="192">
      <c r="A192" s="352"/>
      <c r="B192" s="318"/>
      <c r="C192" s="318"/>
      <c r="D192" s="351"/>
      <c r="E192" s="318"/>
    </row>
    <row r="193">
      <c r="A193" s="352"/>
      <c r="B193" s="318"/>
      <c r="C193" s="318"/>
      <c r="D193" s="351"/>
      <c r="E193" s="318"/>
    </row>
    <row r="194">
      <c r="A194" s="352"/>
      <c r="B194" s="318"/>
      <c r="C194" s="318"/>
      <c r="D194" s="351"/>
      <c r="E194" s="318"/>
    </row>
    <row r="195">
      <c r="A195" s="352"/>
      <c r="B195" s="318"/>
      <c r="C195" s="318"/>
      <c r="D195" s="351"/>
      <c r="E195" s="318"/>
    </row>
    <row r="196">
      <c r="A196" s="352"/>
      <c r="B196" s="318"/>
      <c r="C196" s="318"/>
      <c r="D196" s="351"/>
      <c r="E196" s="318"/>
    </row>
    <row r="197">
      <c r="A197" s="352"/>
      <c r="B197" s="318"/>
      <c r="C197" s="318"/>
      <c r="D197" s="351"/>
      <c r="E197" s="318"/>
    </row>
    <row r="198">
      <c r="A198" s="352"/>
      <c r="B198" s="318"/>
      <c r="C198" s="318"/>
      <c r="D198" s="351"/>
      <c r="E198" s="318"/>
    </row>
    <row r="199">
      <c r="A199" s="352"/>
      <c r="B199" s="318"/>
      <c r="C199" s="318"/>
      <c r="D199" s="351"/>
      <c r="E199" s="318"/>
    </row>
    <row r="200">
      <c r="A200" s="352"/>
      <c r="B200" s="318"/>
      <c r="C200" s="318"/>
      <c r="D200" s="351"/>
      <c r="E200" s="318"/>
    </row>
    <row r="201">
      <c r="A201" s="352"/>
      <c r="B201" s="318"/>
      <c r="C201" s="318"/>
      <c r="D201" s="351"/>
      <c r="E201" s="318"/>
    </row>
    <row r="202">
      <c r="A202" s="352"/>
      <c r="B202" s="318"/>
      <c r="C202" s="318"/>
      <c r="D202" s="351"/>
      <c r="E202" s="318"/>
    </row>
    <row r="203">
      <c r="A203" s="352"/>
      <c r="B203" s="318"/>
      <c r="C203" s="318"/>
      <c r="D203" s="351"/>
      <c r="E203" s="318"/>
    </row>
    <row r="204">
      <c r="A204" s="352"/>
      <c r="B204" s="318"/>
      <c r="C204" s="318"/>
      <c r="D204" s="351"/>
      <c r="E204" s="318"/>
    </row>
    <row r="205">
      <c r="A205" s="352"/>
      <c r="B205" s="318"/>
      <c r="C205" s="318"/>
      <c r="D205" s="351"/>
      <c r="E205" s="318"/>
    </row>
    <row r="206">
      <c r="A206" s="352"/>
      <c r="B206" s="318"/>
      <c r="C206" s="318"/>
      <c r="D206" s="351"/>
      <c r="E206" s="318"/>
    </row>
    <row r="207">
      <c r="A207" s="352"/>
      <c r="B207" s="318"/>
      <c r="C207" s="318"/>
      <c r="D207" s="351"/>
      <c r="E207" s="318"/>
    </row>
    <row r="208">
      <c r="A208" s="352"/>
      <c r="B208" s="318"/>
      <c r="C208" s="318"/>
      <c r="D208" s="351"/>
      <c r="E208" s="318"/>
    </row>
    <row r="209">
      <c r="A209" s="352"/>
      <c r="B209" s="318"/>
      <c r="C209" s="318"/>
      <c r="D209" s="351"/>
      <c r="E209" s="318"/>
    </row>
    <row r="210">
      <c r="A210" s="352"/>
      <c r="B210" s="318"/>
      <c r="C210" s="318"/>
      <c r="D210" s="351"/>
      <c r="E210" s="318"/>
    </row>
    <row r="211">
      <c r="A211" s="352"/>
      <c r="B211" s="318"/>
      <c r="C211" s="318"/>
      <c r="D211" s="351"/>
      <c r="E211" s="318"/>
    </row>
    <row r="212">
      <c r="A212" s="352"/>
      <c r="B212" s="318"/>
      <c r="C212" s="318"/>
      <c r="D212" s="351"/>
      <c r="E212" s="318"/>
    </row>
    <row r="213">
      <c r="A213" s="322"/>
      <c r="B213" s="318"/>
      <c r="C213" s="318"/>
      <c r="D213" s="351"/>
      <c r="E213" s="318"/>
    </row>
    <row r="214">
      <c r="A214" s="352"/>
      <c r="B214" s="318"/>
      <c r="C214" s="318"/>
      <c r="D214" s="351"/>
      <c r="E214" s="318"/>
    </row>
    <row r="215">
      <c r="A215" s="352"/>
      <c r="B215" s="318"/>
      <c r="C215" s="318"/>
      <c r="D215" s="351"/>
      <c r="E215" s="318"/>
    </row>
    <row r="216">
      <c r="A216" s="352"/>
      <c r="B216" s="318"/>
      <c r="C216" s="318"/>
      <c r="D216" s="351"/>
      <c r="E216" s="318"/>
    </row>
    <row r="217">
      <c r="A217" s="352"/>
      <c r="B217" s="318"/>
      <c r="C217" s="318"/>
      <c r="D217" s="351"/>
      <c r="E217" s="318"/>
    </row>
    <row r="218">
      <c r="A218" s="352"/>
      <c r="B218" s="318"/>
      <c r="C218" s="318"/>
      <c r="D218" s="351"/>
      <c r="E218" s="318"/>
    </row>
    <row r="219">
      <c r="A219" s="352"/>
      <c r="B219" s="318"/>
      <c r="C219" s="318"/>
      <c r="D219" s="351"/>
      <c r="E219" s="318"/>
    </row>
    <row r="220">
      <c r="A220" s="352"/>
      <c r="B220" s="318"/>
      <c r="C220" s="318"/>
      <c r="D220" s="351"/>
      <c r="E220" s="318"/>
    </row>
    <row r="221">
      <c r="A221" s="352"/>
      <c r="B221" s="318"/>
      <c r="C221" s="318"/>
      <c r="D221" s="351"/>
      <c r="E221" s="318"/>
    </row>
    <row r="222">
      <c r="A222" s="352"/>
      <c r="B222" s="318"/>
      <c r="C222" s="318"/>
      <c r="D222" s="351"/>
      <c r="E222" s="318"/>
    </row>
    <row r="223">
      <c r="A223" s="352"/>
      <c r="B223" s="318"/>
      <c r="C223" s="318"/>
      <c r="D223" s="351"/>
      <c r="E223" s="318"/>
    </row>
    <row r="224">
      <c r="A224" s="352"/>
      <c r="B224" s="318"/>
      <c r="C224" s="318"/>
      <c r="D224" s="351"/>
      <c r="E224" s="318"/>
    </row>
    <row r="225">
      <c r="A225" s="352"/>
      <c r="B225" s="318"/>
      <c r="C225" s="318"/>
      <c r="D225" s="351"/>
      <c r="E225" s="318"/>
    </row>
    <row r="226">
      <c r="A226" s="352"/>
      <c r="B226" s="318"/>
      <c r="C226" s="318"/>
      <c r="D226" s="351"/>
      <c r="E226" s="318"/>
    </row>
    <row r="227">
      <c r="A227" s="352"/>
      <c r="B227" s="318"/>
      <c r="C227" s="318"/>
      <c r="D227" s="351"/>
      <c r="E227" s="318"/>
    </row>
    <row r="228">
      <c r="A228" s="352"/>
      <c r="B228" s="318"/>
      <c r="C228" s="318"/>
      <c r="D228" s="351"/>
      <c r="E228" s="318"/>
    </row>
    <row r="229">
      <c r="A229" s="352"/>
      <c r="B229" s="318"/>
      <c r="C229" s="318"/>
      <c r="D229" s="351"/>
      <c r="E229" s="318"/>
    </row>
    <row r="230">
      <c r="A230" s="352"/>
      <c r="B230" s="318"/>
      <c r="C230" s="318"/>
      <c r="D230" s="351"/>
      <c r="E230" s="318"/>
    </row>
    <row r="231">
      <c r="A231" s="352"/>
      <c r="B231" s="318"/>
      <c r="C231" s="318"/>
      <c r="D231" s="351"/>
      <c r="E231" s="318"/>
    </row>
    <row r="232">
      <c r="A232" s="352"/>
      <c r="B232" s="318"/>
      <c r="C232" s="318"/>
      <c r="D232" s="351"/>
      <c r="E232" s="318"/>
    </row>
    <row r="233">
      <c r="A233" s="352"/>
      <c r="B233" s="318"/>
      <c r="C233" s="318"/>
      <c r="D233" s="351"/>
      <c r="E233" s="318"/>
    </row>
    <row r="234">
      <c r="A234" s="352"/>
      <c r="B234" s="318"/>
      <c r="C234" s="318"/>
      <c r="D234" s="351"/>
      <c r="E234" s="318"/>
    </row>
    <row r="235">
      <c r="A235" s="352"/>
      <c r="B235" s="318"/>
      <c r="C235" s="318"/>
      <c r="D235" s="351"/>
      <c r="E235" s="318"/>
    </row>
    <row r="236">
      <c r="A236" s="352"/>
      <c r="B236" s="318"/>
      <c r="C236" s="318"/>
      <c r="D236" s="351"/>
      <c r="E236" s="318"/>
    </row>
    <row r="237">
      <c r="A237" s="352"/>
      <c r="B237" s="318"/>
      <c r="C237" s="318"/>
      <c r="D237" s="351"/>
      <c r="E237" s="318"/>
    </row>
    <row r="238">
      <c r="A238" s="352"/>
      <c r="B238" s="318"/>
      <c r="C238" s="318"/>
      <c r="D238" s="351"/>
      <c r="E238" s="318"/>
    </row>
    <row r="239">
      <c r="A239" s="352"/>
      <c r="B239" s="318"/>
      <c r="C239" s="318"/>
      <c r="D239" s="351"/>
      <c r="E239" s="318"/>
    </row>
    <row r="240">
      <c r="A240" s="352"/>
      <c r="B240" s="318"/>
      <c r="C240" s="318"/>
      <c r="D240" s="351"/>
      <c r="E240" s="318"/>
    </row>
    <row r="241">
      <c r="A241" s="352"/>
      <c r="B241" s="318"/>
      <c r="C241" s="318"/>
      <c r="D241" s="351"/>
      <c r="E241" s="318"/>
    </row>
    <row r="242">
      <c r="A242" s="352"/>
      <c r="B242" s="318"/>
      <c r="C242" s="318"/>
      <c r="D242" s="351"/>
      <c r="E242" s="318"/>
    </row>
    <row r="243">
      <c r="A243" s="352"/>
      <c r="B243" s="318"/>
      <c r="C243" s="318"/>
      <c r="D243" s="351"/>
      <c r="E243" s="318"/>
    </row>
    <row r="244">
      <c r="A244" s="352"/>
      <c r="B244" s="318"/>
      <c r="C244" s="318"/>
      <c r="D244" s="351"/>
      <c r="E244" s="318"/>
    </row>
    <row r="245">
      <c r="A245" s="352"/>
      <c r="B245" s="318"/>
      <c r="C245" s="318"/>
      <c r="D245" s="351"/>
      <c r="E245" s="318"/>
    </row>
    <row r="246">
      <c r="A246" s="352"/>
      <c r="B246" s="318"/>
      <c r="C246" s="318"/>
      <c r="D246" s="351"/>
      <c r="E246" s="318"/>
    </row>
    <row r="247">
      <c r="A247" s="352"/>
      <c r="B247" s="318"/>
      <c r="C247" s="318"/>
      <c r="D247" s="351"/>
      <c r="E247" s="318"/>
    </row>
    <row r="248">
      <c r="A248" s="352"/>
      <c r="B248" s="318"/>
      <c r="C248" s="318"/>
      <c r="D248" s="351"/>
      <c r="E248" s="318"/>
    </row>
    <row r="249">
      <c r="A249" s="352"/>
      <c r="B249" s="318"/>
      <c r="C249" s="318"/>
      <c r="D249" s="351"/>
      <c r="E249" s="318"/>
    </row>
    <row r="250">
      <c r="A250" s="352"/>
      <c r="B250" s="318"/>
      <c r="C250" s="318"/>
      <c r="D250" s="351"/>
      <c r="E250" s="318"/>
    </row>
    <row r="251">
      <c r="A251" s="352"/>
      <c r="B251" s="318"/>
      <c r="C251" s="318"/>
      <c r="D251" s="351"/>
      <c r="E251" s="318"/>
    </row>
    <row r="252">
      <c r="A252" s="352"/>
      <c r="B252" s="318"/>
      <c r="C252" s="318"/>
      <c r="D252" s="351"/>
      <c r="E252" s="318"/>
    </row>
    <row r="253">
      <c r="A253" s="352"/>
      <c r="B253" s="318"/>
      <c r="C253" s="318"/>
      <c r="D253" s="351"/>
      <c r="E253" s="318"/>
    </row>
    <row r="254">
      <c r="A254" s="352"/>
      <c r="B254" s="318"/>
      <c r="C254" s="318"/>
      <c r="D254" s="351"/>
      <c r="E254" s="318"/>
    </row>
    <row r="255">
      <c r="A255" s="352"/>
      <c r="B255" s="318"/>
      <c r="C255" s="318"/>
      <c r="D255" s="351"/>
      <c r="E255" s="318"/>
    </row>
    <row r="256">
      <c r="A256" s="352"/>
      <c r="B256" s="318"/>
      <c r="C256" s="318"/>
      <c r="D256" s="351"/>
      <c r="E256" s="318"/>
    </row>
    <row r="257">
      <c r="A257" s="352"/>
      <c r="B257" s="318"/>
      <c r="C257" s="318"/>
      <c r="D257" s="351"/>
      <c r="E257" s="318"/>
    </row>
    <row r="258">
      <c r="A258" s="352"/>
      <c r="B258" s="318"/>
      <c r="C258" s="318"/>
      <c r="D258" s="351"/>
      <c r="E258" s="318"/>
    </row>
    <row r="259">
      <c r="A259" s="352"/>
      <c r="B259" s="318"/>
      <c r="C259" s="318"/>
      <c r="D259" s="351"/>
      <c r="E259" s="318"/>
    </row>
    <row r="260">
      <c r="A260" s="352"/>
      <c r="B260" s="318"/>
      <c r="C260" s="318"/>
      <c r="D260" s="351"/>
      <c r="E260" s="318"/>
    </row>
    <row r="261">
      <c r="A261" s="352"/>
      <c r="B261" s="318"/>
      <c r="C261" s="318"/>
      <c r="D261" s="351"/>
      <c r="E261" s="318"/>
    </row>
    <row r="262">
      <c r="A262" s="352"/>
      <c r="B262" s="318"/>
      <c r="C262" s="318"/>
      <c r="D262" s="351"/>
      <c r="E262" s="318"/>
    </row>
    <row r="263">
      <c r="A263" s="352"/>
      <c r="B263" s="318"/>
      <c r="C263" s="318"/>
      <c r="D263" s="351"/>
      <c r="E263" s="318"/>
    </row>
    <row r="264">
      <c r="A264" s="352"/>
      <c r="B264" s="318"/>
      <c r="C264" s="318"/>
      <c r="D264" s="351"/>
      <c r="E264" s="318"/>
    </row>
    <row r="265">
      <c r="A265" s="352"/>
      <c r="B265" s="318"/>
      <c r="C265" s="318"/>
      <c r="D265" s="351"/>
      <c r="E265" s="318"/>
    </row>
    <row r="266">
      <c r="A266" s="352"/>
      <c r="B266" s="318"/>
      <c r="C266" s="318"/>
      <c r="D266" s="351"/>
      <c r="E266" s="318"/>
    </row>
    <row r="267">
      <c r="A267" s="352"/>
      <c r="B267" s="318"/>
      <c r="C267" s="318"/>
      <c r="D267" s="351"/>
      <c r="E267" s="318"/>
    </row>
    <row r="268">
      <c r="A268" s="352"/>
      <c r="B268" s="318"/>
      <c r="C268" s="318"/>
      <c r="D268" s="351"/>
      <c r="E268" s="318"/>
    </row>
    <row r="269">
      <c r="A269" s="352"/>
      <c r="B269" s="318"/>
      <c r="C269" s="318"/>
      <c r="D269" s="351"/>
      <c r="E269" s="318"/>
    </row>
    <row r="270">
      <c r="A270" s="352"/>
      <c r="B270" s="318"/>
      <c r="C270" s="318"/>
      <c r="D270" s="351"/>
      <c r="E270" s="318"/>
    </row>
    <row r="271">
      <c r="A271" s="352"/>
      <c r="B271" s="318"/>
      <c r="C271" s="318"/>
      <c r="D271" s="351"/>
      <c r="E271" s="318"/>
    </row>
    <row r="272">
      <c r="A272" s="352"/>
      <c r="B272" s="318"/>
      <c r="C272" s="318"/>
      <c r="D272" s="351"/>
      <c r="E272" s="318"/>
    </row>
    <row r="273">
      <c r="A273" s="352"/>
      <c r="B273" s="318"/>
      <c r="C273" s="318"/>
      <c r="D273" s="351"/>
      <c r="E273" s="318"/>
    </row>
    <row r="274">
      <c r="A274" s="352"/>
      <c r="B274" s="318"/>
      <c r="C274" s="318"/>
      <c r="D274" s="351"/>
      <c r="E274" s="318"/>
    </row>
    <row r="275">
      <c r="A275" s="352"/>
      <c r="B275" s="318"/>
      <c r="C275" s="318"/>
      <c r="D275" s="351"/>
      <c r="E275" s="318"/>
    </row>
    <row r="276">
      <c r="A276" s="352"/>
      <c r="B276" s="318"/>
      <c r="C276" s="318"/>
      <c r="D276" s="351"/>
      <c r="E276" s="318"/>
    </row>
    <row r="277">
      <c r="A277" s="352"/>
      <c r="B277" s="318"/>
      <c r="C277" s="318"/>
      <c r="D277" s="351"/>
      <c r="E277" s="318"/>
    </row>
    <row r="278">
      <c r="A278" s="352"/>
      <c r="B278" s="318"/>
      <c r="C278" s="318"/>
      <c r="D278" s="351"/>
      <c r="E278" s="318"/>
    </row>
    <row r="279">
      <c r="A279" s="352"/>
      <c r="B279" s="318"/>
      <c r="C279" s="318"/>
      <c r="D279" s="351"/>
      <c r="E279" s="318"/>
    </row>
    <row r="280">
      <c r="A280" s="352"/>
      <c r="B280" s="318"/>
      <c r="C280" s="318"/>
      <c r="D280" s="351"/>
      <c r="E280" s="318"/>
    </row>
    <row r="281">
      <c r="A281" s="352"/>
      <c r="B281" s="318"/>
      <c r="C281" s="318"/>
      <c r="D281" s="351"/>
      <c r="E281" s="318"/>
    </row>
    <row r="282">
      <c r="A282" s="352"/>
      <c r="B282" s="318"/>
      <c r="C282" s="318"/>
      <c r="D282" s="351"/>
      <c r="E282" s="318"/>
    </row>
    <row r="283">
      <c r="A283" s="352"/>
      <c r="B283" s="318"/>
      <c r="C283" s="318"/>
      <c r="D283" s="351"/>
      <c r="E283" s="318"/>
    </row>
    <row r="284">
      <c r="A284" s="352"/>
      <c r="B284" s="318"/>
      <c r="C284" s="318"/>
      <c r="D284" s="351"/>
      <c r="E284" s="318"/>
    </row>
    <row r="285">
      <c r="A285" s="352"/>
      <c r="B285" s="318"/>
      <c r="C285" s="318"/>
      <c r="D285" s="351"/>
      <c r="E285" s="318"/>
    </row>
    <row r="286">
      <c r="A286" s="352"/>
      <c r="B286" s="318"/>
      <c r="C286" s="318"/>
      <c r="D286" s="351"/>
      <c r="E286" s="318"/>
    </row>
    <row r="287">
      <c r="A287" s="352"/>
      <c r="B287" s="318"/>
      <c r="C287" s="318"/>
      <c r="D287" s="351"/>
      <c r="E287" s="318"/>
    </row>
    <row r="288">
      <c r="A288" s="352"/>
      <c r="B288" s="318"/>
      <c r="C288" s="318"/>
      <c r="D288" s="351"/>
      <c r="E288" s="318"/>
    </row>
    <row r="289">
      <c r="A289" s="352"/>
      <c r="B289" s="318"/>
      <c r="C289" s="318"/>
      <c r="D289" s="351"/>
      <c r="E289" s="318"/>
    </row>
    <row r="290">
      <c r="A290" s="352"/>
      <c r="B290" s="318"/>
      <c r="C290" s="318"/>
      <c r="D290" s="351"/>
      <c r="E290" s="318"/>
    </row>
    <row r="291">
      <c r="A291" s="352"/>
      <c r="B291" s="318"/>
      <c r="C291" s="318"/>
      <c r="D291" s="351"/>
      <c r="E291" s="318"/>
    </row>
    <row r="292">
      <c r="A292" s="352"/>
      <c r="B292" s="318"/>
      <c r="C292" s="318"/>
      <c r="D292" s="351"/>
      <c r="E292" s="318"/>
    </row>
    <row r="293">
      <c r="A293" s="352"/>
      <c r="B293" s="318"/>
      <c r="C293" s="318"/>
      <c r="D293" s="351"/>
      <c r="E293" s="318"/>
    </row>
    <row r="294">
      <c r="A294" s="352"/>
      <c r="B294" s="318"/>
      <c r="C294" s="318"/>
      <c r="D294" s="351"/>
      <c r="E294" s="318"/>
    </row>
    <row r="295">
      <c r="A295" s="352"/>
      <c r="B295" s="318"/>
      <c r="C295" s="318"/>
      <c r="D295" s="351"/>
      <c r="E295" s="318"/>
    </row>
    <row r="296">
      <c r="A296" s="352"/>
      <c r="B296" s="318"/>
      <c r="C296" s="318"/>
      <c r="D296" s="351"/>
      <c r="E296" s="318"/>
    </row>
    <row r="297">
      <c r="A297" s="352"/>
      <c r="B297" s="318"/>
      <c r="C297" s="318"/>
      <c r="D297" s="351"/>
      <c r="E297" s="318"/>
    </row>
    <row r="298">
      <c r="A298" s="352"/>
      <c r="B298" s="318"/>
      <c r="C298" s="318"/>
      <c r="D298" s="351"/>
      <c r="E298" s="318"/>
    </row>
    <row r="299">
      <c r="A299" s="352"/>
      <c r="B299" s="318"/>
      <c r="C299" s="318"/>
      <c r="D299" s="351"/>
      <c r="E299" s="318"/>
    </row>
    <row r="300">
      <c r="A300" s="352"/>
      <c r="B300" s="318"/>
      <c r="C300" s="318"/>
      <c r="D300" s="351"/>
      <c r="E300" s="318"/>
    </row>
    <row r="301">
      <c r="A301" s="352"/>
      <c r="B301" s="318"/>
      <c r="C301" s="318"/>
      <c r="D301" s="351"/>
      <c r="E301" s="318"/>
    </row>
    <row r="302">
      <c r="A302" s="352"/>
      <c r="B302" s="318"/>
      <c r="C302" s="318"/>
      <c r="D302" s="351"/>
      <c r="E302" s="318"/>
    </row>
    <row r="303">
      <c r="A303" s="352"/>
      <c r="B303" s="318"/>
      <c r="C303" s="318"/>
      <c r="D303" s="351"/>
      <c r="E303" s="318"/>
    </row>
    <row r="304">
      <c r="A304" s="352"/>
      <c r="B304" s="318"/>
      <c r="C304" s="318"/>
      <c r="D304" s="351"/>
      <c r="E304" s="318"/>
    </row>
    <row r="305">
      <c r="A305" s="352"/>
      <c r="B305" s="318"/>
      <c r="C305" s="318"/>
      <c r="D305" s="351"/>
      <c r="E305" s="318"/>
    </row>
    <row r="306">
      <c r="A306" s="352"/>
      <c r="B306" s="318"/>
      <c r="C306" s="318"/>
      <c r="D306" s="351"/>
      <c r="E306" s="318"/>
    </row>
    <row r="307">
      <c r="A307" s="352"/>
      <c r="B307" s="318"/>
      <c r="C307" s="318"/>
      <c r="D307" s="351"/>
      <c r="E307" s="318"/>
    </row>
    <row r="308">
      <c r="A308" s="352"/>
      <c r="B308" s="318"/>
      <c r="C308" s="318"/>
      <c r="D308" s="351"/>
      <c r="E308" s="318"/>
    </row>
    <row r="309">
      <c r="A309" s="352"/>
      <c r="B309" s="318"/>
      <c r="C309" s="318"/>
      <c r="D309" s="351"/>
      <c r="E309" s="318"/>
    </row>
    <row r="310">
      <c r="A310" s="352"/>
      <c r="B310" s="318"/>
      <c r="C310" s="318"/>
      <c r="D310" s="351"/>
      <c r="E310" s="318"/>
    </row>
    <row r="311">
      <c r="A311" s="352"/>
      <c r="B311" s="318"/>
      <c r="C311" s="318"/>
      <c r="D311" s="351"/>
      <c r="E311" s="318"/>
    </row>
    <row r="312">
      <c r="A312" s="352"/>
      <c r="B312" s="318"/>
      <c r="C312" s="318"/>
      <c r="D312" s="351"/>
      <c r="E312" s="318"/>
    </row>
    <row r="313">
      <c r="A313" s="352"/>
      <c r="B313" s="318"/>
      <c r="C313" s="318"/>
      <c r="D313" s="351"/>
      <c r="E313" s="318"/>
    </row>
    <row r="314">
      <c r="A314" s="352"/>
      <c r="B314" s="318"/>
      <c r="C314" s="318"/>
      <c r="D314" s="351"/>
      <c r="E314" s="318"/>
    </row>
    <row r="315">
      <c r="A315" s="352"/>
      <c r="B315" s="318"/>
      <c r="C315" s="318"/>
      <c r="D315" s="351"/>
      <c r="E315" s="318"/>
    </row>
    <row r="316">
      <c r="A316" s="352"/>
      <c r="B316" s="318"/>
      <c r="C316" s="318"/>
      <c r="D316" s="351"/>
      <c r="E316" s="318"/>
    </row>
    <row r="317">
      <c r="A317" s="352"/>
      <c r="B317" s="318"/>
      <c r="C317" s="318"/>
      <c r="D317" s="351"/>
      <c r="E317" s="318"/>
    </row>
    <row r="318">
      <c r="A318" s="352"/>
      <c r="B318" s="318"/>
      <c r="C318" s="318"/>
      <c r="D318" s="351"/>
      <c r="E318" s="318"/>
    </row>
    <row r="319">
      <c r="A319" s="352"/>
      <c r="B319" s="318"/>
      <c r="C319" s="318"/>
      <c r="D319" s="351"/>
      <c r="E319" s="318"/>
    </row>
    <row r="320">
      <c r="A320" s="352"/>
      <c r="B320" s="318"/>
      <c r="C320" s="318"/>
      <c r="D320" s="351"/>
      <c r="E320" s="318"/>
    </row>
    <row r="321">
      <c r="A321" s="352"/>
      <c r="B321" s="318"/>
      <c r="C321" s="318"/>
      <c r="D321" s="351"/>
      <c r="E321" s="318"/>
    </row>
    <row r="322">
      <c r="A322" s="352"/>
      <c r="B322" s="318"/>
      <c r="C322" s="318"/>
      <c r="D322" s="351"/>
      <c r="E322" s="318"/>
    </row>
    <row r="323">
      <c r="A323" s="352"/>
      <c r="B323" s="318"/>
      <c r="C323" s="318"/>
      <c r="D323" s="351"/>
      <c r="E323" s="318"/>
    </row>
    <row r="324">
      <c r="A324" s="352"/>
      <c r="B324" s="318"/>
      <c r="C324" s="318"/>
      <c r="D324" s="351"/>
      <c r="E324" s="318"/>
    </row>
    <row r="325">
      <c r="A325" s="352"/>
      <c r="B325" s="318"/>
      <c r="C325" s="318"/>
      <c r="D325" s="351"/>
      <c r="E325" s="318"/>
    </row>
    <row r="326">
      <c r="A326" s="352"/>
      <c r="B326" s="318"/>
      <c r="C326" s="318"/>
      <c r="D326" s="351"/>
      <c r="E326" s="318"/>
    </row>
    <row r="327">
      <c r="A327" s="352"/>
      <c r="B327" s="318"/>
      <c r="C327" s="318"/>
      <c r="D327" s="351"/>
      <c r="E327" s="318"/>
    </row>
    <row r="328">
      <c r="A328" s="352"/>
      <c r="B328" s="318"/>
      <c r="C328" s="318"/>
      <c r="D328" s="351"/>
      <c r="E328" s="318"/>
    </row>
    <row r="329">
      <c r="A329" s="352"/>
      <c r="B329" s="318"/>
      <c r="C329" s="318"/>
      <c r="D329" s="351"/>
      <c r="E329" s="318"/>
    </row>
    <row r="330">
      <c r="A330" s="352"/>
      <c r="B330" s="318"/>
      <c r="C330" s="318"/>
      <c r="D330" s="351"/>
      <c r="E330" s="318"/>
    </row>
    <row r="331">
      <c r="A331" s="352"/>
      <c r="B331" s="318"/>
      <c r="C331" s="318"/>
      <c r="D331" s="351"/>
      <c r="E331" s="318"/>
    </row>
    <row r="332">
      <c r="A332" s="352"/>
      <c r="B332" s="318"/>
      <c r="C332" s="318"/>
      <c r="D332" s="351"/>
      <c r="E332" s="318"/>
    </row>
    <row r="333">
      <c r="A333" s="352"/>
      <c r="B333" s="318"/>
      <c r="C333" s="318"/>
      <c r="D333" s="351"/>
      <c r="E333" s="318"/>
    </row>
    <row r="334">
      <c r="A334" s="352"/>
      <c r="B334" s="318"/>
      <c r="C334" s="318"/>
      <c r="D334" s="351"/>
      <c r="E334" s="318"/>
    </row>
    <row r="335">
      <c r="A335" s="352"/>
      <c r="B335" s="318"/>
      <c r="C335" s="318"/>
      <c r="D335" s="351"/>
      <c r="E335" s="318"/>
    </row>
    <row r="336">
      <c r="A336" s="352"/>
      <c r="B336" s="318"/>
      <c r="C336" s="318"/>
      <c r="D336" s="351"/>
      <c r="E336" s="318"/>
    </row>
    <row r="337">
      <c r="A337" s="352"/>
      <c r="B337" s="318"/>
      <c r="C337" s="318"/>
      <c r="D337" s="351"/>
      <c r="E337" s="318"/>
    </row>
    <row r="338">
      <c r="A338" s="352"/>
      <c r="B338" s="318"/>
      <c r="C338" s="318"/>
      <c r="D338" s="351"/>
      <c r="E338" s="318"/>
    </row>
    <row r="339">
      <c r="A339" s="352"/>
      <c r="B339" s="318"/>
      <c r="C339" s="318"/>
      <c r="D339" s="351"/>
      <c r="E339" s="318"/>
    </row>
    <row r="340">
      <c r="A340" s="352"/>
      <c r="B340" s="318"/>
      <c r="C340" s="318"/>
      <c r="D340" s="351"/>
      <c r="E340" s="318"/>
    </row>
    <row r="341">
      <c r="A341" s="352"/>
      <c r="B341" s="318"/>
      <c r="C341" s="318"/>
      <c r="D341" s="351"/>
      <c r="E341" s="318"/>
    </row>
    <row r="342">
      <c r="A342" s="352"/>
      <c r="B342" s="318"/>
      <c r="C342" s="318"/>
      <c r="D342" s="351"/>
      <c r="E342" s="318"/>
    </row>
    <row r="343">
      <c r="A343" s="352"/>
      <c r="B343" s="318"/>
      <c r="C343" s="318"/>
      <c r="D343" s="351"/>
      <c r="E343" s="318"/>
    </row>
    <row r="344">
      <c r="A344" s="352"/>
      <c r="B344" s="318"/>
      <c r="C344" s="318"/>
      <c r="D344" s="351"/>
      <c r="E344" s="318"/>
    </row>
    <row r="345">
      <c r="A345" s="352"/>
      <c r="B345" s="318"/>
      <c r="C345" s="318"/>
      <c r="D345" s="351"/>
      <c r="E345" s="318"/>
    </row>
    <row r="346">
      <c r="A346" s="352"/>
      <c r="B346" s="318"/>
      <c r="C346" s="318"/>
      <c r="D346" s="351"/>
      <c r="E346" s="318"/>
    </row>
    <row r="347">
      <c r="A347" s="352"/>
      <c r="B347" s="318"/>
      <c r="C347" s="318"/>
      <c r="D347" s="351"/>
      <c r="E347" s="318"/>
    </row>
    <row r="348">
      <c r="A348" s="352"/>
      <c r="B348" s="318"/>
      <c r="C348" s="318"/>
      <c r="D348" s="351"/>
      <c r="E348" s="318"/>
    </row>
    <row r="349">
      <c r="A349" s="352"/>
      <c r="B349" s="318"/>
      <c r="C349" s="318"/>
      <c r="D349" s="351"/>
      <c r="E349" s="318"/>
    </row>
    <row r="350">
      <c r="A350" s="352"/>
      <c r="B350" s="318"/>
      <c r="C350" s="318"/>
      <c r="D350" s="351"/>
      <c r="E350" s="318"/>
    </row>
    <row r="351">
      <c r="A351" s="352"/>
      <c r="B351" s="318"/>
      <c r="C351" s="318"/>
      <c r="D351" s="351"/>
      <c r="E351" s="318"/>
    </row>
    <row r="352">
      <c r="A352" s="352"/>
      <c r="B352" s="318"/>
      <c r="C352" s="318"/>
      <c r="D352" s="351"/>
      <c r="E352" s="318"/>
    </row>
    <row r="353">
      <c r="A353" s="352"/>
      <c r="B353" s="318"/>
      <c r="C353" s="318"/>
      <c r="D353" s="351"/>
      <c r="E353" s="318"/>
    </row>
    <row r="354">
      <c r="A354" s="352"/>
      <c r="B354" s="318"/>
      <c r="C354" s="318"/>
      <c r="D354" s="351"/>
      <c r="E354" s="318"/>
    </row>
    <row r="355">
      <c r="A355" s="352"/>
      <c r="B355" s="318"/>
      <c r="C355" s="318"/>
      <c r="D355" s="351"/>
      <c r="E355" s="318"/>
    </row>
    <row r="356">
      <c r="A356" s="352"/>
      <c r="B356" s="318"/>
      <c r="C356" s="318"/>
      <c r="D356" s="351"/>
      <c r="E356" s="318"/>
    </row>
    <row r="357">
      <c r="A357" s="352"/>
      <c r="B357" s="318"/>
      <c r="C357" s="318"/>
      <c r="D357" s="351"/>
      <c r="E357" s="318"/>
    </row>
    <row r="358">
      <c r="A358" s="352"/>
      <c r="B358" s="318"/>
      <c r="C358" s="318"/>
      <c r="D358" s="351"/>
      <c r="E358" s="318"/>
    </row>
    <row r="359">
      <c r="A359" s="352"/>
      <c r="B359" s="318"/>
      <c r="C359" s="318"/>
      <c r="D359" s="351"/>
      <c r="E359" s="318"/>
    </row>
    <row r="360">
      <c r="A360" s="352"/>
      <c r="B360" s="318"/>
      <c r="C360" s="318"/>
      <c r="D360" s="351"/>
      <c r="E360" s="318"/>
    </row>
    <row r="361">
      <c r="A361" s="352"/>
      <c r="B361" s="318"/>
      <c r="C361" s="318"/>
      <c r="D361" s="351"/>
      <c r="E361" s="318"/>
    </row>
    <row r="362">
      <c r="A362" s="352"/>
      <c r="B362" s="318"/>
      <c r="C362" s="318"/>
      <c r="D362" s="351"/>
      <c r="E362" s="318"/>
    </row>
    <row r="363">
      <c r="A363" s="352"/>
      <c r="B363" s="318"/>
      <c r="C363" s="318"/>
      <c r="D363" s="351"/>
      <c r="E363" s="318"/>
    </row>
    <row r="364">
      <c r="A364" s="352"/>
      <c r="B364" s="318"/>
      <c r="C364" s="318"/>
      <c r="D364" s="351"/>
      <c r="E364" s="318"/>
    </row>
    <row r="365">
      <c r="A365" s="352"/>
      <c r="B365" s="318"/>
      <c r="C365" s="318"/>
      <c r="D365" s="351"/>
      <c r="E365" s="318"/>
    </row>
    <row r="366">
      <c r="A366" s="352"/>
      <c r="B366" s="318"/>
      <c r="C366" s="318"/>
      <c r="D366" s="351"/>
      <c r="E366" s="318"/>
    </row>
    <row r="367">
      <c r="A367" s="352"/>
      <c r="B367" s="318"/>
      <c r="C367" s="318"/>
      <c r="D367" s="351"/>
      <c r="E367" s="318"/>
    </row>
    <row r="368">
      <c r="A368" s="352"/>
      <c r="B368" s="318"/>
      <c r="C368" s="318"/>
      <c r="D368" s="351"/>
      <c r="E368" s="318"/>
    </row>
    <row r="369">
      <c r="A369" s="352"/>
      <c r="B369" s="318"/>
      <c r="C369" s="318"/>
      <c r="D369" s="351"/>
      <c r="E369" s="318"/>
    </row>
    <row r="370">
      <c r="A370" s="352"/>
      <c r="B370" s="318"/>
      <c r="C370" s="318"/>
      <c r="D370" s="351"/>
      <c r="E370" s="318"/>
    </row>
    <row r="371">
      <c r="A371" s="352"/>
      <c r="B371" s="318"/>
      <c r="C371" s="318"/>
      <c r="D371" s="351"/>
      <c r="E371" s="318"/>
    </row>
    <row r="372">
      <c r="A372" s="352"/>
      <c r="B372" s="318"/>
      <c r="C372" s="318"/>
      <c r="D372" s="351"/>
      <c r="E372" s="318"/>
    </row>
    <row r="373">
      <c r="A373" s="352"/>
      <c r="B373" s="318"/>
      <c r="C373" s="318"/>
      <c r="D373" s="351"/>
      <c r="E373" s="318"/>
    </row>
    <row r="374">
      <c r="A374" s="352"/>
      <c r="B374" s="318"/>
      <c r="C374" s="318"/>
      <c r="D374" s="351"/>
      <c r="E374" s="318"/>
    </row>
    <row r="375">
      <c r="A375" s="352"/>
      <c r="B375" s="318"/>
      <c r="C375" s="318"/>
      <c r="D375" s="351"/>
      <c r="E375" s="318"/>
    </row>
    <row r="376">
      <c r="A376" s="352"/>
      <c r="B376" s="318"/>
      <c r="C376" s="318"/>
      <c r="D376" s="351"/>
      <c r="E376" s="318"/>
    </row>
    <row r="377">
      <c r="A377" s="352"/>
      <c r="B377" s="318"/>
      <c r="C377" s="318"/>
      <c r="D377" s="351"/>
      <c r="E377" s="318"/>
    </row>
    <row r="378">
      <c r="A378" s="352"/>
      <c r="B378" s="318"/>
      <c r="C378" s="318"/>
      <c r="D378" s="351"/>
      <c r="E378" s="318"/>
    </row>
    <row r="379">
      <c r="A379" s="352"/>
      <c r="B379" s="318"/>
      <c r="C379" s="318"/>
      <c r="D379" s="351"/>
      <c r="E379" s="318"/>
    </row>
    <row r="380">
      <c r="A380" s="352"/>
      <c r="B380" s="318"/>
      <c r="C380" s="318"/>
      <c r="D380" s="351"/>
      <c r="E380" s="318"/>
    </row>
    <row r="381">
      <c r="A381" s="352"/>
      <c r="B381" s="318"/>
      <c r="C381" s="318"/>
      <c r="D381" s="351"/>
      <c r="E381" s="318"/>
    </row>
    <row r="382">
      <c r="A382" s="352"/>
      <c r="B382" s="318"/>
      <c r="C382" s="318"/>
      <c r="D382" s="351"/>
      <c r="E382" s="318"/>
    </row>
    <row r="383">
      <c r="A383" s="352"/>
      <c r="B383" s="318"/>
      <c r="C383" s="318"/>
      <c r="D383" s="351"/>
      <c r="E383" s="318"/>
    </row>
    <row r="384">
      <c r="A384" s="352"/>
      <c r="B384" s="318"/>
      <c r="C384" s="318"/>
      <c r="D384" s="351"/>
      <c r="E384" s="318"/>
    </row>
    <row r="385">
      <c r="A385" s="352"/>
      <c r="B385" s="318"/>
      <c r="C385" s="318"/>
      <c r="D385" s="351"/>
      <c r="E385" s="318"/>
    </row>
    <row r="386">
      <c r="A386" s="352"/>
      <c r="B386" s="318"/>
      <c r="C386" s="318"/>
      <c r="D386" s="351"/>
      <c r="E386" s="318"/>
    </row>
    <row r="387">
      <c r="A387" s="352"/>
      <c r="B387" s="318"/>
      <c r="C387" s="318"/>
      <c r="D387" s="351"/>
      <c r="E387" s="318"/>
    </row>
    <row r="388">
      <c r="A388" s="352"/>
      <c r="B388" s="318"/>
      <c r="C388" s="318"/>
      <c r="D388" s="351"/>
      <c r="E388" s="318"/>
    </row>
    <row r="389">
      <c r="A389" s="352"/>
      <c r="B389" s="318"/>
      <c r="C389" s="318"/>
      <c r="D389" s="351"/>
      <c r="E389" s="318"/>
    </row>
    <row r="390">
      <c r="A390" s="352"/>
      <c r="B390" s="318"/>
      <c r="C390" s="318"/>
      <c r="D390" s="351"/>
      <c r="E390" s="318"/>
    </row>
    <row r="391">
      <c r="A391" s="352"/>
      <c r="B391" s="318"/>
      <c r="C391" s="318"/>
      <c r="D391" s="351"/>
      <c r="E391" s="318"/>
    </row>
    <row r="392">
      <c r="A392" s="352"/>
      <c r="B392" s="318"/>
      <c r="C392" s="318"/>
      <c r="D392" s="351"/>
      <c r="E392" s="318"/>
    </row>
    <row r="393">
      <c r="A393" s="352"/>
      <c r="B393" s="318"/>
      <c r="C393" s="318"/>
      <c r="D393" s="351"/>
      <c r="E393" s="318"/>
    </row>
    <row r="394">
      <c r="A394" s="352"/>
      <c r="B394" s="318"/>
      <c r="C394" s="318"/>
      <c r="D394" s="351"/>
      <c r="E394" s="318"/>
    </row>
    <row r="395">
      <c r="A395" s="352"/>
      <c r="B395" s="318"/>
      <c r="C395" s="318"/>
      <c r="D395" s="351"/>
      <c r="E395" s="318"/>
    </row>
    <row r="396">
      <c r="A396" s="352"/>
      <c r="B396" s="318"/>
      <c r="C396" s="318"/>
      <c r="D396" s="351"/>
      <c r="E396" s="318"/>
    </row>
    <row r="397">
      <c r="A397" s="352"/>
      <c r="B397" s="318"/>
      <c r="C397" s="318"/>
      <c r="D397" s="351"/>
      <c r="E397" s="318"/>
    </row>
    <row r="398">
      <c r="A398" s="352"/>
      <c r="B398" s="318"/>
      <c r="C398" s="318"/>
      <c r="D398" s="351"/>
      <c r="E398" s="318"/>
    </row>
    <row r="399">
      <c r="A399" s="352"/>
      <c r="B399" s="318"/>
      <c r="C399" s="318"/>
      <c r="D399" s="351"/>
      <c r="E399" s="318"/>
    </row>
    <row r="400">
      <c r="A400" s="352"/>
      <c r="B400" s="318"/>
      <c r="C400" s="318"/>
      <c r="D400" s="351"/>
      <c r="E400" s="318"/>
    </row>
    <row r="401">
      <c r="A401" s="352"/>
      <c r="B401" s="318"/>
      <c r="C401" s="318"/>
      <c r="D401" s="351"/>
      <c r="E401" s="318"/>
    </row>
    <row r="402">
      <c r="A402" s="352"/>
      <c r="B402" s="318"/>
      <c r="C402" s="318"/>
      <c r="D402" s="351"/>
      <c r="E402" s="318"/>
    </row>
    <row r="403">
      <c r="A403" s="352"/>
      <c r="B403" s="318"/>
      <c r="C403" s="318"/>
      <c r="D403" s="351"/>
      <c r="E403" s="318"/>
    </row>
    <row r="404">
      <c r="A404" s="352"/>
      <c r="B404" s="318"/>
      <c r="C404" s="318"/>
      <c r="D404" s="351"/>
      <c r="E404" s="318"/>
    </row>
    <row r="405">
      <c r="A405" s="352"/>
      <c r="B405" s="318"/>
      <c r="C405" s="318"/>
      <c r="D405" s="351"/>
      <c r="E405" s="318"/>
    </row>
    <row r="406">
      <c r="A406" s="352"/>
      <c r="B406" s="318"/>
      <c r="C406" s="318"/>
      <c r="D406" s="351"/>
      <c r="E406" s="318"/>
    </row>
    <row r="407">
      <c r="A407" s="352"/>
      <c r="B407" s="318"/>
      <c r="C407" s="318"/>
      <c r="D407" s="351"/>
      <c r="E407" s="318"/>
    </row>
    <row r="408">
      <c r="A408" s="352"/>
      <c r="B408" s="318"/>
      <c r="C408" s="318"/>
      <c r="D408" s="351"/>
      <c r="E408" s="318"/>
    </row>
    <row r="409">
      <c r="A409" s="352"/>
      <c r="B409" s="318"/>
      <c r="C409" s="318"/>
      <c r="D409" s="351"/>
      <c r="E409" s="318"/>
    </row>
    <row r="410">
      <c r="A410" s="352"/>
      <c r="B410" s="318"/>
      <c r="C410" s="318"/>
      <c r="D410" s="351"/>
      <c r="E410" s="318"/>
    </row>
    <row r="411">
      <c r="A411" s="352"/>
      <c r="B411" s="318"/>
      <c r="C411" s="318"/>
      <c r="D411" s="351"/>
      <c r="E411" s="318"/>
    </row>
    <row r="412">
      <c r="A412" s="352"/>
      <c r="B412" s="318"/>
      <c r="C412" s="318"/>
      <c r="D412" s="351"/>
      <c r="E412" s="318"/>
    </row>
    <row r="413">
      <c r="A413" s="352"/>
      <c r="B413" s="318"/>
      <c r="C413" s="318"/>
      <c r="D413" s="351"/>
      <c r="E413" s="318"/>
    </row>
    <row r="414">
      <c r="A414" s="352"/>
      <c r="B414" s="318"/>
      <c r="C414" s="318"/>
      <c r="D414" s="351"/>
      <c r="E414" s="318"/>
    </row>
    <row r="415">
      <c r="A415" s="352"/>
      <c r="B415" s="318"/>
      <c r="C415" s="318"/>
      <c r="D415" s="351"/>
      <c r="E415" s="318"/>
    </row>
    <row r="416">
      <c r="A416" s="352"/>
      <c r="B416" s="318"/>
      <c r="C416" s="318"/>
      <c r="D416" s="351"/>
      <c r="E416" s="318"/>
    </row>
    <row r="417">
      <c r="A417" s="352"/>
      <c r="B417" s="318"/>
      <c r="C417" s="318"/>
      <c r="D417" s="351"/>
      <c r="E417" s="318"/>
    </row>
    <row r="418">
      <c r="A418" s="352"/>
      <c r="B418" s="318"/>
      <c r="C418" s="318"/>
      <c r="D418" s="351"/>
      <c r="E418" s="318"/>
    </row>
    <row r="419">
      <c r="A419" s="352"/>
      <c r="B419" s="318"/>
      <c r="C419" s="318"/>
      <c r="D419" s="351"/>
      <c r="E419" s="318"/>
    </row>
    <row r="420">
      <c r="A420" s="352"/>
      <c r="B420" s="318"/>
      <c r="C420" s="318"/>
      <c r="D420" s="351"/>
      <c r="E420" s="318"/>
    </row>
    <row r="421">
      <c r="A421" s="352"/>
      <c r="B421" s="318"/>
      <c r="C421" s="318"/>
      <c r="D421" s="351"/>
      <c r="E421" s="318"/>
    </row>
    <row r="422">
      <c r="A422" s="352"/>
      <c r="B422" s="318"/>
      <c r="C422" s="318"/>
      <c r="D422" s="351"/>
      <c r="E422" s="318"/>
    </row>
    <row r="423">
      <c r="A423" s="352"/>
      <c r="B423" s="318"/>
      <c r="C423" s="318"/>
      <c r="D423" s="351"/>
      <c r="E423" s="318"/>
    </row>
    <row r="424">
      <c r="A424" s="352"/>
      <c r="B424" s="318"/>
      <c r="C424" s="318"/>
      <c r="D424" s="351"/>
      <c r="E424" s="318"/>
    </row>
    <row r="425">
      <c r="A425" s="352"/>
      <c r="B425" s="318"/>
      <c r="C425" s="318"/>
      <c r="D425" s="351"/>
      <c r="E425" s="318"/>
    </row>
    <row r="426">
      <c r="A426" s="352"/>
      <c r="B426" s="318"/>
      <c r="C426" s="318"/>
      <c r="D426" s="351"/>
      <c r="E426" s="318"/>
    </row>
    <row r="427">
      <c r="A427" s="352"/>
      <c r="B427" s="318"/>
      <c r="C427" s="318"/>
      <c r="D427" s="351"/>
      <c r="E427" s="318"/>
    </row>
    <row r="428">
      <c r="A428" s="352"/>
      <c r="B428" s="318"/>
      <c r="C428" s="318"/>
      <c r="D428" s="351"/>
      <c r="E428" s="318"/>
    </row>
    <row r="429">
      <c r="A429" s="352"/>
      <c r="B429" s="318"/>
      <c r="C429" s="318"/>
      <c r="D429" s="351"/>
      <c r="E429" s="318"/>
    </row>
    <row r="430">
      <c r="A430" s="352"/>
      <c r="B430" s="318"/>
      <c r="C430" s="318"/>
      <c r="D430" s="351"/>
      <c r="E430" s="318"/>
    </row>
    <row r="431">
      <c r="A431" s="352"/>
      <c r="B431" s="318"/>
      <c r="C431" s="318"/>
      <c r="D431" s="351"/>
      <c r="E431" s="318"/>
    </row>
    <row r="432">
      <c r="A432" s="352"/>
      <c r="B432" s="318"/>
      <c r="C432" s="318"/>
      <c r="D432" s="351"/>
      <c r="E432" s="318"/>
    </row>
    <row r="433">
      <c r="A433" s="352"/>
      <c r="B433" s="318"/>
      <c r="C433" s="318"/>
      <c r="D433" s="351"/>
      <c r="E433" s="318"/>
    </row>
    <row r="434">
      <c r="A434" s="352"/>
      <c r="B434" s="318"/>
      <c r="C434" s="318"/>
      <c r="D434" s="351"/>
      <c r="E434" s="318"/>
    </row>
    <row r="435">
      <c r="A435" s="352"/>
      <c r="B435" s="318"/>
      <c r="C435" s="318"/>
      <c r="D435" s="351"/>
      <c r="E435" s="318"/>
    </row>
    <row r="436">
      <c r="A436" s="352"/>
      <c r="B436" s="318"/>
      <c r="C436" s="318"/>
      <c r="D436" s="351"/>
      <c r="E436" s="318"/>
    </row>
    <row r="437">
      <c r="A437" s="352"/>
      <c r="B437" s="318"/>
      <c r="C437" s="318"/>
      <c r="D437" s="351"/>
      <c r="E437" s="318"/>
    </row>
    <row r="438">
      <c r="A438" s="352"/>
      <c r="B438" s="318"/>
      <c r="C438" s="318"/>
      <c r="D438" s="351"/>
      <c r="E438" s="318"/>
    </row>
    <row r="439">
      <c r="A439" s="352"/>
      <c r="B439" s="318"/>
      <c r="C439" s="318"/>
      <c r="D439" s="351"/>
      <c r="E439" s="318"/>
    </row>
    <row r="440">
      <c r="A440" s="352"/>
      <c r="B440" s="318"/>
      <c r="C440" s="318"/>
      <c r="D440" s="351"/>
      <c r="E440" s="318"/>
    </row>
    <row r="441">
      <c r="A441" s="352"/>
      <c r="B441" s="318"/>
      <c r="C441" s="318"/>
      <c r="D441" s="351"/>
      <c r="E441" s="318"/>
    </row>
    <row r="442">
      <c r="A442" s="352"/>
      <c r="B442" s="318"/>
      <c r="C442" s="318"/>
      <c r="D442" s="351"/>
      <c r="E442" s="318"/>
    </row>
    <row r="443">
      <c r="A443" s="352"/>
      <c r="B443" s="318"/>
      <c r="C443" s="318"/>
      <c r="D443" s="351"/>
      <c r="E443" s="318"/>
    </row>
    <row r="444">
      <c r="A444" s="352"/>
      <c r="B444" s="318"/>
      <c r="C444" s="318"/>
      <c r="D444" s="351"/>
      <c r="E444" s="318"/>
    </row>
    <row r="445">
      <c r="A445" s="352"/>
      <c r="B445" s="318"/>
      <c r="C445" s="318"/>
      <c r="D445" s="351"/>
      <c r="E445" s="318"/>
    </row>
    <row r="446">
      <c r="A446" s="352"/>
      <c r="B446" s="318"/>
      <c r="C446" s="318"/>
      <c r="D446" s="351"/>
      <c r="E446" s="318"/>
    </row>
    <row r="447">
      <c r="A447" s="352"/>
      <c r="B447" s="318"/>
      <c r="C447" s="318"/>
      <c r="D447" s="351"/>
      <c r="E447" s="318"/>
    </row>
    <row r="448">
      <c r="A448" s="352"/>
      <c r="B448" s="318"/>
      <c r="C448" s="318"/>
      <c r="D448" s="351"/>
      <c r="E448" s="318"/>
    </row>
    <row r="449">
      <c r="A449" s="352"/>
      <c r="B449" s="318"/>
      <c r="C449" s="318"/>
      <c r="D449" s="351"/>
      <c r="E449" s="318"/>
    </row>
    <row r="450">
      <c r="A450" s="352"/>
      <c r="B450" s="318"/>
      <c r="C450" s="318"/>
      <c r="D450" s="351"/>
      <c r="E450" s="318"/>
    </row>
    <row r="451">
      <c r="A451" s="352"/>
      <c r="B451" s="318"/>
      <c r="C451" s="318"/>
      <c r="D451" s="351"/>
      <c r="E451" s="318"/>
    </row>
    <row r="452">
      <c r="A452" s="352"/>
      <c r="B452" s="318"/>
      <c r="C452" s="318"/>
      <c r="D452" s="351"/>
      <c r="E452" s="318"/>
    </row>
    <row r="453">
      <c r="A453" s="352"/>
      <c r="B453" s="318"/>
      <c r="C453" s="318"/>
      <c r="D453" s="351"/>
      <c r="E453" s="318"/>
    </row>
    <row r="454">
      <c r="A454" s="352"/>
      <c r="B454" s="318"/>
      <c r="C454" s="318"/>
      <c r="D454" s="351"/>
      <c r="E454" s="318"/>
    </row>
    <row r="455">
      <c r="A455" s="352"/>
      <c r="B455" s="318"/>
      <c r="C455" s="318"/>
      <c r="D455" s="351"/>
      <c r="E455" s="318"/>
    </row>
    <row r="456">
      <c r="A456" s="352"/>
      <c r="B456" s="318"/>
      <c r="C456" s="318"/>
      <c r="D456" s="351"/>
      <c r="E456" s="318"/>
    </row>
    <row r="457">
      <c r="A457" s="352"/>
      <c r="B457" s="318"/>
      <c r="C457" s="318"/>
      <c r="D457" s="351"/>
      <c r="E457" s="318"/>
    </row>
    <row r="458">
      <c r="A458" s="352"/>
      <c r="B458" s="318"/>
      <c r="C458" s="318"/>
      <c r="D458" s="351"/>
      <c r="E458" s="318"/>
    </row>
    <row r="459">
      <c r="A459" s="352"/>
      <c r="B459" s="318"/>
      <c r="C459" s="318"/>
      <c r="D459" s="351"/>
      <c r="E459" s="318"/>
    </row>
    <row r="460">
      <c r="A460" s="352"/>
      <c r="B460" s="318"/>
      <c r="C460" s="318"/>
      <c r="D460" s="351"/>
      <c r="E460" s="318"/>
    </row>
    <row r="461">
      <c r="A461" s="352"/>
      <c r="B461" s="318"/>
      <c r="C461" s="318"/>
      <c r="D461" s="351"/>
      <c r="E461" s="318"/>
    </row>
    <row r="462">
      <c r="A462" s="352"/>
      <c r="B462" s="318"/>
      <c r="C462" s="318"/>
      <c r="D462" s="351"/>
      <c r="E462" s="318"/>
    </row>
    <row r="463">
      <c r="A463" s="352"/>
      <c r="B463" s="318"/>
      <c r="C463" s="318"/>
      <c r="D463" s="351"/>
      <c r="E463" s="318"/>
    </row>
    <row r="464">
      <c r="A464" s="352"/>
      <c r="B464" s="318"/>
      <c r="C464" s="318"/>
      <c r="D464" s="351"/>
      <c r="E464" s="318"/>
    </row>
    <row r="465">
      <c r="A465" s="352"/>
      <c r="B465" s="318"/>
      <c r="C465" s="318"/>
      <c r="D465" s="351"/>
      <c r="E465" s="318"/>
    </row>
    <row r="466">
      <c r="A466" s="352"/>
      <c r="B466" s="318"/>
      <c r="C466" s="318"/>
      <c r="D466" s="351"/>
      <c r="E466" s="318"/>
    </row>
    <row r="467">
      <c r="A467" s="352"/>
      <c r="B467" s="318"/>
      <c r="C467" s="318"/>
      <c r="D467" s="351"/>
      <c r="E467" s="318"/>
    </row>
    <row r="468">
      <c r="A468" s="352"/>
      <c r="B468" s="318"/>
      <c r="C468" s="318"/>
      <c r="D468" s="351"/>
      <c r="E468" s="318"/>
    </row>
    <row r="469">
      <c r="A469" s="352"/>
      <c r="B469" s="318"/>
      <c r="C469" s="318"/>
      <c r="D469" s="351"/>
      <c r="E469" s="318"/>
    </row>
    <row r="470">
      <c r="A470" s="352"/>
      <c r="B470" s="318"/>
      <c r="C470" s="318"/>
      <c r="D470" s="351"/>
      <c r="E470" s="318"/>
    </row>
    <row r="471">
      <c r="A471" s="352"/>
      <c r="B471" s="318"/>
      <c r="C471" s="318"/>
      <c r="D471" s="351"/>
      <c r="E471" s="318"/>
    </row>
    <row r="472">
      <c r="A472" s="352"/>
      <c r="B472" s="318"/>
      <c r="C472" s="318"/>
      <c r="D472" s="351"/>
      <c r="E472" s="318"/>
    </row>
    <row r="473">
      <c r="A473" s="352"/>
      <c r="B473" s="318"/>
      <c r="C473" s="318"/>
      <c r="D473" s="351"/>
      <c r="E473" s="318"/>
    </row>
    <row r="474">
      <c r="A474" s="352"/>
      <c r="B474" s="318"/>
      <c r="C474" s="318"/>
      <c r="D474" s="351"/>
      <c r="E474" s="318"/>
    </row>
    <row r="475">
      <c r="A475" s="352"/>
      <c r="B475" s="318"/>
      <c r="C475" s="318"/>
      <c r="D475" s="351"/>
      <c r="E475" s="318"/>
    </row>
    <row r="476">
      <c r="A476" s="352"/>
      <c r="B476" s="318"/>
      <c r="C476" s="318"/>
      <c r="D476" s="351"/>
      <c r="E476" s="318"/>
    </row>
    <row r="477">
      <c r="A477" s="352"/>
      <c r="B477" s="318"/>
      <c r="C477" s="318"/>
      <c r="D477" s="351"/>
      <c r="E477" s="318"/>
    </row>
    <row r="478">
      <c r="A478" s="352"/>
      <c r="B478" s="318"/>
      <c r="C478" s="318"/>
      <c r="D478" s="351"/>
      <c r="E478" s="318"/>
    </row>
    <row r="479">
      <c r="A479" s="352"/>
      <c r="B479" s="318"/>
      <c r="C479" s="318"/>
      <c r="D479" s="351"/>
      <c r="E479" s="318"/>
    </row>
    <row r="480">
      <c r="A480" s="352"/>
      <c r="B480" s="318"/>
      <c r="C480" s="318"/>
      <c r="D480" s="351"/>
      <c r="E480" s="318"/>
    </row>
    <row r="481">
      <c r="A481" s="352"/>
      <c r="B481" s="318"/>
      <c r="C481" s="318"/>
      <c r="D481" s="351"/>
      <c r="E481" s="318"/>
    </row>
    <row r="482">
      <c r="A482" s="352"/>
      <c r="B482" s="318"/>
      <c r="C482" s="318"/>
      <c r="D482" s="351"/>
      <c r="E482" s="318"/>
    </row>
    <row r="483">
      <c r="A483" s="352"/>
      <c r="B483" s="318"/>
      <c r="C483" s="318"/>
      <c r="D483" s="351"/>
      <c r="E483" s="318"/>
    </row>
    <row r="484">
      <c r="A484" s="352"/>
      <c r="B484" s="318"/>
      <c r="C484" s="318"/>
      <c r="D484" s="351"/>
      <c r="E484" s="318"/>
    </row>
    <row r="485">
      <c r="A485" s="352"/>
      <c r="B485" s="318"/>
      <c r="C485" s="318"/>
      <c r="D485" s="351"/>
      <c r="E485" s="318"/>
    </row>
    <row r="486">
      <c r="A486" s="352"/>
      <c r="B486" s="318"/>
      <c r="C486" s="318"/>
      <c r="D486" s="351"/>
      <c r="E486" s="318"/>
    </row>
    <row r="487">
      <c r="A487" s="352"/>
      <c r="B487" s="318"/>
      <c r="C487" s="318"/>
      <c r="D487" s="351"/>
      <c r="E487" s="318"/>
    </row>
    <row r="488">
      <c r="A488" s="352"/>
      <c r="B488" s="318"/>
      <c r="C488" s="318"/>
      <c r="D488" s="351"/>
      <c r="E488" s="318"/>
    </row>
    <row r="489">
      <c r="A489" s="352"/>
      <c r="B489" s="318"/>
      <c r="C489" s="318"/>
      <c r="D489" s="351"/>
      <c r="E489" s="318"/>
    </row>
    <row r="490">
      <c r="A490" s="352"/>
      <c r="B490" s="318"/>
      <c r="C490" s="318"/>
      <c r="D490" s="351"/>
      <c r="E490" s="318"/>
    </row>
    <row r="491">
      <c r="A491" s="352"/>
      <c r="B491" s="318"/>
      <c r="C491" s="318"/>
      <c r="D491" s="351"/>
      <c r="E491" s="318"/>
    </row>
    <row r="492">
      <c r="A492" s="352"/>
      <c r="B492" s="318"/>
      <c r="C492" s="318"/>
      <c r="D492" s="351"/>
      <c r="E492" s="318"/>
    </row>
    <row r="493">
      <c r="A493" s="352"/>
      <c r="B493" s="318"/>
      <c r="C493" s="318"/>
      <c r="D493" s="351"/>
      <c r="E493" s="318"/>
    </row>
    <row r="494">
      <c r="A494" s="352"/>
      <c r="B494" s="318"/>
      <c r="C494" s="318"/>
      <c r="D494" s="351"/>
      <c r="E494" s="318"/>
    </row>
    <row r="495">
      <c r="A495" s="352"/>
      <c r="B495" s="318"/>
      <c r="C495" s="318"/>
      <c r="D495" s="351"/>
      <c r="E495" s="318"/>
    </row>
    <row r="496">
      <c r="A496" s="352"/>
      <c r="B496" s="318"/>
      <c r="C496" s="318"/>
      <c r="D496" s="351"/>
      <c r="E496" s="318"/>
    </row>
    <row r="497">
      <c r="A497" s="352"/>
      <c r="B497" s="318"/>
      <c r="C497" s="318"/>
      <c r="D497" s="351"/>
      <c r="E497" s="318"/>
    </row>
    <row r="498">
      <c r="A498" s="352"/>
      <c r="B498" s="318"/>
      <c r="C498" s="318"/>
      <c r="D498" s="351"/>
      <c r="E498" s="318"/>
    </row>
    <row r="499">
      <c r="A499" s="352"/>
      <c r="B499" s="318"/>
      <c r="C499" s="318"/>
      <c r="D499" s="351"/>
      <c r="E499" s="318"/>
    </row>
    <row r="500">
      <c r="A500" s="352"/>
      <c r="B500" s="318"/>
      <c r="C500" s="318"/>
      <c r="D500" s="351"/>
      <c r="E500" s="318"/>
    </row>
    <row r="501">
      <c r="A501" s="352"/>
      <c r="B501" s="318"/>
      <c r="C501" s="318"/>
      <c r="D501" s="351"/>
      <c r="E501" s="318"/>
    </row>
    <row r="502">
      <c r="A502" s="352"/>
      <c r="B502" s="318"/>
      <c r="C502" s="318"/>
      <c r="D502" s="351"/>
      <c r="E502" s="318"/>
    </row>
    <row r="503">
      <c r="A503" s="352"/>
      <c r="B503" s="318"/>
      <c r="C503" s="318"/>
      <c r="D503" s="351"/>
      <c r="E503" s="318"/>
    </row>
    <row r="504">
      <c r="A504" s="352"/>
      <c r="B504" s="318"/>
      <c r="C504" s="318"/>
      <c r="D504" s="351"/>
      <c r="E504" s="318"/>
    </row>
    <row r="505">
      <c r="A505" s="352"/>
      <c r="B505" s="318"/>
      <c r="C505" s="318"/>
      <c r="D505" s="351"/>
      <c r="E505" s="318"/>
    </row>
    <row r="506">
      <c r="A506" s="352"/>
      <c r="B506" s="318"/>
      <c r="C506" s="318"/>
      <c r="D506" s="351"/>
      <c r="E506" s="318"/>
    </row>
    <row r="507">
      <c r="A507" s="352"/>
      <c r="B507" s="318"/>
      <c r="C507" s="318"/>
      <c r="D507" s="351"/>
      <c r="E507" s="318"/>
    </row>
    <row r="508">
      <c r="A508" s="352"/>
      <c r="B508" s="318"/>
      <c r="C508" s="318"/>
      <c r="D508" s="351"/>
      <c r="E508" s="318"/>
    </row>
    <row r="509">
      <c r="A509" s="352"/>
      <c r="B509" s="318"/>
      <c r="C509" s="318"/>
      <c r="D509" s="351"/>
      <c r="E509" s="318"/>
    </row>
    <row r="510">
      <c r="A510" s="352"/>
      <c r="B510" s="318"/>
      <c r="C510" s="318"/>
      <c r="D510" s="351"/>
      <c r="E510" s="318"/>
    </row>
    <row r="511">
      <c r="A511" s="352"/>
      <c r="B511" s="318"/>
      <c r="C511" s="318"/>
      <c r="D511" s="351"/>
      <c r="E511" s="318"/>
    </row>
    <row r="512">
      <c r="A512" s="352"/>
      <c r="B512" s="318"/>
      <c r="C512" s="318"/>
      <c r="D512" s="351"/>
      <c r="E512" s="318"/>
    </row>
    <row r="513">
      <c r="A513" s="352"/>
      <c r="B513" s="318"/>
      <c r="C513" s="318"/>
      <c r="D513" s="351"/>
      <c r="E513" s="318"/>
    </row>
    <row r="514">
      <c r="A514" s="352"/>
      <c r="B514" s="318"/>
      <c r="C514" s="318"/>
      <c r="D514" s="351"/>
      <c r="E514" s="318"/>
    </row>
    <row r="515">
      <c r="A515" s="352"/>
      <c r="B515" s="318"/>
      <c r="C515" s="318"/>
      <c r="D515" s="351"/>
      <c r="E515" s="318"/>
    </row>
    <row r="516">
      <c r="A516" s="352"/>
      <c r="B516" s="318"/>
      <c r="C516" s="318"/>
      <c r="D516" s="351"/>
      <c r="E516" s="318"/>
    </row>
    <row r="517">
      <c r="A517" s="352"/>
      <c r="B517" s="318"/>
      <c r="C517" s="318"/>
      <c r="D517" s="351"/>
      <c r="E517" s="318"/>
    </row>
    <row r="518">
      <c r="A518" s="352"/>
      <c r="B518" s="318"/>
      <c r="C518" s="318"/>
      <c r="D518" s="351"/>
      <c r="E518" s="318"/>
    </row>
    <row r="519">
      <c r="A519" s="352"/>
      <c r="B519" s="318"/>
      <c r="C519" s="318"/>
      <c r="D519" s="351"/>
      <c r="E519" s="318"/>
    </row>
    <row r="520">
      <c r="A520" s="352"/>
      <c r="B520" s="318"/>
      <c r="C520" s="318"/>
      <c r="D520" s="351"/>
      <c r="E520" s="318"/>
    </row>
    <row r="521">
      <c r="A521" s="352"/>
      <c r="B521" s="318"/>
      <c r="C521" s="318"/>
      <c r="D521" s="351"/>
      <c r="E521" s="318"/>
    </row>
    <row r="522">
      <c r="A522" s="352"/>
      <c r="B522" s="318"/>
      <c r="C522" s="318"/>
      <c r="D522" s="351"/>
      <c r="E522" s="318"/>
    </row>
    <row r="523">
      <c r="A523" s="352"/>
      <c r="B523" s="318"/>
      <c r="C523" s="318"/>
      <c r="D523" s="351"/>
      <c r="E523" s="318"/>
    </row>
    <row r="524">
      <c r="A524" s="352"/>
      <c r="B524" s="318"/>
      <c r="C524" s="318"/>
      <c r="D524" s="351"/>
      <c r="E524" s="318"/>
    </row>
    <row r="525">
      <c r="A525" s="352"/>
      <c r="B525" s="318"/>
      <c r="C525" s="318"/>
      <c r="D525" s="351"/>
      <c r="E525" s="318"/>
    </row>
    <row r="526">
      <c r="A526" s="352"/>
      <c r="B526" s="318"/>
      <c r="C526" s="318"/>
      <c r="D526" s="351"/>
      <c r="E526" s="318"/>
    </row>
    <row r="527">
      <c r="A527" s="352"/>
      <c r="B527" s="318"/>
      <c r="C527" s="318"/>
      <c r="D527" s="351"/>
      <c r="E527" s="318"/>
    </row>
    <row r="528">
      <c r="A528" s="352"/>
      <c r="B528" s="318"/>
      <c r="C528" s="318"/>
      <c r="D528" s="351"/>
      <c r="E528" s="318"/>
    </row>
    <row r="529">
      <c r="A529" s="352"/>
      <c r="B529" s="318"/>
      <c r="C529" s="318"/>
      <c r="D529" s="351"/>
      <c r="E529" s="318"/>
    </row>
    <row r="530">
      <c r="A530" s="352"/>
      <c r="B530" s="318"/>
      <c r="C530" s="318"/>
      <c r="D530" s="351"/>
      <c r="E530" s="318"/>
    </row>
    <row r="531">
      <c r="A531" s="352"/>
      <c r="B531" s="318"/>
      <c r="C531" s="318"/>
      <c r="D531" s="351"/>
      <c r="E531" s="318"/>
    </row>
    <row r="532">
      <c r="A532" s="352"/>
      <c r="B532" s="318"/>
      <c r="C532" s="318"/>
      <c r="D532" s="351"/>
      <c r="E532" s="318"/>
    </row>
    <row r="533">
      <c r="A533" s="352"/>
      <c r="B533" s="318"/>
      <c r="C533" s="318"/>
      <c r="D533" s="351"/>
      <c r="E533" s="318"/>
    </row>
    <row r="534">
      <c r="A534" s="352"/>
      <c r="B534" s="318"/>
      <c r="C534" s="318"/>
      <c r="D534" s="351"/>
      <c r="E534" s="318"/>
    </row>
    <row r="535">
      <c r="A535" s="352"/>
      <c r="B535" s="318"/>
      <c r="C535" s="318"/>
      <c r="D535" s="351"/>
      <c r="E535" s="318"/>
    </row>
    <row r="536">
      <c r="A536" s="352"/>
      <c r="B536" s="318"/>
      <c r="C536" s="318"/>
      <c r="D536" s="351"/>
      <c r="E536" s="318"/>
    </row>
    <row r="537">
      <c r="A537" s="352"/>
      <c r="B537" s="318"/>
      <c r="C537" s="318"/>
      <c r="D537" s="351"/>
      <c r="E537" s="318"/>
    </row>
    <row r="538">
      <c r="A538" s="352"/>
      <c r="B538" s="318"/>
      <c r="C538" s="318"/>
      <c r="D538" s="351"/>
      <c r="E538" s="318"/>
    </row>
    <row r="539">
      <c r="A539" s="352"/>
      <c r="B539" s="318"/>
      <c r="C539" s="318"/>
      <c r="D539" s="351"/>
      <c r="E539" s="318"/>
    </row>
    <row r="540">
      <c r="A540" s="352"/>
      <c r="B540" s="318"/>
      <c r="C540" s="318"/>
      <c r="D540" s="351"/>
      <c r="E540" s="318"/>
    </row>
    <row r="541">
      <c r="A541" s="352"/>
      <c r="B541" s="318"/>
      <c r="C541" s="318"/>
      <c r="D541" s="351"/>
      <c r="E541" s="318"/>
    </row>
    <row r="542">
      <c r="A542" s="352"/>
      <c r="B542" s="318"/>
      <c r="C542" s="318"/>
      <c r="D542" s="351"/>
      <c r="E542" s="318"/>
    </row>
    <row r="543">
      <c r="A543" s="352"/>
      <c r="B543" s="318"/>
      <c r="C543" s="318"/>
      <c r="D543" s="351"/>
      <c r="E543" s="318"/>
    </row>
    <row r="544">
      <c r="A544" s="352"/>
      <c r="B544" s="318"/>
      <c r="C544" s="318"/>
      <c r="D544" s="351"/>
      <c r="E544" s="318"/>
    </row>
    <row r="545">
      <c r="A545" s="352"/>
      <c r="B545" s="318"/>
      <c r="C545" s="318"/>
      <c r="D545" s="351"/>
      <c r="E545" s="318"/>
    </row>
    <row r="546">
      <c r="A546" s="352"/>
      <c r="B546" s="318"/>
      <c r="C546" s="318"/>
      <c r="D546" s="351"/>
      <c r="E546" s="318"/>
    </row>
    <row r="547">
      <c r="A547" s="352"/>
      <c r="B547" s="318"/>
      <c r="C547" s="318"/>
      <c r="D547" s="351"/>
      <c r="E547" s="318"/>
    </row>
    <row r="548">
      <c r="A548" s="352"/>
      <c r="B548" s="318"/>
      <c r="C548" s="318"/>
      <c r="D548" s="351"/>
      <c r="E548" s="318"/>
    </row>
    <row r="549">
      <c r="A549" s="352"/>
      <c r="B549" s="318"/>
      <c r="C549" s="318"/>
      <c r="D549" s="351"/>
      <c r="E549" s="318"/>
    </row>
    <row r="550">
      <c r="A550" s="352"/>
      <c r="B550" s="318"/>
      <c r="C550" s="318"/>
      <c r="D550" s="351"/>
      <c r="E550" s="318"/>
    </row>
    <row r="551">
      <c r="A551" s="352"/>
      <c r="B551" s="318"/>
      <c r="C551" s="318"/>
      <c r="D551" s="351"/>
      <c r="E551" s="318"/>
    </row>
    <row r="552">
      <c r="A552" s="352"/>
      <c r="B552" s="318"/>
      <c r="C552" s="318"/>
      <c r="D552" s="351"/>
      <c r="E552" s="318"/>
    </row>
    <row r="553">
      <c r="A553" s="352"/>
      <c r="B553" s="318"/>
      <c r="C553" s="318"/>
      <c r="D553" s="351"/>
      <c r="E553" s="318"/>
    </row>
    <row r="554">
      <c r="A554" s="352"/>
      <c r="B554" s="318"/>
      <c r="C554" s="318"/>
      <c r="D554" s="351"/>
      <c r="E554" s="318"/>
    </row>
    <row r="555">
      <c r="A555" s="352"/>
      <c r="B555" s="318"/>
      <c r="C555" s="318"/>
      <c r="D555" s="351"/>
      <c r="E555" s="318"/>
    </row>
    <row r="556">
      <c r="A556" s="352"/>
      <c r="B556" s="318"/>
      <c r="C556" s="318"/>
      <c r="D556" s="351"/>
      <c r="E556" s="318"/>
    </row>
    <row r="557">
      <c r="A557" s="352"/>
      <c r="B557" s="318"/>
      <c r="C557" s="318"/>
      <c r="D557" s="351"/>
      <c r="E557" s="318"/>
    </row>
    <row r="558">
      <c r="A558" s="352"/>
      <c r="B558" s="318"/>
      <c r="C558" s="318"/>
      <c r="D558" s="351"/>
      <c r="E558" s="318"/>
    </row>
    <row r="559">
      <c r="A559" s="352"/>
      <c r="B559" s="318"/>
      <c r="C559" s="318"/>
      <c r="D559" s="351"/>
      <c r="E559" s="318"/>
    </row>
    <row r="560">
      <c r="A560" s="352"/>
      <c r="B560" s="318"/>
      <c r="C560" s="318"/>
      <c r="D560" s="351"/>
      <c r="E560" s="318"/>
    </row>
    <row r="561">
      <c r="A561" s="352"/>
      <c r="B561" s="318"/>
      <c r="C561" s="318"/>
      <c r="D561" s="351"/>
      <c r="E561" s="318"/>
    </row>
    <row r="562">
      <c r="A562" s="352"/>
      <c r="B562" s="318"/>
      <c r="C562" s="318"/>
      <c r="D562" s="351"/>
      <c r="E562" s="318"/>
    </row>
    <row r="563">
      <c r="A563" s="352"/>
      <c r="B563" s="318"/>
      <c r="C563" s="318"/>
      <c r="D563" s="351"/>
      <c r="E563" s="318"/>
    </row>
    <row r="564">
      <c r="A564" s="352"/>
      <c r="B564" s="318"/>
      <c r="C564" s="318"/>
      <c r="D564" s="351"/>
      <c r="E564" s="318"/>
    </row>
    <row r="565">
      <c r="A565" s="352"/>
      <c r="B565" s="318"/>
      <c r="C565" s="318"/>
      <c r="D565" s="351"/>
      <c r="E565" s="318"/>
    </row>
    <row r="566">
      <c r="A566" s="352"/>
      <c r="B566" s="318"/>
      <c r="C566" s="318"/>
      <c r="D566" s="351"/>
      <c r="E566" s="318"/>
    </row>
    <row r="567">
      <c r="A567" s="352"/>
      <c r="B567" s="318"/>
      <c r="C567" s="318"/>
      <c r="D567" s="351"/>
      <c r="E567" s="318"/>
    </row>
    <row r="568">
      <c r="A568" s="352"/>
      <c r="B568" s="318"/>
      <c r="C568" s="318"/>
      <c r="D568" s="351"/>
      <c r="E568" s="318"/>
    </row>
    <row r="569">
      <c r="A569" s="352"/>
      <c r="B569" s="318"/>
      <c r="C569" s="318"/>
      <c r="D569" s="351"/>
      <c r="E569" s="318"/>
    </row>
    <row r="570">
      <c r="A570" s="352"/>
      <c r="B570" s="318"/>
      <c r="C570" s="318"/>
      <c r="D570" s="351"/>
      <c r="E570" s="318"/>
    </row>
    <row r="571">
      <c r="A571" s="352"/>
      <c r="B571" s="318"/>
      <c r="C571" s="318"/>
      <c r="D571" s="351"/>
      <c r="E571" s="318"/>
    </row>
    <row r="572">
      <c r="A572" s="352"/>
      <c r="B572" s="318"/>
      <c r="C572" s="318"/>
      <c r="D572" s="351"/>
      <c r="E572" s="318"/>
    </row>
    <row r="573">
      <c r="A573" s="352"/>
      <c r="B573" s="318"/>
      <c r="C573" s="318"/>
      <c r="D573" s="351"/>
      <c r="E573" s="318"/>
    </row>
    <row r="574">
      <c r="A574" s="352"/>
      <c r="B574" s="318"/>
      <c r="C574" s="318"/>
      <c r="D574" s="351"/>
      <c r="E574" s="318"/>
    </row>
    <row r="575">
      <c r="A575" s="352"/>
      <c r="B575" s="318"/>
      <c r="C575" s="318"/>
      <c r="D575" s="351"/>
      <c r="E575" s="318"/>
    </row>
    <row r="576">
      <c r="A576" s="352"/>
      <c r="B576" s="318"/>
      <c r="C576" s="318"/>
      <c r="D576" s="351"/>
      <c r="E576" s="318"/>
    </row>
    <row r="577">
      <c r="A577" s="352"/>
      <c r="B577" s="318"/>
      <c r="C577" s="318"/>
      <c r="D577" s="351"/>
      <c r="E577" s="318"/>
    </row>
    <row r="578">
      <c r="A578" s="352"/>
      <c r="B578" s="318"/>
      <c r="C578" s="318"/>
      <c r="D578" s="351"/>
      <c r="E578" s="318"/>
    </row>
    <row r="579">
      <c r="A579" s="352"/>
      <c r="B579" s="318"/>
      <c r="C579" s="318"/>
      <c r="D579" s="351"/>
      <c r="E579" s="318"/>
    </row>
    <row r="580">
      <c r="A580" s="352"/>
      <c r="B580" s="318"/>
      <c r="C580" s="318"/>
      <c r="D580" s="351"/>
      <c r="E580" s="318"/>
    </row>
    <row r="581">
      <c r="A581" s="352"/>
      <c r="B581" s="318"/>
      <c r="C581" s="318"/>
      <c r="D581" s="351"/>
      <c r="E581" s="318"/>
    </row>
    <row r="582">
      <c r="A582" s="352"/>
      <c r="B582" s="318"/>
      <c r="C582" s="318"/>
      <c r="D582" s="351"/>
      <c r="E582" s="318"/>
    </row>
    <row r="583">
      <c r="A583" s="352"/>
      <c r="B583" s="318"/>
      <c r="C583" s="318"/>
      <c r="D583" s="351"/>
      <c r="E583" s="318"/>
    </row>
    <row r="584">
      <c r="A584" s="352"/>
      <c r="B584" s="318"/>
      <c r="C584" s="318"/>
      <c r="D584" s="351"/>
      <c r="E584" s="318"/>
    </row>
    <row r="585">
      <c r="A585" s="352"/>
      <c r="B585" s="318"/>
      <c r="C585" s="318"/>
      <c r="D585" s="351"/>
      <c r="E585" s="318"/>
    </row>
    <row r="586">
      <c r="A586" s="352"/>
      <c r="B586" s="318"/>
      <c r="C586" s="318"/>
      <c r="D586" s="351"/>
      <c r="E586" s="318"/>
    </row>
    <row r="587">
      <c r="A587" s="352"/>
      <c r="B587" s="318"/>
      <c r="C587" s="318"/>
      <c r="D587" s="351"/>
      <c r="E587" s="318"/>
    </row>
    <row r="588">
      <c r="A588" s="352"/>
      <c r="B588" s="318"/>
      <c r="C588" s="318"/>
      <c r="D588" s="351"/>
      <c r="E588" s="318"/>
    </row>
    <row r="589">
      <c r="A589" s="352"/>
      <c r="B589" s="318"/>
      <c r="C589" s="318"/>
      <c r="D589" s="351"/>
      <c r="E589" s="318"/>
    </row>
    <row r="590">
      <c r="A590" s="352"/>
      <c r="B590" s="318"/>
      <c r="C590" s="318"/>
      <c r="D590" s="351"/>
      <c r="E590" s="318"/>
    </row>
    <row r="591">
      <c r="A591" s="352"/>
      <c r="B591" s="318"/>
      <c r="C591" s="318"/>
      <c r="D591" s="351"/>
      <c r="E591" s="318"/>
    </row>
    <row r="592">
      <c r="A592" s="352"/>
      <c r="B592" s="318"/>
      <c r="C592" s="318"/>
      <c r="D592" s="351"/>
      <c r="E592" s="318"/>
    </row>
    <row r="593">
      <c r="A593" s="352"/>
      <c r="B593" s="318"/>
      <c r="C593" s="318"/>
      <c r="D593" s="351"/>
      <c r="E593" s="318"/>
    </row>
    <row r="594">
      <c r="A594" s="352"/>
      <c r="B594" s="318"/>
      <c r="C594" s="318"/>
      <c r="D594" s="351"/>
      <c r="E594" s="318"/>
    </row>
    <row r="595">
      <c r="A595" s="352"/>
      <c r="B595" s="318"/>
      <c r="C595" s="318"/>
      <c r="D595" s="351"/>
      <c r="E595" s="318"/>
    </row>
    <row r="596">
      <c r="A596" s="352"/>
      <c r="B596" s="318"/>
      <c r="C596" s="318"/>
      <c r="D596" s="351"/>
      <c r="E596" s="318"/>
    </row>
    <row r="597">
      <c r="A597" s="352"/>
      <c r="B597" s="318"/>
      <c r="C597" s="318"/>
      <c r="D597" s="351"/>
      <c r="E597" s="318"/>
    </row>
    <row r="598">
      <c r="A598" s="352"/>
      <c r="B598" s="318"/>
      <c r="C598" s="318"/>
      <c r="D598" s="351"/>
      <c r="E598" s="318"/>
    </row>
    <row r="599">
      <c r="A599" s="352"/>
      <c r="B599" s="318"/>
      <c r="C599" s="318"/>
      <c r="D599" s="351"/>
      <c r="E599" s="318"/>
    </row>
    <row r="600">
      <c r="A600" s="352"/>
      <c r="B600" s="318"/>
      <c r="C600" s="318"/>
      <c r="D600" s="351"/>
      <c r="E600" s="318"/>
    </row>
    <row r="601">
      <c r="A601" s="352"/>
      <c r="B601" s="318"/>
      <c r="C601" s="318"/>
      <c r="D601" s="351"/>
      <c r="E601" s="318"/>
    </row>
    <row r="602">
      <c r="A602" s="352"/>
      <c r="B602" s="318"/>
      <c r="C602" s="318"/>
      <c r="D602" s="351"/>
      <c r="E602" s="318"/>
    </row>
    <row r="603">
      <c r="A603" s="352"/>
      <c r="B603" s="318"/>
      <c r="C603" s="318"/>
      <c r="D603" s="351"/>
      <c r="E603" s="318"/>
    </row>
    <row r="604">
      <c r="A604" s="352"/>
      <c r="B604" s="318"/>
      <c r="C604" s="318"/>
      <c r="D604" s="351"/>
      <c r="E604" s="318"/>
    </row>
    <row r="605">
      <c r="A605" s="352"/>
      <c r="B605" s="318"/>
      <c r="C605" s="318"/>
      <c r="D605" s="351"/>
      <c r="E605" s="318"/>
    </row>
    <row r="606">
      <c r="A606" s="352"/>
      <c r="B606" s="318"/>
      <c r="C606" s="318"/>
      <c r="D606" s="351"/>
      <c r="E606" s="318"/>
    </row>
    <row r="607">
      <c r="A607" s="352"/>
      <c r="B607" s="318"/>
      <c r="C607" s="318"/>
      <c r="D607" s="351"/>
      <c r="E607" s="318"/>
    </row>
    <row r="608">
      <c r="A608" s="352"/>
      <c r="B608" s="318"/>
      <c r="C608" s="318"/>
      <c r="D608" s="351"/>
      <c r="E608" s="318"/>
    </row>
    <row r="609">
      <c r="A609" s="352"/>
      <c r="B609" s="318"/>
      <c r="C609" s="318"/>
      <c r="D609" s="351"/>
      <c r="E609" s="318"/>
    </row>
    <row r="610">
      <c r="A610" s="352"/>
      <c r="B610" s="318"/>
      <c r="C610" s="318"/>
      <c r="D610" s="351"/>
      <c r="E610" s="318"/>
    </row>
    <row r="611">
      <c r="A611" s="352"/>
      <c r="B611" s="318"/>
      <c r="C611" s="318"/>
      <c r="D611" s="351"/>
      <c r="E611" s="318"/>
    </row>
    <row r="612">
      <c r="A612" s="352"/>
      <c r="B612" s="318"/>
      <c r="C612" s="318"/>
      <c r="D612" s="351"/>
      <c r="E612" s="318"/>
    </row>
    <row r="613">
      <c r="A613" s="352"/>
      <c r="B613" s="318"/>
      <c r="C613" s="318"/>
      <c r="D613" s="351"/>
      <c r="E613" s="318"/>
    </row>
    <row r="614">
      <c r="A614" s="352"/>
      <c r="B614" s="318"/>
      <c r="C614" s="318"/>
      <c r="D614" s="351"/>
      <c r="E614" s="318"/>
    </row>
    <row r="615">
      <c r="A615" s="352"/>
      <c r="B615" s="318"/>
      <c r="C615" s="318"/>
      <c r="D615" s="351"/>
      <c r="E615" s="318"/>
    </row>
    <row r="616">
      <c r="A616" s="352"/>
      <c r="B616" s="318"/>
      <c r="C616" s="318"/>
      <c r="D616" s="351"/>
      <c r="E616" s="318"/>
    </row>
    <row r="617">
      <c r="A617" s="352"/>
      <c r="B617" s="318"/>
      <c r="C617" s="318"/>
      <c r="D617" s="351"/>
      <c r="E617" s="318"/>
    </row>
    <row r="618">
      <c r="A618" s="352"/>
      <c r="B618" s="318"/>
      <c r="C618" s="318"/>
      <c r="D618" s="351"/>
      <c r="E618" s="318"/>
    </row>
    <row r="619">
      <c r="A619" s="352"/>
      <c r="B619" s="318"/>
      <c r="C619" s="318"/>
      <c r="D619" s="351"/>
      <c r="E619" s="318"/>
    </row>
    <row r="620">
      <c r="A620" s="352"/>
      <c r="B620" s="318"/>
      <c r="C620" s="318"/>
      <c r="D620" s="351"/>
      <c r="E620" s="318"/>
    </row>
    <row r="621">
      <c r="A621" s="352"/>
      <c r="B621" s="318"/>
      <c r="C621" s="318"/>
      <c r="D621" s="351"/>
      <c r="E621" s="318"/>
    </row>
    <row r="622">
      <c r="A622" s="352"/>
      <c r="B622" s="318"/>
      <c r="C622" s="318"/>
      <c r="D622" s="351"/>
      <c r="E622" s="318"/>
    </row>
    <row r="623">
      <c r="A623" s="352"/>
      <c r="B623" s="318"/>
      <c r="C623" s="318"/>
      <c r="D623" s="351"/>
      <c r="E623" s="318"/>
    </row>
    <row r="624">
      <c r="A624" s="352"/>
      <c r="B624" s="318"/>
      <c r="C624" s="318"/>
      <c r="D624" s="351"/>
      <c r="E624" s="318"/>
    </row>
    <row r="625">
      <c r="A625" s="352"/>
      <c r="B625" s="318"/>
      <c r="C625" s="318"/>
      <c r="D625" s="351"/>
      <c r="E625" s="318"/>
    </row>
    <row r="626">
      <c r="A626" s="352"/>
      <c r="B626" s="318"/>
      <c r="C626" s="318"/>
      <c r="D626" s="351"/>
      <c r="E626" s="318"/>
    </row>
    <row r="627">
      <c r="A627" s="352"/>
      <c r="B627" s="318"/>
      <c r="C627" s="318"/>
      <c r="D627" s="351"/>
      <c r="E627" s="318"/>
    </row>
    <row r="628">
      <c r="A628" s="352"/>
      <c r="B628" s="318"/>
      <c r="C628" s="318"/>
      <c r="D628" s="351"/>
      <c r="E628" s="318"/>
    </row>
    <row r="629">
      <c r="A629" s="352"/>
      <c r="B629" s="318"/>
      <c r="C629" s="318"/>
      <c r="D629" s="351"/>
      <c r="E629" s="318"/>
    </row>
    <row r="630">
      <c r="A630" s="352"/>
      <c r="B630" s="318"/>
      <c r="C630" s="318"/>
      <c r="D630" s="351"/>
      <c r="E630" s="318"/>
    </row>
    <row r="631">
      <c r="A631" s="352"/>
      <c r="B631" s="318"/>
      <c r="C631" s="318"/>
      <c r="D631" s="351"/>
      <c r="E631" s="318"/>
    </row>
    <row r="632">
      <c r="A632" s="352"/>
      <c r="B632" s="318"/>
      <c r="C632" s="318"/>
      <c r="D632" s="351"/>
      <c r="E632" s="318"/>
    </row>
    <row r="633">
      <c r="A633" s="352"/>
      <c r="B633" s="318"/>
      <c r="C633" s="318"/>
      <c r="D633" s="351"/>
      <c r="E633" s="318"/>
    </row>
    <row r="634">
      <c r="A634" s="352"/>
      <c r="B634" s="318"/>
      <c r="C634" s="318"/>
      <c r="D634" s="351"/>
      <c r="E634" s="318"/>
    </row>
    <row r="635">
      <c r="A635" s="352"/>
      <c r="B635" s="318"/>
      <c r="C635" s="318"/>
      <c r="D635" s="351"/>
      <c r="E635" s="318"/>
    </row>
    <row r="636">
      <c r="A636" s="352"/>
      <c r="B636" s="318"/>
      <c r="C636" s="318"/>
      <c r="D636" s="351"/>
      <c r="E636" s="318"/>
    </row>
    <row r="637">
      <c r="A637" s="352"/>
      <c r="B637" s="318"/>
      <c r="C637" s="318"/>
      <c r="D637" s="351"/>
      <c r="E637" s="318"/>
    </row>
    <row r="638">
      <c r="A638" s="352"/>
      <c r="B638" s="318"/>
      <c r="C638" s="318"/>
      <c r="D638" s="351"/>
      <c r="E638" s="318"/>
    </row>
    <row r="639">
      <c r="A639" s="352"/>
      <c r="B639" s="318"/>
      <c r="C639" s="318"/>
      <c r="D639" s="351"/>
      <c r="E639" s="318"/>
    </row>
    <row r="640">
      <c r="A640" s="352"/>
      <c r="B640" s="318"/>
      <c r="C640" s="318"/>
      <c r="D640" s="351"/>
      <c r="E640" s="318"/>
    </row>
    <row r="641">
      <c r="A641" s="352"/>
      <c r="B641" s="318"/>
      <c r="C641" s="318"/>
      <c r="D641" s="351"/>
      <c r="E641" s="318"/>
    </row>
    <row r="642">
      <c r="A642" s="352"/>
      <c r="B642" s="318"/>
      <c r="C642" s="318"/>
      <c r="D642" s="351"/>
      <c r="E642" s="318"/>
    </row>
    <row r="643">
      <c r="A643" s="352"/>
      <c r="B643" s="318"/>
      <c r="C643" s="318"/>
      <c r="D643" s="351"/>
      <c r="E643" s="318"/>
    </row>
    <row r="644">
      <c r="A644" s="352"/>
      <c r="B644" s="318"/>
      <c r="C644" s="318"/>
      <c r="D644" s="351"/>
      <c r="E644" s="318"/>
    </row>
    <row r="645">
      <c r="A645" s="352"/>
      <c r="B645" s="318"/>
      <c r="C645" s="318"/>
      <c r="D645" s="351"/>
      <c r="E645" s="318"/>
    </row>
    <row r="646">
      <c r="A646" s="352"/>
      <c r="B646" s="318"/>
      <c r="C646" s="318"/>
      <c r="D646" s="351"/>
      <c r="E646" s="318"/>
    </row>
    <row r="647">
      <c r="A647" s="352"/>
      <c r="B647" s="318"/>
      <c r="C647" s="318"/>
      <c r="D647" s="351"/>
      <c r="E647" s="318"/>
    </row>
    <row r="648">
      <c r="A648" s="352"/>
      <c r="B648" s="318"/>
      <c r="C648" s="318"/>
      <c r="D648" s="351"/>
      <c r="E648" s="318"/>
    </row>
    <row r="649">
      <c r="A649" s="352"/>
      <c r="B649" s="318"/>
      <c r="C649" s="318"/>
      <c r="D649" s="351"/>
      <c r="E649" s="318"/>
    </row>
    <row r="650">
      <c r="A650" s="352"/>
      <c r="B650" s="318"/>
      <c r="C650" s="318"/>
      <c r="D650" s="351"/>
      <c r="E650" s="318"/>
    </row>
    <row r="651">
      <c r="A651" s="352"/>
      <c r="B651" s="318"/>
      <c r="C651" s="318"/>
      <c r="D651" s="351"/>
      <c r="E651" s="318"/>
    </row>
    <row r="652">
      <c r="A652" s="352"/>
      <c r="B652" s="318"/>
      <c r="C652" s="318"/>
      <c r="D652" s="351"/>
      <c r="E652" s="318"/>
    </row>
    <row r="653">
      <c r="A653" s="352"/>
      <c r="B653" s="318"/>
      <c r="C653" s="318"/>
      <c r="D653" s="351"/>
      <c r="E653" s="318"/>
    </row>
    <row r="654">
      <c r="A654" s="352"/>
      <c r="B654" s="318"/>
      <c r="C654" s="318"/>
      <c r="D654" s="351"/>
      <c r="E654" s="318"/>
    </row>
    <row r="655">
      <c r="A655" s="352"/>
      <c r="B655" s="318"/>
      <c r="C655" s="318"/>
      <c r="D655" s="351"/>
      <c r="E655" s="318"/>
    </row>
    <row r="656">
      <c r="A656" s="352"/>
      <c r="B656" s="318"/>
      <c r="C656" s="318"/>
      <c r="D656" s="351"/>
      <c r="E656" s="318"/>
    </row>
    <row r="657">
      <c r="A657" s="352"/>
      <c r="B657" s="318"/>
      <c r="C657" s="318"/>
      <c r="D657" s="351"/>
      <c r="E657" s="318"/>
    </row>
    <row r="658">
      <c r="A658" s="352"/>
      <c r="B658" s="318"/>
      <c r="C658" s="318"/>
      <c r="D658" s="351"/>
      <c r="E658" s="318"/>
    </row>
    <row r="659">
      <c r="A659" s="352"/>
      <c r="B659" s="318"/>
      <c r="C659" s="318"/>
      <c r="D659" s="351"/>
      <c r="E659" s="318"/>
    </row>
    <row r="660">
      <c r="A660" s="352"/>
      <c r="B660" s="318"/>
      <c r="C660" s="318"/>
      <c r="D660" s="351"/>
      <c r="E660" s="318"/>
    </row>
    <row r="661">
      <c r="A661" s="352"/>
      <c r="B661" s="318"/>
      <c r="C661" s="318"/>
      <c r="D661" s="351"/>
      <c r="E661" s="318"/>
    </row>
    <row r="662">
      <c r="A662" s="352"/>
      <c r="B662" s="318"/>
      <c r="C662" s="318"/>
      <c r="D662" s="351"/>
      <c r="E662" s="318"/>
    </row>
    <row r="663">
      <c r="A663" s="352"/>
      <c r="B663" s="318"/>
      <c r="C663" s="318"/>
      <c r="D663" s="351"/>
      <c r="E663" s="318"/>
    </row>
    <row r="664">
      <c r="A664" s="352"/>
      <c r="B664" s="318"/>
      <c r="C664" s="318"/>
      <c r="D664" s="351"/>
      <c r="E664" s="318"/>
    </row>
    <row r="665">
      <c r="A665" s="352"/>
      <c r="B665" s="318"/>
      <c r="C665" s="318"/>
      <c r="D665" s="351"/>
      <c r="E665" s="318"/>
    </row>
    <row r="666">
      <c r="A666" s="352"/>
      <c r="B666" s="318"/>
      <c r="C666" s="318"/>
      <c r="D666" s="351"/>
      <c r="E666" s="318"/>
    </row>
    <row r="667">
      <c r="A667" s="352"/>
      <c r="B667" s="318"/>
      <c r="C667" s="318"/>
      <c r="D667" s="351"/>
      <c r="E667" s="318"/>
    </row>
    <row r="668">
      <c r="A668" s="352"/>
      <c r="B668" s="318"/>
      <c r="C668" s="318"/>
      <c r="D668" s="351"/>
      <c r="E668" s="318"/>
    </row>
    <row r="669">
      <c r="A669" s="352"/>
      <c r="B669" s="318"/>
      <c r="C669" s="318"/>
      <c r="D669" s="351"/>
      <c r="E669" s="318"/>
    </row>
    <row r="670">
      <c r="A670" s="352"/>
      <c r="B670" s="318"/>
      <c r="C670" s="318"/>
      <c r="D670" s="351"/>
      <c r="E670" s="318"/>
    </row>
    <row r="671">
      <c r="A671" s="352"/>
      <c r="B671" s="318"/>
      <c r="C671" s="318"/>
      <c r="D671" s="351"/>
      <c r="E671" s="318"/>
    </row>
    <row r="672">
      <c r="A672" s="352"/>
      <c r="B672" s="318"/>
      <c r="C672" s="318"/>
      <c r="D672" s="351"/>
      <c r="E672" s="318"/>
    </row>
    <row r="673">
      <c r="A673" s="352"/>
      <c r="B673" s="318"/>
      <c r="C673" s="318"/>
      <c r="D673" s="351"/>
      <c r="E673" s="318"/>
    </row>
    <row r="674">
      <c r="A674" s="352"/>
      <c r="B674" s="318"/>
      <c r="C674" s="318"/>
      <c r="D674" s="351"/>
      <c r="E674" s="318"/>
    </row>
    <row r="675">
      <c r="A675" s="352"/>
      <c r="B675" s="318"/>
      <c r="C675" s="318"/>
      <c r="D675" s="351"/>
      <c r="E675" s="318"/>
    </row>
    <row r="676">
      <c r="A676" s="352"/>
      <c r="B676" s="318"/>
      <c r="C676" s="318"/>
      <c r="D676" s="351"/>
      <c r="E676" s="318"/>
    </row>
    <row r="677">
      <c r="A677" s="352"/>
      <c r="B677" s="318"/>
      <c r="C677" s="318"/>
      <c r="D677" s="351"/>
      <c r="E677" s="318"/>
    </row>
    <row r="678">
      <c r="A678" s="352"/>
      <c r="B678" s="318"/>
      <c r="C678" s="318"/>
      <c r="D678" s="351"/>
      <c r="E678" s="318"/>
    </row>
    <row r="679">
      <c r="A679" s="352"/>
      <c r="B679" s="318"/>
      <c r="C679" s="318"/>
      <c r="D679" s="351"/>
      <c r="E679" s="318"/>
    </row>
    <row r="680">
      <c r="A680" s="352"/>
      <c r="B680" s="318"/>
      <c r="C680" s="318"/>
      <c r="D680" s="351"/>
      <c r="E680" s="318"/>
    </row>
    <row r="681">
      <c r="A681" s="352"/>
      <c r="B681" s="318"/>
      <c r="C681" s="318"/>
      <c r="D681" s="351"/>
      <c r="E681" s="318"/>
    </row>
    <row r="682">
      <c r="A682" s="352"/>
      <c r="B682" s="318"/>
      <c r="C682" s="318"/>
      <c r="D682" s="351"/>
      <c r="E682" s="318"/>
    </row>
    <row r="683">
      <c r="A683" s="352"/>
      <c r="B683" s="318"/>
      <c r="C683" s="318"/>
      <c r="D683" s="351"/>
      <c r="E683" s="318"/>
    </row>
    <row r="684">
      <c r="A684" s="352"/>
      <c r="B684" s="318"/>
      <c r="C684" s="318"/>
      <c r="D684" s="351"/>
      <c r="E684" s="318"/>
    </row>
    <row r="685">
      <c r="A685" s="352"/>
      <c r="B685" s="318"/>
      <c r="C685" s="318"/>
      <c r="D685" s="351"/>
      <c r="E685" s="318"/>
    </row>
    <row r="686">
      <c r="A686" s="352"/>
      <c r="B686" s="318"/>
      <c r="C686" s="318"/>
      <c r="D686" s="351"/>
      <c r="E686" s="318"/>
    </row>
    <row r="687">
      <c r="A687" s="352"/>
      <c r="B687" s="318"/>
      <c r="C687" s="318"/>
      <c r="D687" s="351"/>
      <c r="E687" s="318"/>
    </row>
    <row r="688">
      <c r="A688" s="352"/>
      <c r="B688" s="318"/>
      <c r="C688" s="318"/>
      <c r="D688" s="351"/>
      <c r="E688" s="318"/>
    </row>
    <row r="689">
      <c r="A689" s="352"/>
      <c r="B689" s="318"/>
      <c r="C689" s="318"/>
      <c r="D689" s="351"/>
      <c r="E689" s="318"/>
    </row>
    <row r="690">
      <c r="A690" s="352"/>
      <c r="B690" s="318"/>
      <c r="C690" s="318"/>
      <c r="D690" s="351"/>
      <c r="E690" s="318"/>
    </row>
    <row r="691">
      <c r="A691" s="352"/>
      <c r="B691" s="318"/>
      <c r="C691" s="318"/>
      <c r="D691" s="351"/>
      <c r="E691" s="318"/>
    </row>
    <row r="692">
      <c r="A692" s="352"/>
      <c r="B692" s="318"/>
      <c r="C692" s="318"/>
      <c r="D692" s="351"/>
      <c r="E692" s="318"/>
    </row>
    <row r="693">
      <c r="A693" s="352"/>
      <c r="B693" s="318"/>
      <c r="C693" s="318"/>
      <c r="D693" s="351"/>
      <c r="E693" s="318"/>
    </row>
    <row r="694">
      <c r="A694" s="352"/>
      <c r="B694" s="318"/>
      <c r="C694" s="318"/>
      <c r="D694" s="351"/>
      <c r="E694" s="318"/>
    </row>
    <row r="695">
      <c r="A695" s="352"/>
      <c r="B695" s="318"/>
      <c r="C695" s="318"/>
      <c r="D695" s="351"/>
      <c r="E695" s="318"/>
    </row>
    <row r="696">
      <c r="A696" s="352"/>
      <c r="B696" s="318"/>
      <c r="C696" s="318"/>
      <c r="D696" s="351"/>
      <c r="E696" s="318"/>
    </row>
    <row r="697">
      <c r="A697" s="352"/>
      <c r="B697" s="318"/>
      <c r="C697" s="318"/>
      <c r="D697" s="351"/>
      <c r="E697" s="318"/>
    </row>
    <row r="698">
      <c r="A698" s="352"/>
      <c r="B698" s="318"/>
      <c r="C698" s="318"/>
      <c r="D698" s="351"/>
      <c r="E698" s="318"/>
    </row>
    <row r="699">
      <c r="A699" s="352"/>
      <c r="B699" s="318"/>
      <c r="C699" s="318"/>
      <c r="D699" s="351"/>
      <c r="E699" s="318"/>
    </row>
    <row r="700">
      <c r="A700" s="352"/>
      <c r="B700" s="318"/>
      <c r="C700" s="318"/>
      <c r="D700" s="351"/>
      <c r="E700" s="318"/>
    </row>
    <row r="701">
      <c r="A701" s="352"/>
      <c r="B701" s="318"/>
      <c r="C701" s="318"/>
      <c r="D701" s="351"/>
      <c r="E701" s="318"/>
    </row>
    <row r="702">
      <c r="A702" s="352"/>
      <c r="B702" s="318"/>
      <c r="C702" s="318"/>
      <c r="D702" s="351"/>
      <c r="E702" s="318"/>
    </row>
    <row r="703">
      <c r="A703" s="352"/>
      <c r="B703" s="318"/>
      <c r="C703" s="318"/>
      <c r="D703" s="351"/>
      <c r="E703" s="318"/>
    </row>
    <row r="704">
      <c r="A704" s="352"/>
      <c r="B704" s="318"/>
      <c r="C704" s="318"/>
      <c r="D704" s="351"/>
      <c r="E704" s="318"/>
    </row>
    <row r="705">
      <c r="A705" s="352"/>
      <c r="B705" s="318"/>
      <c r="C705" s="318"/>
      <c r="D705" s="351"/>
      <c r="E705" s="318"/>
    </row>
    <row r="706">
      <c r="A706" s="352"/>
      <c r="B706" s="318"/>
      <c r="C706" s="318"/>
      <c r="D706" s="351"/>
      <c r="E706" s="318"/>
    </row>
    <row r="707">
      <c r="A707" s="352"/>
      <c r="B707" s="318"/>
      <c r="C707" s="318"/>
      <c r="D707" s="351"/>
      <c r="E707" s="318"/>
    </row>
    <row r="708">
      <c r="A708" s="352"/>
      <c r="B708" s="318"/>
      <c r="C708" s="318"/>
      <c r="D708" s="351"/>
      <c r="E708" s="318"/>
    </row>
    <row r="709">
      <c r="A709" s="352"/>
      <c r="B709" s="318"/>
      <c r="C709" s="318"/>
      <c r="D709" s="351"/>
      <c r="E709" s="318"/>
    </row>
    <row r="710">
      <c r="A710" s="352"/>
      <c r="B710" s="318"/>
      <c r="C710" s="318"/>
      <c r="D710" s="351"/>
      <c r="E710" s="318"/>
    </row>
    <row r="711">
      <c r="A711" s="352"/>
      <c r="B711" s="318"/>
      <c r="C711" s="318"/>
      <c r="D711" s="351"/>
      <c r="E711" s="318"/>
    </row>
    <row r="712">
      <c r="A712" s="352"/>
      <c r="B712" s="318"/>
      <c r="C712" s="318"/>
      <c r="D712" s="351"/>
      <c r="E712" s="318"/>
    </row>
    <row r="713">
      <c r="A713" s="352"/>
      <c r="B713" s="318"/>
      <c r="C713" s="318"/>
      <c r="D713" s="351"/>
      <c r="E713" s="318"/>
    </row>
    <row r="714">
      <c r="A714" s="352"/>
      <c r="B714" s="318"/>
      <c r="C714" s="318"/>
      <c r="D714" s="351"/>
      <c r="E714" s="318"/>
    </row>
    <row r="715">
      <c r="A715" s="352"/>
      <c r="B715" s="318"/>
      <c r="C715" s="318"/>
      <c r="D715" s="351"/>
      <c r="E715" s="318"/>
    </row>
    <row r="716">
      <c r="A716" s="352"/>
      <c r="B716" s="318"/>
      <c r="C716" s="318"/>
      <c r="D716" s="351"/>
      <c r="E716" s="318"/>
    </row>
    <row r="717">
      <c r="A717" s="352"/>
      <c r="B717" s="318"/>
      <c r="C717" s="318"/>
      <c r="D717" s="351"/>
      <c r="E717" s="318"/>
    </row>
    <row r="718">
      <c r="A718" s="352"/>
      <c r="B718" s="318"/>
      <c r="C718" s="318"/>
      <c r="D718" s="351"/>
      <c r="E718" s="318"/>
    </row>
    <row r="719">
      <c r="A719" s="352"/>
      <c r="B719" s="318"/>
      <c r="C719" s="318"/>
      <c r="D719" s="351"/>
      <c r="E719" s="318"/>
    </row>
    <row r="720">
      <c r="A720" s="352"/>
      <c r="B720" s="318"/>
      <c r="C720" s="318"/>
      <c r="D720" s="351"/>
      <c r="E720" s="318"/>
    </row>
    <row r="721">
      <c r="A721" s="352"/>
      <c r="B721" s="318"/>
      <c r="C721" s="318"/>
      <c r="D721" s="351"/>
      <c r="E721" s="318"/>
    </row>
    <row r="722">
      <c r="A722" s="352"/>
      <c r="B722" s="318"/>
      <c r="C722" s="318"/>
      <c r="D722" s="351"/>
      <c r="E722" s="318"/>
    </row>
    <row r="723">
      <c r="A723" s="352"/>
      <c r="B723" s="318"/>
      <c r="C723" s="318"/>
      <c r="D723" s="351"/>
      <c r="E723" s="318"/>
    </row>
    <row r="724">
      <c r="A724" s="352"/>
      <c r="B724" s="318"/>
      <c r="C724" s="318"/>
      <c r="D724" s="351"/>
      <c r="E724" s="318"/>
    </row>
    <row r="725">
      <c r="A725" s="352"/>
      <c r="B725" s="318"/>
      <c r="C725" s="318"/>
      <c r="D725" s="351"/>
      <c r="E725" s="318"/>
    </row>
    <row r="726">
      <c r="A726" s="352"/>
      <c r="B726" s="318"/>
      <c r="C726" s="318"/>
      <c r="D726" s="351"/>
      <c r="E726" s="318"/>
    </row>
    <row r="727">
      <c r="A727" s="352"/>
      <c r="B727" s="318"/>
      <c r="C727" s="318"/>
      <c r="D727" s="351"/>
      <c r="E727" s="318"/>
    </row>
    <row r="728">
      <c r="A728" s="352"/>
      <c r="B728" s="318"/>
      <c r="C728" s="318"/>
      <c r="D728" s="351"/>
      <c r="E728" s="318"/>
    </row>
    <row r="729">
      <c r="A729" s="352"/>
      <c r="B729" s="318"/>
      <c r="C729" s="318"/>
      <c r="D729" s="351"/>
      <c r="E729" s="318"/>
    </row>
    <row r="730">
      <c r="A730" s="352"/>
      <c r="B730" s="318"/>
      <c r="C730" s="318"/>
      <c r="D730" s="351"/>
      <c r="E730" s="318"/>
    </row>
    <row r="731">
      <c r="A731" s="352"/>
      <c r="B731" s="318"/>
      <c r="C731" s="318"/>
      <c r="D731" s="351"/>
      <c r="E731" s="318"/>
    </row>
    <row r="732">
      <c r="A732" s="352"/>
      <c r="B732" s="318"/>
      <c r="C732" s="318"/>
      <c r="D732" s="351"/>
      <c r="E732" s="318"/>
    </row>
    <row r="733">
      <c r="A733" s="352"/>
      <c r="B733" s="318"/>
      <c r="C733" s="318"/>
      <c r="D733" s="351"/>
      <c r="E733" s="318"/>
    </row>
    <row r="734">
      <c r="A734" s="352"/>
      <c r="B734" s="318"/>
      <c r="C734" s="318"/>
      <c r="D734" s="351"/>
      <c r="E734" s="318"/>
    </row>
    <row r="735">
      <c r="A735" s="352"/>
      <c r="B735" s="318"/>
      <c r="C735" s="318"/>
      <c r="D735" s="351"/>
      <c r="E735" s="318"/>
    </row>
    <row r="736">
      <c r="A736" s="352"/>
      <c r="B736" s="318"/>
      <c r="C736" s="318"/>
      <c r="D736" s="351"/>
      <c r="E736" s="318"/>
    </row>
    <row r="737">
      <c r="A737" s="352"/>
      <c r="B737" s="318"/>
      <c r="C737" s="318"/>
      <c r="D737" s="351"/>
      <c r="E737" s="318"/>
    </row>
    <row r="738">
      <c r="A738" s="352"/>
      <c r="B738" s="318"/>
      <c r="C738" s="318"/>
      <c r="D738" s="351"/>
      <c r="E738" s="318"/>
    </row>
    <row r="739">
      <c r="A739" s="352"/>
      <c r="B739" s="318"/>
      <c r="C739" s="318"/>
      <c r="D739" s="351"/>
      <c r="E739" s="318"/>
    </row>
    <row r="740">
      <c r="A740" s="352"/>
      <c r="B740" s="318"/>
      <c r="C740" s="318"/>
      <c r="D740" s="351"/>
      <c r="E740" s="318"/>
    </row>
    <row r="741">
      <c r="A741" s="352"/>
      <c r="B741" s="318"/>
      <c r="C741" s="318"/>
      <c r="D741" s="351"/>
      <c r="E741" s="318"/>
    </row>
    <row r="742">
      <c r="A742" s="352"/>
      <c r="B742" s="318"/>
      <c r="C742" s="318"/>
      <c r="D742" s="351"/>
      <c r="E742" s="318"/>
    </row>
    <row r="743">
      <c r="A743" s="352"/>
      <c r="B743" s="318"/>
      <c r="C743" s="318"/>
      <c r="D743" s="351"/>
      <c r="E743" s="318"/>
    </row>
    <row r="744">
      <c r="A744" s="352"/>
      <c r="B744" s="318"/>
      <c r="C744" s="318"/>
      <c r="D744" s="351"/>
      <c r="E744" s="318"/>
    </row>
    <row r="745">
      <c r="A745" s="352"/>
      <c r="B745" s="318"/>
      <c r="C745" s="318"/>
      <c r="D745" s="351"/>
      <c r="E745" s="318"/>
    </row>
    <row r="746">
      <c r="A746" s="352"/>
      <c r="B746" s="318"/>
      <c r="C746" s="318"/>
      <c r="D746" s="351"/>
      <c r="E746" s="318"/>
    </row>
    <row r="747">
      <c r="A747" s="352"/>
      <c r="B747" s="318"/>
      <c r="C747" s="318"/>
      <c r="D747" s="351"/>
      <c r="E747" s="318"/>
    </row>
    <row r="748">
      <c r="A748" s="352"/>
      <c r="B748" s="318"/>
      <c r="C748" s="318"/>
      <c r="D748" s="351"/>
      <c r="E748" s="318"/>
    </row>
    <row r="749">
      <c r="A749" s="352"/>
      <c r="B749" s="318"/>
      <c r="C749" s="318"/>
      <c r="D749" s="351"/>
      <c r="E749" s="318"/>
    </row>
    <row r="750">
      <c r="A750" s="352"/>
      <c r="B750" s="318"/>
      <c r="C750" s="318"/>
      <c r="D750" s="351"/>
      <c r="E750" s="318"/>
    </row>
    <row r="751">
      <c r="A751" s="352"/>
      <c r="B751" s="318"/>
      <c r="C751" s="318"/>
      <c r="D751" s="351"/>
      <c r="E751" s="318"/>
    </row>
    <row r="752">
      <c r="A752" s="352"/>
      <c r="B752" s="318"/>
      <c r="C752" s="318"/>
      <c r="D752" s="351"/>
      <c r="E752" s="318"/>
    </row>
    <row r="753">
      <c r="A753" s="352"/>
      <c r="B753" s="318"/>
      <c r="C753" s="318"/>
      <c r="D753" s="351"/>
      <c r="E753" s="318"/>
    </row>
    <row r="754">
      <c r="A754" s="352"/>
      <c r="B754" s="318"/>
      <c r="C754" s="318"/>
      <c r="D754" s="351"/>
      <c r="E754" s="318"/>
    </row>
    <row r="755">
      <c r="A755" s="352"/>
      <c r="B755" s="318"/>
      <c r="C755" s="318"/>
      <c r="D755" s="351"/>
      <c r="E755" s="318"/>
    </row>
    <row r="756">
      <c r="A756" s="352"/>
      <c r="B756" s="318"/>
      <c r="C756" s="318"/>
      <c r="D756" s="351"/>
      <c r="E756" s="318"/>
    </row>
    <row r="757">
      <c r="A757" s="352"/>
      <c r="B757" s="318"/>
      <c r="C757" s="318"/>
      <c r="D757" s="351"/>
      <c r="E757" s="318"/>
    </row>
    <row r="758">
      <c r="A758" s="352"/>
      <c r="B758" s="318"/>
      <c r="C758" s="318"/>
      <c r="D758" s="351"/>
      <c r="E758" s="318"/>
    </row>
    <row r="759">
      <c r="A759" s="352"/>
      <c r="B759" s="318"/>
      <c r="C759" s="318"/>
      <c r="D759" s="351"/>
      <c r="E759" s="318"/>
    </row>
    <row r="760">
      <c r="A760" s="352"/>
      <c r="B760" s="318"/>
      <c r="C760" s="318"/>
      <c r="D760" s="351"/>
      <c r="E760" s="318"/>
    </row>
    <row r="761">
      <c r="A761" s="352"/>
      <c r="B761" s="318"/>
      <c r="C761" s="318"/>
      <c r="D761" s="351"/>
      <c r="E761" s="318"/>
    </row>
    <row r="762">
      <c r="A762" s="352"/>
      <c r="B762" s="318"/>
      <c r="C762" s="318"/>
      <c r="D762" s="351"/>
      <c r="E762" s="318"/>
    </row>
    <row r="763">
      <c r="A763" s="352"/>
      <c r="B763" s="318"/>
      <c r="C763" s="318"/>
      <c r="D763" s="351"/>
      <c r="E763" s="318"/>
    </row>
    <row r="764">
      <c r="A764" s="352"/>
      <c r="B764" s="318"/>
      <c r="C764" s="318"/>
      <c r="D764" s="351"/>
      <c r="E764" s="318"/>
    </row>
    <row r="765">
      <c r="A765" s="352"/>
      <c r="B765" s="318"/>
      <c r="C765" s="318"/>
      <c r="D765" s="351"/>
      <c r="E765" s="318"/>
    </row>
    <row r="766">
      <c r="A766" s="352"/>
      <c r="B766" s="318"/>
      <c r="C766" s="318"/>
      <c r="D766" s="351"/>
      <c r="E766" s="318"/>
    </row>
    <row r="767">
      <c r="A767" s="352"/>
      <c r="B767" s="318"/>
      <c r="C767" s="318"/>
      <c r="D767" s="351"/>
      <c r="E767" s="318"/>
    </row>
    <row r="768">
      <c r="A768" s="352"/>
      <c r="B768" s="318"/>
      <c r="C768" s="318"/>
      <c r="D768" s="351"/>
      <c r="E768" s="318"/>
    </row>
    <row r="769">
      <c r="A769" s="352"/>
      <c r="B769" s="318"/>
      <c r="C769" s="318"/>
      <c r="D769" s="351"/>
      <c r="E769" s="318"/>
    </row>
    <row r="770">
      <c r="A770" s="352"/>
      <c r="B770" s="318"/>
      <c r="C770" s="318"/>
      <c r="D770" s="351"/>
      <c r="E770" s="318"/>
    </row>
    <row r="771">
      <c r="A771" s="352"/>
      <c r="B771" s="318"/>
      <c r="C771" s="318"/>
      <c r="D771" s="351"/>
      <c r="E771" s="318"/>
    </row>
    <row r="772">
      <c r="A772" s="352"/>
      <c r="B772" s="318"/>
      <c r="C772" s="318"/>
      <c r="D772" s="351"/>
      <c r="E772" s="318"/>
    </row>
    <row r="773">
      <c r="A773" s="352"/>
      <c r="B773" s="318"/>
      <c r="C773" s="318"/>
      <c r="D773" s="351"/>
      <c r="E773" s="318"/>
    </row>
    <row r="774">
      <c r="A774" s="352"/>
      <c r="B774" s="318"/>
      <c r="C774" s="318"/>
      <c r="D774" s="351"/>
      <c r="E774" s="318"/>
    </row>
    <row r="775">
      <c r="A775" s="352"/>
      <c r="B775" s="318"/>
      <c r="C775" s="318"/>
      <c r="D775" s="351"/>
      <c r="E775" s="318"/>
    </row>
    <row r="776">
      <c r="A776" s="352"/>
      <c r="B776" s="318"/>
      <c r="C776" s="318"/>
      <c r="D776" s="351"/>
      <c r="E776" s="318"/>
    </row>
    <row r="777">
      <c r="A777" s="352"/>
      <c r="B777" s="318"/>
      <c r="C777" s="318"/>
      <c r="D777" s="351"/>
      <c r="E777" s="318"/>
    </row>
    <row r="778">
      <c r="A778" s="352"/>
      <c r="B778" s="318"/>
      <c r="C778" s="318"/>
      <c r="D778" s="351"/>
      <c r="E778" s="318"/>
    </row>
    <row r="779">
      <c r="A779" s="352"/>
      <c r="B779" s="318"/>
      <c r="C779" s="318"/>
      <c r="D779" s="351"/>
      <c r="E779" s="318"/>
    </row>
    <row r="780">
      <c r="A780" s="352"/>
      <c r="B780" s="318"/>
      <c r="C780" s="318"/>
      <c r="D780" s="351"/>
      <c r="E780" s="318"/>
    </row>
    <row r="781">
      <c r="A781" s="352"/>
      <c r="B781" s="318"/>
      <c r="C781" s="318"/>
      <c r="D781" s="351"/>
      <c r="E781" s="318"/>
    </row>
    <row r="782">
      <c r="A782" s="352"/>
      <c r="B782" s="318"/>
      <c r="C782" s="318"/>
      <c r="D782" s="351"/>
      <c r="E782" s="318"/>
    </row>
    <row r="783">
      <c r="A783" s="352"/>
      <c r="B783" s="318"/>
      <c r="C783" s="318"/>
      <c r="D783" s="351"/>
      <c r="E783" s="318"/>
    </row>
    <row r="784">
      <c r="A784" s="352"/>
      <c r="B784" s="318"/>
      <c r="C784" s="318"/>
      <c r="D784" s="351"/>
      <c r="E784" s="318"/>
    </row>
    <row r="785">
      <c r="A785" s="352"/>
      <c r="B785" s="318"/>
      <c r="C785" s="318"/>
      <c r="D785" s="351"/>
      <c r="E785" s="318"/>
    </row>
    <row r="786">
      <c r="A786" s="352"/>
      <c r="B786" s="318"/>
      <c r="C786" s="318"/>
      <c r="D786" s="351"/>
      <c r="E786" s="318"/>
    </row>
    <row r="787">
      <c r="A787" s="352"/>
      <c r="B787" s="318"/>
      <c r="C787" s="318"/>
      <c r="D787" s="351"/>
      <c r="E787" s="318"/>
    </row>
    <row r="788">
      <c r="A788" s="352"/>
      <c r="B788" s="318"/>
      <c r="C788" s="318"/>
      <c r="D788" s="351"/>
      <c r="E788" s="318"/>
    </row>
    <row r="789">
      <c r="A789" s="352"/>
      <c r="B789" s="318"/>
      <c r="C789" s="318"/>
      <c r="D789" s="351"/>
      <c r="E789" s="318"/>
    </row>
    <row r="790">
      <c r="A790" s="352"/>
      <c r="B790" s="318"/>
      <c r="C790" s="318"/>
      <c r="D790" s="351"/>
      <c r="E790" s="318"/>
    </row>
    <row r="791">
      <c r="A791" s="352"/>
      <c r="B791" s="318"/>
      <c r="C791" s="318"/>
      <c r="D791" s="351"/>
      <c r="E791" s="318"/>
    </row>
    <row r="792">
      <c r="A792" s="352"/>
      <c r="B792" s="318"/>
      <c r="C792" s="318"/>
      <c r="D792" s="351"/>
      <c r="E792" s="318"/>
    </row>
    <row r="793">
      <c r="A793" s="352"/>
      <c r="B793" s="318"/>
      <c r="C793" s="318"/>
      <c r="D793" s="351"/>
      <c r="E793" s="318"/>
    </row>
    <row r="794">
      <c r="A794" s="352"/>
      <c r="B794" s="318"/>
      <c r="C794" s="318"/>
      <c r="D794" s="351"/>
      <c r="E794" s="318"/>
    </row>
    <row r="795">
      <c r="A795" s="352"/>
      <c r="B795" s="318"/>
      <c r="C795" s="318"/>
      <c r="D795" s="351"/>
      <c r="E795" s="318"/>
    </row>
    <row r="796">
      <c r="A796" s="352"/>
      <c r="B796" s="318"/>
      <c r="C796" s="318"/>
      <c r="D796" s="351"/>
      <c r="E796" s="318"/>
    </row>
    <row r="797">
      <c r="A797" s="352"/>
      <c r="B797" s="318"/>
      <c r="C797" s="318"/>
      <c r="D797" s="351"/>
      <c r="E797" s="318"/>
    </row>
    <row r="798">
      <c r="A798" s="352"/>
      <c r="B798" s="318"/>
      <c r="C798" s="318"/>
      <c r="D798" s="351"/>
      <c r="E798" s="318"/>
    </row>
    <row r="799">
      <c r="A799" s="352"/>
      <c r="B799" s="318"/>
      <c r="C799" s="318"/>
      <c r="D799" s="351"/>
      <c r="E799" s="318"/>
    </row>
    <row r="800">
      <c r="A800" s="352"/>
      <c r="B800" s="318"/>
      <c r="C800" s="318"/>
      <c r="D800" s="351"/>
      <c r="E800" s="318"/>
    </row>
    <row r="801">
      <c r="A801" s="352"/>
      <c r="B801" s="318"/>
      <c r="C801" s="318"/>
      <c r="D801" s="351"/>
      <c r="E801" s="318"/>
    </row>
    <row r="802">
      <c r="A802" s="352"/>
      <c r="B802" s="318"/>
      <c r="C802" s="318"/>
      <c r="D802" s="351"/>
      <c r="E802" s="318"/>
    </row>
    <row r="803">
      <c r="A803" s="352"/>
      <c r="B803" s="318"/>
      <c r="C803" s="318"/>
      <c r="D803" s="351"/>
      <c r="E803" s="318"/>
    </row>
    <row r="804">
      <c r="A804" s="352"/>
      <c r="B804" s="318"/>
      <c r="C804" s="318"/>
      <c r="D804" s="351"/>
      <c r="E804" s="318"/>
    </row>
    <row r="805">
      <c r="A805" s="352"/>
      <c r="B805" s="318"/>
      <c r="C805" s="318"/>
      <c r="D805" s="351"/>
      <c r="E805" s="318"/>
    </row>
    <row r="806">
      <c r="A806" s="352"/>
      <c r="B806" s="318"/>
      <c r="C806" s="318"/>
      <c r="D806" s="351"/>
      <c r="E806" s="318"/>
    </row>
    <row r="807">
      <c r="A807" s="352"/>
      <c r="B807" s="318"/>
      <c r="C807" s="318"/>
      <c r="D807" s="351"/>
      <c r="E807" s="318"/>
    </row>
    <row r="808">
      <c r="A808" s="352"/>
      <c r="B808" s="318"/>
      <c r="C808" s="318"/>
      <c r="D808" s="351"/>
      <c r="E808" s="318"/>
    </row>
    <row r="809">
      <c r="A809" s="352"/>
      <c r="B809" s="318"/>
      <c r="C809" s="318"/>
      <c r="D809" s="351"/>
      <c r="E809" s="318"/>
    </row>
    <row r="810">
      <c r="A810" s="352"/>
      <c r="B810" s="318"/>
      <c r="C810" s="318"/>
      <c r="D810" s="351"/>
      <c r="E810" s="318"/>
    </row>
    <row r="811">
      <c r="A811" s="352"/>
      <c r="B811" s="318"/>
      <c r="C811" s="318"/>
      <c r="D811" s="351"/>
      <c r="E811" s="318"/>
    </row>
    <row r="812">
      <c r="A812" s="352"/>
      <c r="B812" s="318"/>
      <c r="C812" s="318"/>
      <c r="D812" s="351"/>
      <c r="E812" s="318"/>
    </row>
    <row r="813">
      <c r="A813" s="352"/>
      <c r="B813" s="318"/>
      <c r="C813" s="318"/>
      <c r="D813" s="351"/>
      <c r="E813" s="318"/>
    </row>
    <row r="814">
      <c r="A814" s="352"/>
      <c r="B814" s="318"/>
      <c r="C814" s="318"/>
      <c r="D814" s="351"/>
      <c r="E814" s="318"/>
    </row>
    <row r="815">
      <c r="A815" s="352"/>
      <c r="B815" s="318"/>
      <c r="C815" s="318"/>
      <c r="D815" s="351"/>
      <c r="E815" s="318"/>
    </row>
    <row r="816">
      <c r="A816" s="352"/>
      <c r="B816" s="318"/>
      <c r="C816" s="318"/>
      <c r="D816" s="351"/>
      <c r="E816" s="318"/>
    </row>
    <row r="817">
      <c r="A817" s="352"/>
      <c r="B817" s="318"/>
      <c r="C817" s="318"/>
      <c r="D817" s="351"/>
      <c r="E817" s="318"/>
    </row>
    <row r="818">
      <c r="A818" s="352"/>
      <c r="B818" s="318"/>
      <c r="C818" s="318"/>
      <c r="D818" s="351"/>
      <c r="E818" s="318"/>
    </row>
    <row r="819">
      <c r="A819" s="352"/>
      <c r="B819" s="318"/>
      <c r="C819" s="318"/>
      <c r="D819" s="351"/>
      <c r="E819" s="318"/>
    </row>
    <row r="820">
      <c r="A820" s="352"/>
      <c r="B820" s="318"/>
      <c r="C820" s="318"/>
      <c r="D820" s="351"/>
      <c r="E820" s="318"/>
    </row>
    <row r="821">
      <c r="A821" s="352"/>
      <c r="B821" s="318"/>
      <c r="C821" s="318"/>
      <c r="D821" s="351"/>
      <c r="E821" s="318"/>
    </row>
    <row r="822">
      <c r="A822" s="352"/>
      <c r="B822" s="318"/>
      <c r="C822" s="318"/>
      <c r="D822" s="351"/>
      <c r="E822" s="318"/>
    </row>
    <row r="823">
      <c r="A823" s="352"/>
      <c r="B823" s="318"/>
      <c r="C823" s="318"/>
      <c r="D823" s="351"/>
      <c r="E823" s="318"/>
    </row>
    <row r="824">
      <c r="A824" s="352"/>
      <c r="B824" s="318"/>
      <c r="C824" s="318"/>
      <c r="D824" s="351"/>
      <c r="E824" s="318"/>
    </row>
    <row r="825">
      <c r="A825" s="352"/>
      <c r="B825" s="318"/>
      <c r="C825" s="318"/>
      <c r="D825" s="351"/>
      <c r="E825" s="318"/>
    </row>
    <row r="826">
      <c r="A826" s="352"/>
      <c r="B826" s="318"/>
      <c r="C826" s="318"/>
      <c r="D826" s="351"/>
      <c r="E826" s="318"/>
    </row>
    <row r="827">
      <c r="A827" s="352"/>
      <c r="B827" s="318"/>
      <c r="C827" s="318"/>
      <c r="D827" s="351"/>
      <c r="E827" s="318"/>
    </row>
    <row r="828">
      <c r="A828" s="352"/>
      <c r="B828" s="318"/>
      <c r="C828" s="318"/>
      <c r="D828" s="351"/>
      <c r="E828" s="318"/>
    </row>
    <row r="829">
      <c r="A829" s="352"/>
      <c r="B829" s="318"/>
      <c r="C829" s="318"/>
      <c r="D829" s="351"/>
      <c r="E829" s="318"/>
    </row>
    <row r="830">
      <c r="A830" s="352"/>
      <c r="B830" s="318"/>
      <c r="C830" s="318"/>
      <c r="D830" s="351"/>
      <c r="E830" s="318"/>
    </row>
    <row r="831">
      <c r="A831" s="352"/>
      <c r="B831" s="318"/>
      <c r="C831" s="318"/>
      <c r="D831" s="351"/>
      <c r="E831" s="318"/>
    </row>
    <row r="832">
      <c r="A832" s="352"/>
      <c r="B832" s="318"/>
      <c r="C832" s="318"/>
      <c r="D832" s="351"/>
      <c r="E832" s="318"/>
    </row>
    <row r="833">
      <c r="A833" s="352"/>
      <c r="B833" s="318"/>
      <c r="C833" s="318"/>
      <c r="D833" s="351"/>
      <c r="E833" s="318"/>
    </row>
    <row r="834">
      <c r="A834" s="352"/>
      <c r="B834" s="318"/>
      <c r="C834" s="318"/>
      <c r="D834" s="351"/>
      <c r="E834" s="318"/>
    </row>
    <row r="835">
      <c r="A835" s="352"/>
      <c r="B835" s="318"/>
      <c r="C835" s="318"/>
      <c r="D835" s="351"/>
      <c r="E835" s="318"/>
    </row>
    <row r="836">
      <c r="A836" s="352"/>
      <c r="B836" s="318"/>
      <c r="C836" s="318"/>
      <c r="D836" s="351"/>
      <c r="E836" s="318"/>
    </row>
    <row r="837">
      <c r="A837" s="352"/>
      <c r="B837" s="318"/>
      <c r="C837" s="318"/>
      <c r="D837" s="351"/>
      <c r="E837" s="318"/>
    </row>
    <row r="838">
      <c r="A838" s="352"/>
      <c r="B838" s="318"/>
      <c r="C838" s="318"/>
      <c r="D838" s="351"/>
      <c r="E838" s="318"/>
    </row>
    <row r="839">
      <c r="A839" s="352"/>
      <c r="B839" s="318"/>
      <c r="C839" s="318"/>
      <c r="D839" s="351"/>
      <c r="E839" s="318"/>
    </row>
    <row r="840">
      <c r="A840" s="352"/>
      <c r="B840" s="318"/>
      <c r="C840" s="318"/>
      <c r="D840" s="351"/>
      <c r="E840" s="318"/>
    </row>
    <row r="841">
      <c r="A841" s="352"/>
      <c r="B841" s="318"/>
      <c r="C841" s="318"/>
      <c r="D841" s="351"/>
      <c r="E841" s="318"/>
    </row>
    <row r="842">
      <c r="A842" s="352"/>
      <c r="B842" s="318"/>
      <c r="C842" s="318"/>
      <c r="D842" s="351"/>
      <c r="E842" s="318"/>
    </row>
    <row r="843">
      <c r="A843" s="352"/>
      <c r="B843" s="318"/>
      <c r="C843" s="318"/>
      <c r="D843" s="351"/>
      <c r="E843" s="318"/>
    </row>
    <row r="844">
      <c r="A844" s="352"/>
      <c r="B844" s="318"/>
      <c r="C844" s="318"/>
      <c r="D844" s="351"/>
      <c r="E844" s="318"/>
    </row>
    <row r="845">
      <c r="A845" s="352"/>
      <c r="B845" s="318"/>
      <c r="C845" s="318"/>
      <c r="D845" s="351"/>
      <c r="E845" s="318"/>
    </row>
    <row r="846">
      <c r="A846" s="352"/>
      <c r="B846" s="318"/>
      <c r="C846" s="318"/>
      <c r="D846" s="351"/>
      <c r="E846" s="318"/>
    </row>
    <row r="847">
      <c r="A847" s="352"/>
      <c r="B847" s="318"/>
      <c r="C847" s="318"/>
      <c r="D847" s="351"/>
      <c r="E847" s="318"/>
    </row>
    <row r="848">
      <c r="A848" s="352"/>
      <c r="B848" s="318"/>
      <c r="C848" s="318"/>
      <c r="D848" s="351"/>
      <c r="E848" s="318"/>
    </row>
    <row r="849">
      <c r="A849" s="352"/>
      <c r="B849" s="318"/>
      <c r="C849" s="318"/>
      <c r="D849" s="351"/>
      <c r="E849" s="318"/>
    </row>
    <row r="850">
      <c r="A850" s="352"/>
      <c r="B850" s="318"/>
      <c r="C850" s="318"/>
      <c r="D850" s="351"/>
      <c r="E850" s="318"/>
    </row>
    <row r="851">
      <c r="A851" s="352"/>
      <c r="B851" s="318"/>
      <c r="C851" s="318"/>
      <c r="D851" s="351"/>
      <c r="E851" s="318"/>
    </row>
    <row r="852">
      <c r="A852" s="352"/>
      <c r="B852" s="318"/>
      <c r="C852" s="318"/>
      <c r="D852" s="351"/>
      <c r="E852" s="318"/>
    </row>
    <row r="853">
      <c r="A853" s="352"/>
      <c r="B853" s="318"/>
      <c r="C853" s="318"/>
      <c r="D853" s="351"/>
      <c r="E853" s="318"/>
    </row>
    <row r="854">
      <c r="A854" s="352"/>
      <c r="B854" s="318"/>
      <c r="C854" s="318"/>
      <c r="D854" s="351"/>
      <c r="E854" s="318"/>
    </row>
    <row r="855">
      <c r="A855" s="352"/>
      <c r="B855" s="318"/>
      <c r="C855" s="318"/>
      <c r="D855" s="351"/>
      <c r="E855" s="318"/>
    </row>
    <row r="856">
      <c r="A856" s="352"/>
      <c r="B856" s="318"/>
      <c r="C856" s="318"/>
      <c r="D856" s="351"/>
      <c r="E856" s="318"/>
    </row>
    <row r="857">
      <c r="A857" s="352"/>
      <c r="B857" s="318"/>
      <c r="C857" s="318"/>
      <c r="D857" s="351"/>
      <c r="E857" s="318"/>
    </row>
    <row r="858">
      <c r="A858" s="352"/>
      <c r="B858" s="318"/>
      <c r="C858" s="318"/>
      <c r="D858" s="351"/>
      <c r="E858" s="318"/>
    </row>
    <row r="859">
      <c r="A859" s="352"/>
      <c r="B859" s="318"/>
      <c r="C859" s="318"/>
      <c r="D859" s="351"/>
      <c r="E859" s="318"/>
    </row>
    <row r="860">
      <c r="A860" s="352"/>
      <c r="B860" s="318"/>
      <c r="C860" s="318"/>
      <c r="D860" s="351"/>
      <c r="E860" s="318"/>
    </row>
    <row r="861">
      <c r="A861" s="352"/>
      <c r="B861" s="318"/>
      <c r="C861" s="318"/>
      <c r="D861" s="351"/>
      <c r="E861" s="318"/>
    </row>
    <row r="862">
      <c r="A862" s="352"/>
      <c r="B862" s="318"/>
      <c r="C862" s="318"/>
      <c r="D862" s="351"/>
      <c r="E862" s="318"/>
    </row>
    <row r="863">
      <c r="A863" s="352"/>
      <c r="B863" s="318"/>
      <c r="C863" s="318"/>
      <c r="D863" s="351"/>
      <c r="E863" s="318"/>
    </row>
    <row r="864">
      <c r="A864" s="352"/>
      <c r="B864" s="318"/>
      <c r="C864" s="318"/>
      <c r="D864" s="351"/>
      <c r="E864" s="318"/>
    </row>
    <row r="865">
      <c r="A865" s="352"/>
      <c r="B865" s="318"/>
      <c r="C865" s="318"/>
      <c r="D865" s="351"/>
      <c r="E865" s="318"/>
    </row>
    <row r="866">
      <c r="A866" s="352"/>
      <c r="B866" s="318"/>
      <c r="C866" s="318"/>
      <c r="D866" s="351"/>
      <c r="E866" s="318"/>
    </row>
    <row r="867">
      <c r="A867" s="352"/>
      <c r="B867" s="318"/>
      <c r="C867" s="318"/>
      <c r="D867" s="351"/>
      <c r="E867" s="318"/>
    </row>
    <row r="868">
      <c r="A868" s="352"/>
      <c r="B868" s="318"/>
      <c r="C868" s="318"/>
      <c r="D868" s="351"/>
      <c r="E868" s="318"/>
    </row>
    <row r="869">
      <c r="A869" s="352"/>
      <c r="B869" s="318"/>
      <c r="C869" s="318"/>
      <c r="D869" s="351"/>
      <c r="E869" s="318"/>
    </row>
    <row r="870">
      <c r="A870" s="352"/>
      <c r="B870" s="318"/>
      <c r="C870" s="318"/>
      <c r="D870" s="351"/>
      <c r="E870" s="318"/>
    </row>
    <row r="871">
      <c r="A871" s="352"/>
      <c r="B871" s="318"/>
      <c r="C871" s="318"/>
      <c r="D871" s="351"/>
      <c r="E871" s="318"/>
    </row>
    <row r="872">
      <c r="A872" s="352"/>
      <c r="B872" s="318"/>
      <c r="C872" s="318"/>
      <c r="D872" s="351"/>
      <c r="E872" s="318"/>
    </row>
    <row r="873">
      <c r="A873" s="352"/>
      <c r="B873" s="318"/>
      <c r="C873" s="318"/>
      <c r="D873" s="351"/>
      <c r="E873" s="318"/>
    </row>
    <row r="874">
      <c r="A874" s="352"/>
      <c r="B874" s="318"/>
      <c r="C874" s="318"/>
      <c r="D874" s="351"/>
      <c r="E874" s="318"/>
    </row>
    <row r="875">
      <c r="A875" s="352"/>
      <c r="B875" s="318"/>
      <c r="C875" s="318"/>
      <c r="D875" s="351"/>
      <c r="E875" s="318"/>
    </row>
    <row r="876">
      <c r="A876" s="352"/>
      <c r="B876" s="318"/>
      <c r="C876" s="318"/>
      <c r="D876" s="351"/>
      <c r="E876" s="318"/>
    </row>
    <row r="877">
      <c r="A877" s="352"/>
      <c r="B877" s="318"/>
      <c r="C877" s="318"/>
      <c r="D877" s="351"/>
      <c r="E877" s="318"/>
    </row>
    <row r="878">
      <c r="A878" s="352"/>
      <c r="B878" s="318"/>
      <c r="C878" s="318"/>
      <c r="D878" s="351"/>
      <c r="E878" s="318"/>
    </row>
    <row r="879">
      <c r="A879" s="352"/>
      <c r="B879" s="318"/>
      <c r="C879" s="318"/>
      <c r="D879" s="351"/>
      <c r="E879" s="318"/>
    </row>
    <row r="880">
      <c r="A880" s="352"/>
      <c r="B880" s="318"/>
      <c r="C880" s="318"/>
      <c r="D880" s="351"/>
      <c r="E880" s="318"/>
    </row>
    <row r="881">
      <c r="A881" s="352"/>
      <c r="B881" s="318"/>
      <c r="C881" s="318"/>
      <c r="D881" s="351"/>
      <c r="E881" s="318"/>
    </row>
    <row r="882">
      <c r="A882" s="352"/>
      <c r="B882" s="318"/>
      <c r="C882" s="318"/>
      <c r="D882" s="351"/>
      <c r="E882" s="318"/>
    </row>
    <row r="883">
      <c r="A883" s="352"/>
      <c r="B883" s="318"/>
      <c r="C883" s="318"/>
      <c r="D883" s="351"/>
      <c r="E883" s="318"/>
    </row>
    <row r="884">
      <c r="A884" s="352"/>
      <c r="B884" s="318"/>
      <c r="C884" s="318"/>
      <c r="D884" s="351"/>
      <c r="E884" s="318"/>
    </row>
    <row r="885">
      <c r="A885" s="352"/>
      <c r="B885" s="318"/>
      <c r="C885" s="318"/>
      <c r="D885" s="351"/>
      <c r="E885" s="318"/>
    </row>
    <row r="886">
      <c r="A886" s="352"/>
      <c r="B886" s="318"/>
      <c r="C886" s="318"/>
      <c r="D886" s="351"/>
      <c r="E886" s="318"/>
    </row>
    <row r="887">
      <c r="A887" s="352"/>
      <c r="B887" s="318"/>
      <c r="C887" s="318"/>
      <c r="D887" s="351"/>
      <c r="E887" s="318"/>
    </row>
    <row r="888">
      <c r="A888" s="352"/>
      <c r="B888" s="318"/>
      <c r="C888" s="318"/>
      <c r="D888" s="351"/>
      <c r="E888" s="318"/>
    </row>
    <row r="889">
      <c r="A889" s="352"/>
      <c r="B889" s="318"/>
      <c r="C889" s="318"/>
      <c r="D889" s="351"/>
      <c r="E889" s="318"/>
    </row>
    <row r="890">
      <c r="A890" s="352"/>
      <c r="B890" s="318"/>
      <c r="C890" s="318"/>
      <c r="D890" s="351"/>
      <c r="E890" s="318"/>
    </row>
    <row r="891">
      <c r="A891" s="352"/>
      <c r="B891" s="318"/>
      <c r="C891" s="318"/>
      <c r="D891" s="351"/>
      <c r="E891" s="318"/>
    </row>
    <row r="892">
      <c r="A892" s="352"/>
      <c r="B892" s="318"/>
      <c r="C892" s="318"/>
      <c r="D892" s="351"/>
      <c r="E892" s="318"/>
    </row>
    <row r="893">
      <c r="A893" s="352"/>
      <c r="B893" s="318"/>
      <c r="C893" s="318"/>
      <c r="D893" s="351"/>
      <c r="E893" s="318"/>
    </row>
    <row r="894">
      <c r="A894" s="352"/>
      <c r="B894" s="318"/>
      <c r="C894" s="318"/>
      <c r="D894" s="351"/>
      <c r="E894" s="318"/>
    </row>
    <row r="895">
      <c r="A895" s="352"/>
      <c r="B895" s="318"/>
      <c r="C895" s="318"/>
      <c r="D895" s="351"/>
      <c r="E895" s="318"/>
    </row>
    <row r="896">
      <c r="A896" s="352"/>
      <c r="B896" s="318"/>
      <c r="C896" s="318"/>
      <c r="D896" s="351"/>
      <c r="E896" s="318"/>
    </row>
    <row r="897">
      <c r="A897" s="352"/>
      <c r="B897" s="318"/>
      <c r="C897" s="318"/>
      <c r="D897" s="351"/>
      <c r="E897" s="318"/>
    </row>
    <row r="898">
      <c r="A898" s="352"/>
      <c r="B898" s="318"/>
      <c r="C898" s="318"/>
      <c r="D898" s="351"/>
      <c r="E898" s="318"/>
    </row>
    <row r="899">
      <c r="A899" s="352"/>
      <c r="B899" s="318"/>
      <c r="C899" s="318"/>
      <c r="D899" s="351"/>
      <c r="E899" s="318"/>
    </row>
    <row r="900">
      <c r="A900" s="352"/>
      <c r="B900" s="318"/>
      <c r="C900" s="318"/>
      <c r="D900" s="351"/>
      <c r="E900" s="318"/>
    </row>
    <row r="901">
      <c r="A901" s="352"/>
      <c r="B901" s="318"/>
      <c r="C901" s="318"/>
      <c r="D901" s="351"/>
      <c r="E901" s="318"/>
    </row>
    <row r="902">
      <c r="A902" s="352"/>
      <c r="B902" s="318"/>
      <c r="C902" s="318"/>
      <c r="D902" s="351"/>
      <c r="E902" s="318"/>
    </row>
    <row r="903">
      <c r="A903" s="352"/>
      <c r="B903" s="318"/>
      <c r="C903" s="318"/>
      <c r="D903" s="351"/>
      <c r="E903" s="318"/>
    </row>
    <row r="904">
      <c r="A904" s="352"/>
      <c r="B904" s="318"/>
      <c r="C904" s="318"/>
      <c r="D904" s="351"/>
      <c r="E904" s="318"/>
    </row>
    <row r="905">
      <c r="A905" s="352"/>
      <c r="B905" s="318"/>
      <c r="C905" s="318"/>
      <c r="D905" s="351"/>
      <c r="E905" s="318"/>
    </row>
    <row r="906">
      <c r="A906" s="352"/>
      <c r="B906" s="318"/>
      <c r="C906" s="318"/>
      <c r="D906" s="351"/>
      <c r="E906" s="318"/>
    </row>
    <row r="907">
      <c r="A907" s="352"/>
      <c r="B907" s="318"/>
      <c r="C907" s="318"/>
      <c r="D907" s="351"/>
      <c r="E907" s="318"/>
    </row>
    <row r="908">
      <c r="A908" s="352"/>
      <c r="B908" s="318"/>
      <c r="C908" s="318"/>
      <c r="D908" s="351"/>
      <c r="E908" s="318"/>
    </row>
    <row r="909">
      <c r="A909" s="352"/>
      <c r="B909" s="318"/>
      <c r="C909" s="318"/>
      <c r="D909" s="351"/>
      <c r="E909" s="318"/>
    </row>
    <row r="910">
      <c r="A910" s="352"/>
      <c r="B910" s="318"/>
      <c r="C910" s="318"/>
      <c r="D910" s="351"/>
      <c r="E910" s="318"/>
    </row>
    <row r="911">
      <c r="A911" s="352"/>
      <c r="B911" s="318"/>
      <c r="C911" s="318"/>
      <c r="D911" s="351"/>
      <c r="E911" s="318"/>
    </row>
    <row r="912">
      <c r="A912" s="352"/>
      <c r="B912" s="318"/>
      <c r="C912" s="318"/>
      <c r="D912" s="351"/>
      <c r="E912" s="318"/>
    </row>
    <row r="913">
      <c r="A913" s="352"/>
      <c r="B913" s="318"/>
      <c r="C913" s="318"/>
      <c r="D913" s="351"/>
      <c r="E913" s="318"/>
    </row>
    <row r="914">
      <c r="A914" s="352"/>
      <c r="B914" s="318"/>
      <c r="C914" s="318"/>
      <c r="D914" s="351"/>
      <c r="E914" s="318"/>
    </row>
    <row r="915">
      <c r="A915" s="352"/>
      <c r="B915" s="318"/>
      <c r="C915" s="318"/>
      <c r="D915" s="351"/>
      <c r="E915" s="318"/>
    </row>
    <row r="916">
      <c r="A916" s="352"/>
      <c r="B916" s="318"/>
      <c r="C916" s="318"/>
      <c r="D916" s="351"/>
      <c r="E916" s="318"/>
    </row>
    <row r="917">
      <c r="A917" s="352"/>
      <c r="B917" s="318"/>
      <c r="C917" s="318"/>
      <c r="D917" s="351"/>
      <c r="E917" s="318"/>
    </row>
    <row r="918">
      <c r="A918" s="352"/>
      <c r="B918" s="318"/>
      <c r="C918" s="318"/>
      <c r="D918" s="351"/>
      <c r="E918" s="318"/>
    </row>
    <row r="919">
      <c r="A919" s="352"/>
      <c r="B919" s="318"/>
      <c r="C919" s="318"/>
      <c r="D919" s="351"/>
      <c r="E919" s="318"/>
    </row>
    <row r="920">
      <c r="A920" s="352"/>
      <c r="B920" s="318"/>
      <c r="C920" s="318"/>
      <c r="D920" s="351"/>
      <c r="E920" s="318"/>
    </row>
    <row r="921">
      <c r="A921" s="352"/>
      <c r="B921" s="318"/>
      <c r="C921" s="318"/>
      <c r="D921" s="351"/>
      <c r="E921" s="318"/>
    </row>
    <row r="922">
      <c r="A922" s="352"/>
      <c r="B922" s="318"/>
      <c r="C922" s="318"/>
      <c r="D922" s="351"/>
      <c r="E922" s="318"/>
    </row>
    <row r="923">
      <c r="A923" s="352"/>
      <c r="B923" s="318"/>
      <c r="C923" s="318"/>
      <c r="D923" s="351"/>
      <c r="E923" s="318"/>
    </row>
    <row r="924">
      <c r="A924" s="352"/>
      <c r="B924" s="318"/>
      <c r="C924" s="318"/>
      <c r="D924" s="351"/>
      <c r="E924" s="318"/>
    </row>
    <row r="925">
      <c r="A925" s="352"/>
      <c r="B925" s="318"/>
      <c r="C925" s="318"/>
      <c r="D925" s="351"/>
      <c r="E925" s="318"/>
    </row>
    <row r="926">
      <c r="A926" s="352"/>
      <c r="B926" s="318"/>
      <c r="C926" s="318"/>
      <c r="D926" s="351"/>
      <c r="E926" s="318"/>
    </row>
    <row r="927">
      <c r="A927" s="352"/>
      <c r="B927" s="318"/>
      <c r="C927" s="318"/>
      <c r="D927" s="351"/>
      <c r="E927" s="318"/>
    </row>
    <row r="928">
      <c r="A928" s="352"/>
      <c r="B928" s="318"/>
      <c r="C928" s="318"/>
      <c r="D928" s="351"/>
      <c r="E928" s="318"/>
    </row>
    <row r="929">
      <c r="A929" s="352"/>
      <c r="B929" s="318"/>
      <c r="C929" s="318"/>
      <c r="D929" s="351"/>
      <c r="E929" s="318"/>
    </row>
    <row r="930">
      <c r="A930" s="352"/>
      <c r="B930" s="318"/>
      <c r="C930" s="318"/>
      <c r="D930" s="351"/>
      <c r="E930" s="318"/>
    </row>
    <row r="931">
      <c r="A931" s="352"/>
      <c r="B931" s="318"/>
      <c r="C931" s="318"/>
      <c r="D931" s="351"/>
      <c r="E931" s="318"/>
    </row>
    <row r="932">
      <c r="A932" s="352"/>
      <c r="B932" s="318"/>
      <c r="C932" s="318"/>
      <c r="D932" s="351"/>
      <c r="E932" s="318"/>
    </row>
    <row r="933">
      <c r="A933" s="352"/>
      <c r="B933" s="318"/>
      <c r="C933" s="318"/>
      <c r="D933" s="351"/>
      <c r="E933" s="318"/>
    </row>
    <row r="934">
      <c r="A934" s="352"/>
      <c r="B934" s="318"/>
      <c r="C934" s="318"/>
      <c r="D934" s="351"/>
      <c r="E934" s="318"/>
    </row>
    <row r="935">
      <c r="A935" s="352"/>
      <c r="B935" s="318"/>
      <c r="C935" s="318"/>
      <c r="D935" s="351"/>
      <c r="E935" s="318"/>
    </row>
    <row r="936">
      <c r="A936" s="352"/>
      <c r="B936" s="318"/>
      <c r="C936" s="318"/>
      <c r="D936" s="351"/>
      <c r="E936" s="318"/>
    </row>
    <row r="937">
      <c r="A937" s="352"/>
      <c r="B937" s="318"/>
      <c r="C937" s="318"/>
      <c r="D937" s="351"/>
      <c r="E937" s="318"/>
    </row>
    <row r="938">
      <c r="A938" s="352"/>
      <c r="B938" s="318"/>
      <c r="C938" s="318"/>
      <c r="D938" s="351"/>
      <c r="E938" s="318"/>
    </row>
    <row r="939">
      <c r="A939" s="352"/>
      <c r="B939" s="318"/>
      <c r="C939" s="318"/>
      <c r="D939" s="351"/>
      <c r="E939" s="318"/>
    </row>
    <row r="940">
      <c r="A940" s="352"/>
      <c r="B940" s="318"/>
      <c r="C940" s="318"/>
      <c r="D940" s="351"/>
      <c r="E940" s="318"/>
    </row>
    <row r="941">
      <c r="A941" s="352"/>
      <c r="B941" s="318"/>
      <c r="C941" s="318"/>
      <c r="D941" s="351"/>
      <c r="E941" s="318"/>
    </row>
    <row r="942">
      <c r="A942" s="352"/>
      <c r="B942" s="318"/>
      <c r="C942" s="318"/>
      <c r="D942" s="351"/>
      <c r="E942" s="318"/>
    </row>
    <row r="943">
      <c r="A943" s="352"/>
      <c r="B943" s="318"/>
      <c r="C943" s="318"/>
      <c r="D943" s="351"/>
      <c r="E943" s="318"/>
    </row>
    <row r="944">
      <c r="A944" s="352"/>
      <c r="B944" s="318"/>
      <c r="C944" s="318"/>
      <c r="D944" s="351"/>
      <c r="E944" s="318"/>
    </row>
    <row r="945">
      <c r="A945" s="352"/>
      <c r="B945" s="318"/>
      <c r="C945" s="318"/>
      <c r="D945" s="351"/>
      <c r="E945" s="318"/>
    </row>
    <row r="946">
      <c r="A946" s="352"/>
      <c r="B946" s="318"/>
      <c r="C946" s="318"/>
      <c r="D946" s="351"/>
      <c r="E946" s="318"/>
    </row>
    <row r="947">
      <c r="A947" s="352"/>
      <c r="B947" s="318"/>
      <c r="C947" s="318"/>
      <c r="D947" s="351"/>
      <c r="E947" s="318"/>
    </row>
    <row r="948">
      <c r="A948" s="352"/>
      <c r="B948" s="318"/>
      <c r="C948" s="318"/>
      <c r="D948" s="351"/>
      <c r="E948" s="318"/>
    </row>
    <row r="949">
      <c r="A949" s="352"/>
      <c r="B949" s="318"/>
      <c r="C949" s="318"/>
      <c r="D949" s="351"/>
      <c r="E949" s="318"/>
    </row>
    <row r="950">
      <c r="A950" s="352"/>
      <c r="B950" s="318"/>
      <c r="C950" s="318"/>
      <c r="D950" s="351"/>
      <c r="E950" s="318"/>
    </row>
    <row r="951">
      <c r="A951" s="352"/>
      <c r="B951" s="318"/>
      <c r="C951" s="318"/>
      <c r="D951" s="351"/>
      <c r="E951" s="318"/>
    </row>
    <row r="952">
      <c r="A952" s="352"/>
      <c r="B952" s="318"/>
      <c r="C952" s="318"/>
      <c r="D952" s="351"/>
      <c r="E952" s="318"/>
    </row>
    <row r="953">
      <c r="A953" s="352"/>
      <c r="B953" s="318"/>
      <c r="C953" s="318"/>
      <c r="D953" s="351"/>
      <c r="E953" s="318"/>
    </row>
    <row r="954">
      <c r="A954" s="352"/>
      <c r="B954" s="318"/>
      <c r="C954" s="318"/>
      <c r="D954" s="351"/>
      <c r="E954" s="318"/>
    </row>
    <row r="955">
      <c r="A955" s="352"/>
      <c r="B955" s="318"/>
      <c r="C955" s="318"/>
      <c r="D955" s="351"/>
      <c r="E955" s="318"/>
    </row>
    <row r="956">
      <c r="A956" s="352"/>
      <c r="B956" s="318"/>
      <c r="C956" s="318"/>
      <c r="D956" s="351"/>
      <c r="E956" s="318"/>
    </row>
    <row r="957">
      <c r="A957" s="352"/>
      <c r="B957" s="318"/>
      <c r="C957" s="318"/>
      <c r="D957" s="351"/>
      <c r="E957" s="318"/>
    </row>
    <row r="958">
      <c r="A958" s="352"/>
      <c r="B958" s="318"/>
      <c r="C958" s="318"/>
      <c r="D958" s="351"/>
      <c r="E958" s="318"/>
    </row>
    <row r="959">
      <c r="A959" s="352"/>
      <c r="B959" s="318"/>
      <c r="C959" s="318"/>
      <c r="D959" s="351"/>
      <c r="E959" s="318"/>
    </row>
    <row r="960">
      <c r="A960" s="352"/>
      <c r="B960" s="318"/>
      <c r="C960" s="318"/>
      <c r="D960" s="351"/>
      <c r="E960" s="318"/>
    </row>
    <row r="961">
      <c r="A961" s="352"/>
      <c r="B961" s="318"/>
      <c r="C961" s="318"/>
      <c r="D961" s="351"/>
      <c r="E961" s="318"/>
    </row>
    <row r="962">
      <c r="A962" s="352"/>
      <c r="B962" s="318"/>
      <c r="C962" s="318"/>
      <c r="D962" s="351"/>
      <c r="E962" s="318"/>
    </row>
    <row r="963">
      <c r="A963" s="352"/>
      <c r="B963" s="318"/>
      <c r="C963" s="318"/>
      <c r="D963" s="351"/>
      <c r="E963" s="318"/>
    </row>
    <row r="964">
      <c r="A964" s="352"/>
      <c r="B964" s="318"/>
      <c r="C964" s="318"/>
      <c r="D964" s="351"/>
      <c r="E964" s="318"/>
    </row>
    <row r="965">
      <c r="A965" s="352"/>
      <c r="B965" s="318"/>
      <c r="C965" s="318"/>
      <c r="D965" s="351"/>
      <c r="E965" s="318"/>
    </row>
    <row r="966">
      <c r="A966" s="352"/>
      <c r="B966" s="318"/>
      <c r="C966" s="318"/>
      <c r="D966" s="351"/>
      <c r="E966" s="318"/>
    </row>
    <row r="967">
      <c r="A967" s="352"/>
      <c r="B967" s="318"/>
      <c r="C967" s="318"/>
      <c r="D967" s="351"/>
      <c r="E967" s="318"/>
    </row>
    <row r="968">
      <c r="A968" s="352"/>
      <c r="B968" s="318"/>
      <c r="C968" s="318"/>
      <c r="D968" s="351"/>
      <c r="E968" s="318"/>
    </row>
    <row r="969">
      <c r="A969" s="352"/>
      <c r="B969" s="318"/>
      <c r="C969" s="318"/>
      <c r="D969" s="351"/>
      <c r="E969" s="318"/>
    </row>
    <row r="970">
      <c r="A970" s="352"/>
      <c r="B970" s="318"/>
      <c r="C970" s="318"/>
      <c r="D970" s="351"/>
      <c r="E970" s="318"/>
    </row>
    <row r="971">
      <c r="A971" s="352"/>
      <c r="B971" s="318"/>
      <c r="C971" s="318"/>
      <c r="D971" s="351"/>
      <c r="E971" s="318"/>
    </row>
    <row r="972">
      <c r="A972" s="352"/>
      <c r="B972" s="318"/>
      <c r="C972" s="318"/>
      <c r="D972" s="351"/>
      <c r="E972" s="318"/>
    </row>
    <row r="973">
      <c r="A973" s="352"/>
      <c r="B973" s="318"/>
      <c r="C973" s="318"/>
      <c r="D973" s="351"/>
      <c r="E973" s="318"/>
    </row>
    <row r="974">
      <c r="A974" s="352"/>
      <c r="B974" s="318"/>
      <c r="C974" s="318"/>
      <c r="D974" s="351"/>
      <c r="E974" s="318"/>
    </row>
    <row r="975">
      <c r="A975" s="352"/>
      <c r="B975" s="318"/>
      <c r="C975" s="318"/>
      <c r="D975" s="351"/>
      <c r="E975" s="318"/>
    </row>
    <row r="976">
      <c r="A976" s="352"/>
      <c r="B976" s="318"/>
      <c r="C976" s="318"/>
      <c r="D976" s="351"/>
      <c r="E976" s="318"/>
    </row>
    <row r="977">
      <c r="A977" s="352"/>
      <c r="B977" s="318"/>
      <c r="C977" s="318"/>
      <c r="D977" s="351"/>
      <c r="E977" s="318"/>
    </row>
    <row r="978">
      <c r="A978" s="352"/>
      <c r="B978" s="318"/>
      <c r="C978" s="318"/>
      <c r="D978" s="351"/>
      <c r="E978" s="318"/>
    </row>
    <row r="979">
      <c r="A979" s="352"/>
      <c r="B979" s="318"/>
      <c r="C979" s="318"/>
      <c r="D979" s="351"/>
      <c r="E979" s="318"/>
    </row>
    <row r="980">
      <c r="A980" s="352"/>
      <c r="B980" s="318"/>
      <c r="C980" s="318"/>
      <c r="D980" s="351"/>
      <c r="E980" s="318"/>
    </row>
    <row r="981">
      <c r="A981" s="352"/>
      <c r="B981" s="318"/>
      <c r="C981" s="318"/>
      <c r="D981" s="351"/>
      <c r="E981" s="318"/>
    </row>
    <row r="982">
      <c r="A982" s="352"/>
      <c r="B982" s="318"/>
      <c r="C982" s="318"/>
      <c r="D982" s="351"/>
      <c r="E982" s="318"/>
    </row>
    <row r="983">
      <c r="A983" s="352"/>
      <c r="B983" s="318"/>
      <c r="C983" s="318"/>
      <c r="D983" s="351"/>
      <c r="E983" s="318"/>
    </row>
    <row r="984">
      <c r="A984" s="352"/>
      <c r="B984" s="318"/>
      <c r="C984" s="318"/>
      <c r="D984" s="351"/>
      <c r="E984" s="318"/>
    </row>
    <row r="985">
      <c r="A985" s="352"/>
      <c r="B985" s="318"/>
      <c r="C985" s="318"/>
      <c r="D985" s="351"/>
      <c r="E985" s="318"/>
    </row>
    <row r="986">
      <c r="A986" s="352"/>
      <c r="B986" s="318"/>
      <c r="C986" s="318"/>
      <c r="D986" s="351"/>
      <c r="E986" s="318"/>
    </row>
    <row r="987">
      <c r="A987" s="352"/>
      <c r="B987" s="318"/>
      <c r="C987" s="318"/>
      <c r="D987" s="351"/>
      <c r="E987" s="318"/>
    </row>
    <row r="988">
      <c r="A988" s="352"/>
      <c r="B988" s="318"/>
      <c r="C988" s="318"/>
      <c r="D988" s="351"/>
      <c r="E988" s="318"/>
    </row>
    <row r="989">
      <c r="A989" s="352"/>
      <c r="B989" s="318"/>
      <c r="C989" s="318"/>
      <c r="D989" s="351"/>
      <c r="E989" s="318"/>
    </row>
    <row r="990">
      <c r="A990" s="352"/>
      <c r="B990" s="318"/>
      <c r="C990" s="318"/>
      <c r="D990" s="351"/>
      <c r="E990" s="318"/>
    </row>
    <row r="991">
      <c r="A991" s="352"/>
      <c r="B991" s="318"/>
      <c r="C991" s="318"/>
      <c r="D991" s="351"/>
      <c r="E991" s="318"/>
    </row>
    <row r="992">
      <c r="A992" s="352"/>
      <c r="B992" s="318"/>
      <c r="C992" s="318"/>
      <c r="D992" s="351"/>
      <c r="E992" s="318"/>
    </row>
    <row r="993">
      <c r="A993" s="352"/>
      <c r="B993" s="318"/>
      <c r="C993" s="318"/>
      <c r="D993" s="351"/>
      <c r="E993" s="318"/>
    </row>
    <row r="994">
      <c r="A994" s="352"/>
      <c r="B994" s="318"/>
      <c r="C994" s="318"/>
      <c r="D994" s="351"/>
      <c r="E994" s="318"/>
    </row>
    <row r="995">
      <c r="A995" s="352"/>
      <c r="B995" s="318"/>
      <c r="C995" s="318"/>
      <c r="D995" s="351"/>
      <c r="E995" s="318"/>
    </row>
    <row r="996">
      <c r="A996" s="352"/>
      <c r="B996" s="318"/>
      <c r="C996" s="318"/>
      <c r="D996" s="351"/>
      <c r="E996" s="318"/>
    </row>
    <row r="997">
      <c r="A997" s="352"/>
      <c r="B997" s="318"/>
      <c r="C997" s="318"/>
      <c r="D997" s="351"/>
      <c r="E997" s="318"/>
    </row>
    <row r="998">
      <c r="A998" s="352"/>
      <c r="B998" s="318"/>
      <c r="C998" s="318"/>
      <c r="D998" s="351"/>
      <c r="E998" s="318"/>
    </row>
    <row r="999">
      <c r="A999" s="352"/>
      <c r="B999" s="318"/>
      <c r="C999" s="318"/>
      <c r="D999" s="351"/>
      <c r="E999" s="318"/>
    </row>
  </sheetData>
  <mergeCells count="3">
    <mergeCell ref="A1:E2"/>
    <mergeCell ref="D3:E3"/>
    <mergeCell ref="D4:E4"/>
  </mergeCells>
  <dataValidations>
    <dataValidation type="custom" allowBlank="1" showDropDown="1" showErrorMessage="1" sqref="B3 D3">
      <formula1>OR(NOT(ISERROR(DATEVALUE(B3))), AND(ISNUMBER(B3), LEFT(CELL("format", B3))="D"))</formula1>
    </dataValidation>
  </dataValidations>
  <drawing r:id="rId1"/>
  <tableParts count="1">
    <tablePart r:id="rId3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tr">
        <f>IFERROR(__xludf.DUMMYFUNCTION("QUERY(Finance!A5:E1000,""SELECT *"" &amp; IF(COUNTBLANK(HelperFormulas!A29:A30)=2,"""","" WHERE "" &amp; TEXTJOIN("" AND "", TRUE, HelperFormulas!A29:A30)),1)"),"Date")</f>
        <v>Date</v>
      </c>
      <c r="B1" s="96" t="str">
        <f>IFERROR(__xludf.DUMMYFUNCTION("""COMPUTED_VALUE"""),"Name")</f>
        <v>Name</v>
      </c>
      <c r="C1" s="96" t="str">
        <f>IFERROR(__xludf.DUMMYFUNCTION("""COMPUTED_VALUE"""),"Description")</f>
        <v>Description</v>
      </c>
      <c r="D1" s="96" t="str">
        <f>IFERROR(__xludf.DUMMYFUNCTION("""COMPUTED_VALUE"""),"Amount")</f>
        <v>Amount</v>
      </c>
      <c r="E1" s="96" t="str">
        <f>IFERROR(__xludf.DUMMYFUNCTION("""COMPUTED_VALUE"""),"Category")</f>
        <v>Category</v>
      </c>
      <c r="H1" s="97"/>
    </row>
    <row r="2">
      <c r="A2" s="98">
        <f>IFERROR(__xludf.DUMMYFUNCTION("""COMPUTED_VALUE"""),44092.0)</f>
        <v>44092</v>
      </c>
      <c r="B2" s="96" t="str">
        <f>IFERROR(__xludf.DUMMYFUNCTION("""COMPUTED_VALUE"""),"LYDIA HNSON ")</f>
        <v>LYDIA HNSON </v>
      </c>
      <c r="C2" s="96" t="str">
        <f>IFERROR(__xludf.DUMMYFUNCTION("""COMPUTED_VALUE"""),"ADVANCE")</f>
        <v>ADVANCE</v>
      </c>
      <c r="D2" s="99">
        <f>IFERROR(__xludf.DUMMYFUNCTION("""COMPUTED_VALUE"""),2000000.0)</f>
        <v>2000000</v>
      </c>
      <c r="E2" s="96" t="str">
        <f>IFERROR(__xludf.DUMMYFUNCTION("""COMPUTED_VALUE"""),"Prefinance")</f>
        <v>Prefinance</v>
      </c>
    </row>
    <row r="3">
      <c r="A3" s="98">
        <f>IFERROR(__xludf.DUMMYFUNCTION("""COMPUTED_VALUE"""),44092.0)</f>
        <v>44092</v>
      </c>
      <c r="B3" s="96" t="str">
        <f>IFERROR(__xludf.DUMMYFUNCTION("""COMPUTED_VALUE"""),"LYDIA HNSON ")</f>
        <v>LYDIA HNSON </v>
      </c>
      <c r="C3" s="96" t="str">
        <f>IFERROR(__xludf.DUMMYFUNCTION("""COMPUTED_VALUE"""),"ADVANCE (DIR)")</f>
        <v>ADVANCE (DIR)</v>
      </c>
      <c r="D3" s="99">
        <f>IFERROR(__xludf.DUMMYFUNCTION("""COMPUTED_VALUE"""),300000.0)</f>
        <v>300000</v>
      </c>
      <c r="E3" s="96" t="str">
        <f>IFERROR(__xludf.DUMMYFUNCTION("""COMPUTED_VALUE"""),"Prefinance")</f>
        <v>Prefinance</v>
      </c>
    </row>
    <row r="4">
      <c r="A4" s="98">
        <f>IFERROR(__xludf.DUMMYFUNCTION("""COMPUTED_VALUE"""),44092.0)</f>
        <v>44092</v>
      </c>
      <c r="B4" s="96" t="str">
        <f>IFERROR(__xludf.DUMMYFUNCTION("""COMPUTED_VALUE"""),"ZULU ")</f>
        <v>ZULU </v>
      </c>
      <c r="C4" s="96" t="str">
        <f>IFERROR(__xludf.DUMMYFUNCTION("""COMPUTED_VALUE"""),"ADVANCE (DIR)")</f>
        <v>ADVANCE (DIR)</v>
      </c>
      <c r="D4" s="99">
        <f>IFERROR(__xludf.DUMMYFUNCTION("""COMPUTED_VALUE"""),275000.0)</f>
        <v>275000</v>
      </c>
      <c r="E4" s="96" t="str">
        <f>IFERROR(__xludf.DUMMYFUNCTION("""COMPUTED_VALUE"""),"Prefinance")</f>
        <v>Prefinance</v>
      </c>
    </row>
    <row r="5">
      <c r="A5" s="98">
        <f>IFERROR(__xludf.DUMMYFUNCTION("""COMPUTED_VALUE"""),44092.0)</f>
        <v>44092</v>
      </c>
      <c r="B5" s="96" t="str">
        <f>IFERROR(__xludf.DUMMYFUNCTION("""COMPUTED_VALUE"""),"OTU KOKO KEIBO")</f>
        <v>OTU KOKO KEIBO</v>
      </c>
      <c r="C5" s="96" t="str">
        <f>IFERROR(__xludf.DUMMYFUNCTION("""COMPUTED_VALUE"""),"CAN HAULAGE")</f>
        <v>CAN HAULAGE</v>
      </c>
      <c r="D5" s="99">
        <f>IFERROR(__xludf.DUMMYFUNCTION("""COMPUTED_VALUE"""),20500.0)</f>
        <v>20500</v>
      </c>
      <c r="E5" s="96" t="str">
        <f>IFERROR(__xludf.DUMMYFUNCTION("""COMPUTED_VALUE"""),"Prefinance")</f>
        <v>Prefinance</v>
      </c>
    </row>
    <row r="6">
      <c r="A6" s="98">
        <f>IFERROR(__xludf.DUMMYFUNCTION("""COMPUTED_VALUE"""),44092.0)</f>
        <v>44092</v>
      </c>
      <c r="B6" s="96" t="str">
        <f>IFERROR(__xludf.DUMMYFUNCTION("""COMPUTED_VALUE"""),"OTU KOKO KEIBO")</f>
        <v>OTU KOKO KEIBO</v>
      </c>
      <c r="C6" s="96" t="str">
        <f>IFERROR(__xludf.DUMMYFUNCTION("""COMPUTED_VALUE"""),"TITTLES")</f>
        <v>TITTLES</v>
      </c>
      <c r="D6" s="99">
        <f>IFERROR(__xludf.DUMMYFUNCTION("""COMPUTED_VALUE"""),116000.0)</f>
        <v>116000</v>
      </c>
      <c r="E6" s="96" t="str">
        <f>IFERROR(__xludf.DUMMYFUNCTION("""COMPUTED_VALUE"""),"Prefinance")</f>
        <v>Prefinance</v>
      </c>
    </row>
    <row r="7">
      <c r="A7" s="98">
        <f>IFERROR(__xludf.DUMMYFUNCTION("""COMPUTED_VALUE"""),44092.0)</f>
        <v>44092</v>
      </c>
      <c r="B7" s="96" t="str">
        <f>IFERROR(__xludf.DUMMYFUNCTION("""COMPUTED_VALUE"""),"ABANG. DUNLOP")</f>
        <v>ABANG. DUNLOP</v>
      </c>
      <c r="C7" s="96" t="str">
        <f>IFERROR(__xludf.DUMMYFUNCTION("""COMPUTED_VALUE"""),"ADVANCE")</f>
        <v>ADVANCE</v>
      </c>
      <c r="D7" s="99">
        <f>IFERROR(__xludf.DUMMYFUNCTION("""COMPUTED_VALUE"""),500000.0)</f>
        <v>500000</v>
      </c>
      <c r="E7" s="96" t="str">
        <f>IFERROR(__xludf.DUMMYFUNCTION("""COMPUTED_VALUE"""),"Prefinance")</f>
        <v>Prefinance</v>
      </c>
    </row>
    <row r="8">
      <c r="A8" s="98">
        <f>IFERROR(__xludf.DUMMYFUNCTION("""COMPUTED_VALUE"""),44092.0)</f>
        <v>44092</v>
      </c>
      <c r="B8" s="96" t="str">
        <f>IFERROR(__xludf.DUMMYFUNCTION("""COMPUTED_VALUE"""),"DIRECTOR")</f>
        <v>DIRECTOR</v>
      </c>
      <c r="C8" s="96" t="str">
        <f>IFERROR(__xludf.DUMMYFUNCTION("""COMPUTED_VALUE"""),"CASH TRANSFERD")</f>
        <v>CASH TRANSFERD</v>
      </c>
      <c r="D8" s="99">
        <f>IFERROR(__xludf.DUMMYFUNCTION("""COMPUTED_VALUE"""),575000.0)</f>
        <v>575000</v>
      </c>
      <c r="E8" s="96" t="str">
        <f>IFERROR(__xludf.DUMMYFUNCTION("""COMPUTED_VALUE"""),"From Bank")</f>
        <v>From Bank</v>
      </c>
    </row>
    <row r="9">
      <c r="A9" s="98">
        <f>IFERROR(__xludf.DUMMYFUNCTION("""COMPUTED_VALUE"""),44092.0)</f>
        <v>44092</v>
      </c>
      <c r="B9" s="96" t="str">
        <f>IFERROR(__xludf.DUMMYFUNCTION("""COMPUTED_VALUE"""),"DIRECTOR")</f>
        <v>DIRECTOR</v>
      </c>
      <c r="C9" s="96" t="str">
        <f>IFERROR(__xludf.DUMMYFUNCTION("""COMPUTED_VALUE"""),"CASH-IN")</f>
        <v>CASH-IN</v>
      </c>
      <c r="D9" s="99">
        <f>IFERROR(__xludf.DUMMYFUNCTION("""COMPUTED_VALUE"""),4357000.0)</f>
        <v>4357000</v>
      </c>
      <c r="E9" s="96" t="str">
        <f>IFERROR(__xludf.DUMMYFUNCTION("""COMPUTED_VALUE"""),"From Bank")</f>
        <v>From Bank</v>
      </c>
    </row>
    <row r="10">
      <c r="A10" s="98">
        <f>IFERROR(__xludf.DUMMYFUNCTION("""COMPUTED_VALUE"""),44092.0)</f>
        <v>44092</v>
      </c>
      <c r="B10" s="96" t="str">
        <f>IFERROR(__xludf.DUMMYFUNCTION("""COMPUTED_VALUE"""),"ABANG. ASHA")</f>
        <v>ABANG. ASHA</v>
      </c>
      <c r="C10" s="96" t="str">
        <f>IFERROR(__xludf.DUMMYFUNCTION("""COMPUTED_VALUE"""),"LAPTOP BALANCE")</f>
        <v>LAPTOP BALANCE</v>
      </c>
      <c r="D10" s="99">
        <f>IFERROR(__xludf.DUMMYFUNCTION("""COMPUTED_VALUE"""),20000.0)</f>
        <v>20000</v>
      </c>
      <c r="E10" s="96" t="str">
        <f>IFERROR(__xludf.DUMMYFUNCTION("""COMPUTED_VALUE"""),"General Expenses")</f>
        <v>General Expenses</v>
      </c>
    </row>
    <row r="11">
      <c r="A11" s="98">
        <f>IFERROR(__xludf.DUMMYFUNCTION("""COMPUTED_VALUE"""),44092.0)</f>
        <v>44092</v>
      </c>
      <c r="B11" s="96" t="str">
        <f>IFERROR(__xludf.DUMMYFUNCTION("""COMPUTED_VALUE"""),"DIRECTOR")</f>
        <v>DIRECTOR</v>
      </c>
      <c r="C11" s="96" t="str">
        <f>IFERROR(__xludf.DUMMYFUNCTION("""COMPUTED_VALUE"""),"CAMERA MAN")</f>
        <v>CAMERA MAN</v>
      </c>
      <c r="D11" s="99">
        <f>IFERROR(__xludf.DUMMYFUNCTION("""COMPUTED_VALUE"""),35000.0)</f>
        <v>35000</v>
      </c>
      <c r="E11" s="96" t="str">
        <f>IFERROR(__xludf.DUMMYFUNCTION("""COMPUTED_VALUE"""),"General Expenses")</f>
        <v>General Expenses</v>
      </c>
    </row>
    <row r="12">
      <c r="A12" s="98">
        <f>IFERROR(__xludf.DUMMYFUNCTION("""COMPUTED_VALUE"""),44092.0)</f>
        <v>44092</v>
      </c>
      <c r="B12" s="96" t="str">
        <f>IFERROR(__xludf.DUMMYFUNCTION("""COMPUTED_VALUE"""),"FILTER MAN")</f>
        <v>FILTER MAN</v>
      </c>
      <c r="C12" s="96" t="str">
        <f>IFERROR(__xludf.DUMMYFUNCTION("""COMPUTED_VALUE"""),"REPAIRS")</f>
        <v>REPAIRS</v>
      </c>
      <c r="D12" s="99">
        <f>IFERROR(__xludf.DUMMYFUNCTION("""COMPUTED_VALUE"""),2500.0)</f>
        <v>2500</v>
      </c>
      <c r="E12" s="96" t="str">
        <f>IFERROR(__xludf.DUMMYFUNCTION("""COMPUTED_VALUE"""),"General Expenses")</f>
        <v>General Expenses</v>
      </c>
    </row>
    <row r="13">
      <c r="A13" s="98">
        <f>IFERROR(__xludf.DUMMYFUNCTION("""COMPUTED_VALUE"""),44092.0)</f>
        <v>44092</v>
      </c>
      <c r="B13" s="96" t="str">
        <f>IFERROR(__xludf.DUMMYFUNCTION("""COMPUTED_VALUE"""),"LABOUR  BOY")</f>
        <v>LABOUR  BOY</v>
      </c>
      <c r="C13" s="96" t="str">
        <f>IFERROR(__xludf.DUMMYFUNCTION("""COMPUTED_VALUE"""),"WAGES ADVANCE")</f>
        <v>WAGES ADVANCE</v>
      </c>
      <c r="D13" s="99">
        <f>IFERROR(__xludf.DUMMYFUNCTION("""COMPUTED_VALUE"""),4000.0)</f>
        <v>4000</v>
      </c>
      <c r="E13" s="96" t="str">
        <f>IFERROR(__xludf.DUMMYFUNCTION("""COMPUTED_VALUE"""),"General Expenses")</f>
        <v>General Expenses</v>
      </c>
    </row>
    <row r="14">
      <c r="A14" s="98">
        <f>IFERROR(__xludf.DUMMYFUNCTION("""COMPUTED_VALUE"""),44092.0)</f>
        <v>44092</v>
      </c>
      <c r="B14" s="96" t="str">
        <f>IFERROR(__xludf.DUMMYFUNCTION("""COMPUTED_VALUE"""),"DAVID ")</f>
        <v>DAVID </v>
      </c>
      <c r="C14" s="96" t="str">
        <f>IFERROR(__xludf.DUMMYFUNCTION("""COMPUTED_VALUE"""),"DIRECTORS ORDER")</f>
        <v>DIRECTORS ORDER</v>
      </c>
      <c r="D14" s="99">
        <f>IFERROR(__xludf.DUMMYFUNCTION("""COMPUTED_VALUE"""),200.0)</f>
        <v>200</v>
      </c>
      <c r="E14" s="96" t="str">
        <f>IFERROR(__xludf.DUMMYFUNCTION("""COMPUTED_VALUE"""),"General Expenses")</f>
        <v>General Expenses</v>
      </c>
    </row>
    <row r="15">
      <c r="A15" s="98">
        <f>IFERROR(__xludf.DUMMYFUNCTION("""COMPUTED_VALUE"""),44092.0)</f>
        <v>44092</v>
      </c>
      <c r="B15" s="96" t="str">
        <f>IFERROR(__xludf.DUMMYFUNCTION("""COMPUTED_VALUE"""),"MANAGER")</f>
        <v>MANAGER</v>
      </c>
      <c r="C15" s="96" t="str">
        <f>IFERROR(__xludf.DUMMYFUNCTION("""COMPUTED_VALUE"""),"PAPERS")</f>
        <v>PAPERS</v>
      </c>
      <c r="D15" s="99">
        <f>IFERROR(__xludf.DUMMYFUNCTION("""COMPUTED_VALUE"""),200000.0)</f>
        <v>200000</v>
      </c>
      <c r="E15" s="96" t="str">
        <f>IFERROR(__xludf.DUMMYFUNCTION("""COMPUTED_VALUE"""),"General Expenses")</f>
        <v>General Expenses</v>
      </c>
    </row>
    <row r="16">
      <c r="A16" s="98">
        <f>IFERROR(__xludf.DUMMYFUNCTION("""COMPUTED_VALUE"""),44092.0)</f>
        <v>44092</v>
      </c>
      <c r="B16" s="96"/>
      <c r="C16" s="96"/>
      <c r="D16" s="99">
        <f>IFERROR(__xludf.DUMMYFUNCTION("""COMPUTED_VALUE"""),357300.0)</f>
        <v>357300</v>
      </c>
      <c r="E16" s="96" t="str">
        <f>IFERROR(__xludf.DUMMYFUNCTION("""COMPUTED_VALUE"""),"Petty Cash")</f>
        <v>Petty Cash</v>
      </c>
    </row>
    <row r="17">
      <c r="A17" s="98">
        <f>IFERROR(__xludf.DUMMYFUNCTION("""COMPUTED_VALUE"""),44092.0)</f>
        <v>44092</v>
      </c>
      <c r="B17" s="96"/>
      <c r="C17" s="96"/>
      <c r="D17" s="99"/>
      <c r="E17" s="96"/>
    </row>
    <row r="18">
      <c r="A18" s="98">
        <f>IFERROR(__xludf.DUMMYFUNCTION("""COMPUTED_VALUE"""),44092.0)</f>
        <v>44092</v>
      </c>
      <c r="B18" s="96"/>
      <c r="C18" s="96"/>
      <c r="D18" s="99"/>
      <c r="E18" s="96"/>
    </row>
    <row r="19">
      <c r="A19" s="98">
        <f>IFERROR(__xludf.DUMMYFUNCTION("""COMPUTED_VALUE"""),44092.0)</f>
        <v>44092</v>
      </c>
      <c r="B19" s="96"/>
      <c r="C19" s="96"/>
      <c r="D19" s="99"/>
      <c r="E19" s="96"/>
    </row>
    <row r="20">
      <c r="A20" s="98">
        <f>IFERROR(__xludf.DUMMYFUNCTION("""COMPUTED_VALUE"""),44092.0)</f>
        <v>44092</v>
      </c>
      <c r="B20" s="96" t="str">
        <f>IFERROR(__xludf.DUMMYFUNCTION("""COMPUTED_VALUE"""),"BLESSING CHAPMAN")</f>
        <v>BLESSING CHAPMAN</v>
      </c>
      <c r="C20" s="96" t="str">
        <f>IFERROR(__xludf.DUMMYFUNCTION("""COMPUTED_VALUE"""),"cash collected")</f>
        <v>cash collected</v>
      </c>
      <c r="D20" s="99">
        <f>IFERROR(__xludf.DUMMYFUNCTION("""COMPUTED_VALUE"""),357300.0)</f>
        <v>357300</v>
      </c>
      <c r="E20" s="96" t="str">
        <f>IFERROR(__xludf.DUMMYFUNCTION("""COMPUTED_VALUE"""),"Petty Cash")</f>
        <v>Petty Cash</v>
      </c>
    </row>
    <row r="21">
      <c r="A21" s="98">
        <f>IFERROR(__xludf.DUMMYFUNCTION("""COMPUTED_VALUE"""),44093.0)</f>
        <v>44093</v>
      </c>
      <c r="B21" s="96" t="str">
        <f>IFERROR(__xludf.DUMMYFUNCTION("""COMPUTED_VALUE"""),"OSIM MARIAM")</f>
        <v>OSIM MARIAM</v>
      </c>
      <c r="C21" s="96" t="str">
        <f>IFERROR(__xludf.DUMMYFUNCTION("""COMPUTED_VALUE"""),"advance (dir)")</f>
        <v>advance (dir)</v>
      </c>
      <c r="D21" s="99">
        <f>IFERROR(__xludf.DUMMYFUNCTION("""COMPUTED_VALUE"""),50000.0)</f>
        <v>50000</v>
      </c>
      <c r="E21" s="96" t="str">
        <f>IFERROR(__xludf.DUMMYFUNCTION("""COMPUTED_VALUE"""),"Prefinance")</f>
        <v>Prefinance</v>
      </c>
    </row>
    <row r="22">
      <c r="A22" s="98">
        <f>IFERROR(__xludf.DUMMYFUNCTION("""COMPUTED_VALUE"""),44093.0)</f>
        <v>44093</v>
      </c>
      <c r="B22" s="96" t="str">
        <f>IFERROR(__xludf.DUMMYFUNCTION("""COMPUTED_VALUE"""),"DIESEL BOY")</f>
        <v>DIESEL BOY</v>
      </c>
      <c r="C22" s="96" t="str">
        <f>IFERROR(__xludf.DUMMYFUNCTION("""COMPUTED_VALUE"""),"diesel")</f>
        <v>diesel</v>
      </c>
      <c r="D22" s="99">
        <f>IFERROR(__xludf.DUMMYFUNCTION("""COMPUTED_VALUE"""),20000.0)</f>
        <v>20000</v>
      </c>
      <c r="E22" s="96" t="str">
        <f>IFERROR(__xludf.DUMMYFUNCTION("""COMPUTED_VALUE"""),"General Expenses")</f>
        <v>General Expenses</v>
      </c>
    </row>
    <row r="23">
      <c r="A23" s="98">
        <f>IFERROR(__xludf.DUMMYFUNCTION("""COMPUTED_VALUE"""),44093.0)</f>
        <v>44093</v>
      </c>
      <c r="B23" s="96" t="str">
        <f>IFERROR(__xludf.DUMMYFUNCTION("""COMPUTED_VALUE"""),"ABANGS. HNSON")</f>
        <v>ABANGS. HNSON</v>
      </c>
      <c r="C23" s="96" t="str">
        <f>IFERROR(__xludf.DUMMYFUNCTION("""COMPUTED_VALUE"""),"director order")</f>
        <v>director order</v>
      </c>
      <c r="D23" s="99">
        <f>IFERROR(__xludf.DUMMYFUNCTION("""COMPUTED_VALUE"""),70000.0)</f>
        <v>70000</v>
      </c>
      <c r="E23" s="96" t="str">
        <f>IFERROR(__xludf.DUMMYFUNCTION("""COMPUTED_VALUE"""),"General Expenses")</f>
        <v>General Expenses</v>
      </c>
    </row>
    <row r="24">
      <c r="A24" s="98">
        <f>IFERROR(__xludf.DUMMYFUNCTION("""COMPUTED_VALUE"""),44093.0)</f>
        <v>44093</v>
      </c>
      <c r="B24" s="96" t="str">
        <f>IFERROR(__xludf.DUMMYFUNCTION("""COMPUTED_VALUE"""),"DIRECTOR")</f>
        <v>DIRECTOR</v>
      </c>
      <c r="C24" s="96" t="str">
        <f>IFERROR(__xludf.DUMMYFUNCTION("""COMPUTED_VALUE"""),"food")</f>
        <v>food</v>
      </c>
      <c r="D24" s="99">
        <f>IFERROR(__xludf.DUMMYFUNCTION("""COMPUTED_VALUE"""),300.0)</f>
        <v>300</v>
      </c>
      <c r="E24" s="96" t="str">
        <f>IFERROR(__xludf.DUMMYFUNCTION("""COMPUTED_VALUE"""),"General Expenses")</f>
        <v>General Expenses</v>
      </c>
    </row>
    <row r="25">
      <c r="A25" s="98">
        <f>IFERROR(__xludf.DUMMYFUNCTION("""COMPUTED_VALUE"""),44093.0)</f>
        <v>44093</v>
      </c>
      <c r="B25" s="96" t="str">
        <f>IFERROR(__xludf.DUMMYFUNCTION("""COMPUTED_VALUE"""),"LABOUR  BOY")</f>
        <v>LABOUR  BOY</v>
      </c>
      <c r="C25" s="96" t="str">
        <f>IFERROR(__xludf.DUMMYFUNCTION("""COMPUTED_VALUE"""),"wages advance")</f>
        <v>wages advance</v>
      </c>
      <c r="D25" s="99">
        <f>IFERROR(__xludf.DUMMYFUNCTION("""COMPUTED_VALUE"""),2500.0)</f>
        <v>2500</v>
      </c>
      <c r="E25" s="96" t="str">
        <f>IFERROR(__xludf.DUMMYFUNCTION("""COMPUTED_VALUE"""),"General Expenses")</f>
        <v>General Expenses</v>
      </c>
    </row>
    <row r="26">
      <c r="A26" s="98">
        <f>IFERROR(__xludf.DUMMYFUNCTION("""COMPUTED_VALUE"""),44093.0)</f>
        <v>44093</v>
      </c>
      <c r="B26" s="96" t="str">
        <f>IFERROR(__xludf.DUMMYFUNCTION("""COMPUTED_VALUE"""),"LABOUR  BOY")</f>
        <v>LABOUR  BOY</v>
      </c>
      <c r="C26" s="96" t="str">
        <f>IFERROR(__xludf.DUMMYFUNCTION("""COMPUTED_VALUE"""),"wages   ")</f>
        <v>wages   </v>
      </c>
      <c r="D26" s="99">
        <f>IFERROR(__xludf.DUMMYFUNCTION("""COMPUTED_VALUE"""),121000.0)</f>
        <v>121000</v>
      </c>
      <c r="E26" s="96" t="str">
        <f>IFERROR(__xludf.DUMMYFUNCTION("""COMPUTED_VALUE"""),"General Expenses")</f>
        <v>General Expenses</v>
      </c>
    </row>
    <row r="27">
      <c r="A27" s="98">
        <f>IFERROR(__xludf.DUMMYFUNCTION("""COMPUTED_VALUE"""),44093.0)</f>
        <v>44093</v>
      </c>
      <c r="B27" s="96" t="str">
        <f>IFERROR(__xludf.DUMMYFUNCTION("""COMPUTED_VALUE"""),"SECURITY")</f>
        <v>SECURITY</v>
      </c>
      <c r="C27" s="96" t="str">
        <f>IFERROR(__xludf.DUMMYFUNCTION("""COMPUTED_VALUE"""),"salary")</f>
        <v>salary</v>
      </c>
      <c r="D27" s="99">
        <f>IFERROR(__xludf.DUMMYFUNCTION("""COMPUTED_VALUE"""),20000.0)</f>
        <v>20000</v>
      </c>
      <c r="E27" s="96" t="str">
        <f>IFERROR(__xludf.DUMMYFUNCTION("""COMPUTED_VALUE"""),"General Expenses")</f>
        <v>General Expenses</v>
      </c>
    </row>
    <row r="28">
      <c r="A28" s="98">
        <f>IFERROR(__xludf.DUMMYFUNCTION("""COMPUTED_VALUE"""),44093.0)</f>
        <v>44093</v>
      </c>
      <c r="B28" s="96" t="str">
        <f>IFERROR(__xludf.DUMMYFUNCTION("""COMPUTED_VALUE"""),"BLESSING CHAPMAN")</f>
        <v>BLESSING CHAPMAN</v>
      </c>
      <c r="C28" s="96" t="str">
        <f>IFERROR(__xludf.DUMMYFUNCTION("""COMPUTED_VALUE"""),"cash collected")</f>
        <v>cash collected</v>
      </c>
      <c r="D28" s="99">
        <f>IFERROR(__xludf.DUMMYFUNCTION("""COMPUTED_VALUE"""),233800.0)</f>
        <v>233800</v>
      </c>
      <c r="E28" s="96" t="str">
        <f>IFERROR(__xludf.DUMMYFUNCTION("""COMPUTED_VALUE"""),"Petty Cash")</f>
        <v>Petty Cash</v>
      </c>
    </row>
    <row r="29">
      <c r="A29" s="98">
        <f>IFERROR(__xludf.DUMMYFUNCTION("""COMPUTED_VALUE"""),44093.0)</f>
        <v>44093</v>
      </c>
      <c r="B29" s="96" t="str">
        <f>IFERROR(__xludf.DUMMYFUNCTION("""COMPUTED_VALUE"""),"DIRECTOR")</f>
        <v>DIRECTOR</v>
      </c>
      <c r="C29" s="96" t="str">
        <f>IFERROR(__xludf.DUMMYFUNCTION("""COMPUTED_VALUE"""),"advance transfered")</f>
        <v>advance transfered</v>
      </c>
      <c r="D29" s="99">
        <f>IFERROR(__xludf.DUMMYFUNCTION("""COMPUTED_VALUE"""),50000.0)</f>
        <v>50000</v>
      </c>
      <c r="E29" s="96" t="str">
        <f>IFERROR(__xludf.DUMMYFUNCTION("""COMPUTED_VALUE"""),"From Bank")</f>
        <v>From Bank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25"/>
    <col customWidth="1" min="3" max="3" width="29.25"/>
    <col customWidth="1" min="4" max="4" width="18.38"/>
    <col hidden="1" min="7" max="7" width="12.63"/>
    <col customWidth="1" min="9" max="9" width="13.38"/>
    <col customWidth="1" min="14" max="14" width="13.13"/>
  </cols>
  <sheetData>
    <row r="1">
      <c r="A1" s="28"/>
      <c r="B1" s="28" t="s">
        <v>97</v>
      </c>
      <c r="D1" s="102" t="s">
        <v>78</v>
      </c>
      <c r="E1" s="103">
        <f>OFFSET(B1,COUNTA(B:B)-2,0)</f>
        <v>44116</v>
      </c>
      <c r="F1" s="28"/>
      <c r="G1" s="28"/>
      <c r="H1" s="28"/>
      <c r="I1" s="28"/>
      <c r="J1" s="28"/>
      <c r="K1" s="28"/>
      <c r="L1" s="28"/>
      <c r="M1" s="28"/>
      <c r="N1" s="104"/>
      <c r="Q1" s="28"/>
      <c r="R1" s="28"/>
      <c r="S1" s="28"/>
    </row>
    <row r="2">
      <c r="A2" s="67" t="s">
        <v>83</v>
      </c>
      <c r="B2" s="68" t="s">
        <v>2</v>
      </c>
      <c r="C2" s="69" t="s">
        <v>3</v>
      </c>
      <c r="D2" s="69" t="s">
        <v>84</v>
      </c>
      <c r="E2" s="69" t="s">
        <v>4</v>
      </c>
      <c r="F2" s="71" t="s">
        <v>85</v>
      </c>
      <c r="G2" s="69" t="s">
        <v>86</v>
      </c>
      <c r="H2" s="69" t="s">
        <v>87</v>
      </c>
      <c r="I2" s="69" t="s">
        <v>88</v>
      </c>
      <c r="J2" s="69" t="s">
        <v>89</v>
      </c>
      <c r="K2" s="72" t="s">
        <v>90</v>
      </c>
      <c r="L2" s="69" t="s">
        <v>91</v>
      </c>
      <c r="M2" s="69" t="s">
        <v>92</v>
      </c>
      <c r="N2" s="69" t="s">
        <v>93</v>
      </c>
      <c r="O2" s="69" t="s">
        <v>94</v>
      </c>
      <c r="P2" s="69" t="s">
        <v>9</v>
      </c>
      <c r="Q2" s="69" t="s">
        <v>12</v>
      </c>
      <c r="R2" s="73" t="s">
        <v>95</v>
      </c>
      <c r="S2" s="67" t="s">
        <v>96</v>
      </c>
    </row>
    <row r="3">
      <c r="A3" s="105">
        <f t="shared" ref="A3:A518" si="1">IF(C3="","",COUNTIF($C$3:C3 ,C3))</f>
        <v>1</v>
      </c>
      <c r="B3" s="106">
        <v>43743.0</v>
      </c>
      <c r="C3" s="28" t="s">
        <v>98</v>
      </c>
      <c r="D3" s="107" t="str">
        <f t="shared" ref="D3:D518" si="2">IF(C3="","",C3&amp;A3)</f>
        <v>EDWARD OKO1</v>
      </c>
      <c r="E3" s="80"/>
      <c r="F3" s="80"/>
      <c r="G3" s="80"/>
      <c r="H3" s="80"/>
      <c r="I3" s="108"/>
      <c r="J3" s="109" t="str">
        <f t="shared" ref="J3:J518" si="3">iferror(round(R3 / (Q3),2),"")</f>
        <v/>
      </c>
      <c r="K3" s="110">
        <v>521000.0</v>
      </c>
      <c r="L3" s="111">
        <f t="shared" ref="L3:L518" si="4">K3-R3</f>
        <v>521000</v>
      </c>
      <c r="M3" s="112" t="str">
        <f t="shared" ref="M3:M518" si="5">IF(F3 = "","",IF(C3&gt;0,(ROUND((F3/H3),2)),""))</f>
        <v/>
      </c>
      <c r="N3" s="113">
        <f t="shared" ref="N3:N518" si="6">IF(C3&gt;0,(ROUND(((M3-8)/100)*(E3-(H3-I3)),0)),"")</f>
        <v>0</v>
      </c>
      <c r="O3" s="113">
        <f t="shared" ref="O3:O518" si="7">IF(C3&gt;0,INT(Q3/63),"")</f>
        <v>0</v>
      </c>
      <c r="P3" s="114">
        <f t="shared" ref="P3:P518" si="8">IF(C3="","",(INT(((Q3/63)-INT(Q3/63))*63)))</f>
        <v>0</v>
      </c>
      <c r="Q3" s="115">
        <f t="shared" ref="Q3:Q518" si="9">IF(C3&gt;0,(E3-(H3-I3))-N3,"")</f>
        <v>0</v>
      </c>
      <c r="R3" s="116"/>
      <c r="S3" s="117">
        <f t="shared" ref="S3:S518" si="10">IF((C3&amp;1)=D3,L3,(VLOOKUP(C3&amp;(A3-1),$D$3:$S518,16,0) + VLOOKUP(D3,$D$3:$L518,9,0)))</f>
        <v>521000</v>
      </c>
    </row>
    <row r="4">
      <c r="A4" s="105">
        <f t="shared" si="1"/>
        <v>1</v>
      </c>
      <c r="B4" s="106">
        <v>43743.0</v>
      </c>
      <c r="C4" s="21" t="s">
        <v>99</v>
      </c>
      <c r="D4" s="107" t="str">
        <f t="shared" si="2"/>
        <v>INT OTU1</v>
      </c>
      <c r="E4" s="80"/>
      <c r="F4" s="80"/>
      <c r="G4" s="80"/>
      <c r="H4" s="80"/>
      <c r="I4" s="108"/>
      <c r="J4" s="109" t="str">
        <f t="shared" si="3"/>
        <v/>
      </c>
      <c r="K4" s="110">
        <v>555000.0</v>
      </c>
      <c r="L4" s="111">
        <f t="shared" si="4"/>
        <v>555000</v>
      </c>
      <c r="M4" s="112" t="str">
        <f t="shared" si="5"/>
        <v/>
      </c>
      <c r="N4" s="113">
        <f t="shared" si="6"/>
        <v>0</v>
      </c>
      <c r="O4" s="113">
        <f t="shared" si="7"/>
        <v>0</v>
      </c>
      <c r="P4" s="114">
        <f t="shared" si="8"/>
        <v>0</v>
      </c>
      <c r="Q4" s="115">
        <f t="shared" si="9"/>
        <v>0</v>
      </c>
      <c r="R4" s="116"/>
      <c r="S4" s="117">
        <f t="shared" si="10"/>
        <v>555000</v>
      </c>
    </row>
    <row r="5">
      <c r="A5" s="105">
        <f t="shared" si="1"/>
        <v>1</v>
      </c>
      <c r="B5" s="106">
        <v>43743.0</v>
      </c>
      <c r="C5" s="21" t="s">
        <v>46</v>
      </c>
      <c r="D5" s="107" t="str">
        <f t="shared" si="2"/>
        <v>ETUK EFFI1</v>
      </c>
      <c r="E5" s="80"/>
      <c r="F5" s="80"/>
      <c r="G5" s="80"/>
      <c r="H5" s="80"/>
      <c r="I5" s="108"/>
      <c r="J5" s="109" t="str">
        <f t="shared" si="3"/>
        <v/>
      </c>
      <c r="K5" s="110">
        <v>700000.0</v>
      </c>
      <c r="L5" s="111">
        <f t="shared" si="4"/>
        <v>700000</v>
      </c>
      <c r="M5" s="112" t="str">
        <f t="shared" si="5"/>
        <v/>
      </c>
      <c r="N5" s="113">
        <f t="shared" si="6"/>
        <v>0</v>
      </c>
      <c r="O5" s="113">
        <f t="shared" si="7"/>
        <v>0</v>
      </c>
      <c r="P5" s="114">
        <f t="shared" si="8"/>
        <v>0</v>
      </c>
      <c r="Q5" s="115">
        <f t="shared" si="9"/>
        <v>0</v>
      </c>
      <c r="R5" s="116"/>
      <c r="S5" s="117">
        <f t="shared" si="10"/>
        <v>700000</v>
      </c>
    </row>
    <row r="6">
      <c r="A6" s="105">
        <f t="shared" si="1"/>
        <v>1</v>
      </c>
      <c r="B6" s="106">
        <v>43743.0</v>
      </c>
      <c r="C6" s="21" t="s">
        <v>100</v>
      </c>
      <c r="D6" s="107" t="str">
        <f t="shared" si="2"/>
        <v>ADE ADE1</v>
      </c>
      <c r="E6" s="80"/>
      <c r="F6" s="80"/>
      <c r="G6" s="80"/>
      <c r="H6" s="80"/>
      <c r="I6" s="108"/>
      <c r="J6" s="109" t="str">
        <f t="shared" si="3"/>
        <v/>
      </c>
      <c r="K6" s="110">
        <v>328000.0</v>
      </c>
      <c r="L6" s="111">
        <f t="shared" si="4"/>
        <v>328000</v>
      </c>
      <c r="M6" s="112" t="str">
        <f t="shared" si="5"/>
        <v/>
      </c>
      <c r="N6" s="113">
        <f t="shared" si="6"/>
        <v>0</v>
      </c>
      <c r="O6" s="113">
        <f t="shared" si="7"/>
        <v>0</v>
      </c>
      <c r="P6" s="114">
        <f t="shared" si="8"/>
        <v>0</v>
      </c>
      <c r="Q6" s="115">
        <f t="shared" si="9"/>
        <v>0</v>
      </c>
      <c r="R6" s="116"/>
      <c r="S6" s="117">
        <f t="shared" si="10"/>
        <v>328000</v>
      </c>
    </row>
    <row r="7">
      <c r="A7" s="105">
        <f t="shared" si="1"/>
        <v>1</v>
      </c>
      <c r="B7" s="106">
        <v>43743.0</v>
      </c>
      <c r="C7" s="21" t="s">
        <v>101</v>
      </c>
      <c r="D7" s="107" t="str">
        <f t="shared" si="2"/>
        <v>BESSONG BESONG1</v>
      </c>
      <c r="E7" s="80"/>
      <c r="F7" s="80"/>
      <c r="G7" s="80"/>
      <c r="H7" s="80"/>
      <c r="I7" s="108"/>
      <c r="J7" s="109" t="str">
        <f t="shared" si="3"/>
        <v/>
      </c>
      <c r="K7" s="110">
        <v>497440.0</v>
      </c>
      <c r="L7" s="111">
        <f t="shared" si="4"/>
        <v>497440</v>
      </c>
      <c r="M7" s="112" t="str">
        <f t="shared" si="5"/>
        <v/>
      </c>
      <c r="N7" s="113">
        <f t="shared" si="6"/>
        <v>0</v>
      </c>
      <c r="O7" s="113">
        <f t="shared" si="7"/>
        <v>0</v>
      </c>
      <c r="P7" s="114">
        <f t="shared" si="8"/>
        <v>0</v>
      </c>
      <c r="Q7" s="115">
        <f t="shared" si="9"/>
        <v>0</v>
      </c>
      <c r="R7" s="116"/>
      <c r="S7" s="117">
        <f t="shared" si="10"/>
        <v>497440</v>
      </c>
    </row>
    <row r="8">
      <c r="A8" s="105">
        <f t="shared" si="1"/>
        <v>1</v>
      </c>
      <c r="B8" s="106">
        <v>43743.0</v>
      </c>
      <c r="C8" s="21" t="s">
        <v>102</v>
      </c>
      <c r="D8" s="107" t="str">
        <f t="shared" si="2"/>
        <v>MINOR1</v>
      </c>
      <c r="E8" s="80"/>
      <c r="F8" s="80"/>
      <c r="G8" s="80"/>
      <c r="H8" s="80"/>
      <c r="I8" s="108"/>
      <c r="J8" s="109" t="str">
        <f t="shared" si="3"/>
        <v/>
      </c>
      <c r="K8" s="110">
        <v>409300.0</v>
      </c>
      <c r="L8" s="111">
        <f t="shared" si="4"/>
        <v>409300</v>
      </c>
      <c r="M8" s="112" t="str">
        <f t="shared" si="5"/>
        <v/>
      </c>
      <c r="N8" s="113">
        <f t="shared" si="6"/>
        <v>0</v>
      </c>
      <c r="O8" s="113">
        <f t="shared" si="7"/>
        <v>0</v>
      </c>
      <c r="P8" s="114">
        <f t="shared" si="8"/>
        <v>0</v>
      </c>
      <c r="Q8" s="115">
        <f t="shared" si="9"/>
        <v>0</v>
      </c>
      <c r="R8" s="116"/>
      <c r="S8" s="117">
        <f t="shared" si="10"/>
        <v>409300</v>
      </c>
    </row>
    <row r="9">
      <c r="A9" s="105">
        <f t="shared" si="1"/>
        <v>1</v>
      </c>
      <c r="B9" s="106">
        <v>43743.0</v>
      </c>
      <c r="C9" s="21" t="s">
        <v>103</v>
      </c>
      <c r="D9" s="107" t="str">
        <f t="shared" si="2"/>
        <v>COLLINS  OFFA1</v>
      </c>
      <c r="E9" s="80"/>
      <c r="F9" s="80"/>
      <c r="G9" s="80"/>
      <c r="H9" s="80"/>
      <c r="I9" s="108"/>
      <c r="J9" s="109" t="str">
        <f t="shared" si="3"/>
        <v/>
      </c>
      <c r="K9" s="110">
        <v>1090000.0</v>
      </c>
      <c r="L9" s="111">
        <f t="shared" si="4"/>
        <v>1090000</v>
      </c>
      <c r="M9" s="112" t="str">
        <f t="shared" si="5"/>
        <v/>
      </c>
      <c r="N9" s="113">
        <f t="shared" si="6"/>
        <v>0</v>
      </c>
      <c r="O9" s="113">
        <f t="shared" si="7"/>
        <v>0</v>
      </c>
      <c r="P9" s="114">
        <f t="shared" si="8"/>
        <v>0</v>
      </c>
      <c r="Q9" s="115">
        <f t="shared" si="9"/>
        <v>0</v>
      </c>
      <c r="R9" s="116"/>
      <c r="S9" s="117">
        <f t="shared" si="10"/>
        <v>1090000</v>
      </c>
    </row>
    <row r="10">
      <c r="A10" s="105">
        <f t="shared" si="1"/>
        <v>1</v>
      </c>
      <c r="B10" s="106">
        <v>43743.0</v>
      </c>
      <c r="C10" s="21" t="s">
        <v>104</v>
      </c>
      <c r="D10" s="107" t="str">
        <f t="shared" si="2"/>
        <v>SEPH ODEY1</v>
      </c>
      <c r="E10" s="80"/>
      <c r="F10" s="80"/>
      <c r="G10" s="80"/>
      <c r="H10" s="80"/>
      <c r="I10" s="108"/>
      <c r="J10" s="109" t="str">
        <f t="shared" si="3"/>
        <v/>
      </c>
      <c r="K10" s="110">
        <v>126000.0</v>
      </c>
      <c r="L10" s="111">
        <f t="shared" si="4"/>
        <v>126000</v>
      </c>
      <c r="M10" s="112" t="str">
        <f t="shared" si="5"/>
        <v/>
      </c>
      <c r="N10" s="113">
        <f t="shared" si="6"/>
        <v>0</v>
      </c>
      <c r="O10" s="113">
        <f t="shared" si="7"/>
        <v>0</v>
      </c>
      <c r="P10" s="114">
        <f t="shared" si="8"/>
        <v>0</v>
      </c>
      <c r="Q10" s="115">
        <f t="shared" si="9"/>
        <v>0</v>
      </c>
      <c r="R10" s="116"/>
      <c r="S10" s="117">
        <f t="shared" si="10"/>
        <v>126000</v>
      </c>
    </row>
    <row r="11">
      <c r="A11" s="105">
        <f t="shared" si="1"/>
        <v>1</v>
      </c>
      <c r="B11" s="106">
        <v>43743.0</v>
      </c>
      <c r="C11" s="21" t="s">
        <v>105</v>
      </c>
      <c r="D11" s="107" t="str">
        <f t="shared" si="2"/>
        <v>OSIM MARIAM1</v>
      </c>
      <c r="E11" s="80"/>
      <c r="F11" s="80"/>
      <c r="G11" s="80"/>
      <c r="H11" s="80"/>
      <c r="I11" s="108"/>
      <c r="J11" s="109" t="str">
        <f t="shared" si="3"/>
        <v/>
      </c>
      <c r="K11" s="110">
        <v>400000.0</v>
      </c>
      <c r="L11" s="111">
        <f t="shared" si="4"/>
        <v>400000</v>
      </c>
      <c r="M11" s="112" t="str">
        <f t="shared" si="5"/>
        <v/>
      </c>
      <c r="N11" s="113">
        <f t="shared" si="6"/>
        <v>0</v>
      </c>
      <c r="O11" s="113">
        <f t="shared" si="7"/>
        <v>0</v>
      </c>
      <c r="P11" s="114">
        <f t="shared" si="8"/>
        <v>0</v>
      </c>
      <c r="Q11" s="115">
        <f t="shared" si="9"/>
        <v>0</v>
      </c>
      <c r="R11" s="116"/>
      <c r="S11" s="117">
        <f t="shared" si="10"/>
        <v>400000</v>
      </c>
    </row>
    <row r="12">
      <c r="A12" s="105">
        <f t="shared" si="1"/>
        <v>1</v>
      </c>
      <c r="B12" s="106">
        <v>43743.0</v>
      </c>
      <c r="C12" s="21" t="s">
        <v>106</v>
      </c>
      <c r="D12" s="107" t="str">
        <f t="shared" si="2"/>
        <v>ENYA HN1</v>
      </c>
      <c r="E12" s="80"/>
      <c r="F12" s="80"/>
      <c r="G12" s="80"/>
      <c r="H12" s="80"/>
      <c r="I12" s="108"/>
      <c r="J12" s="109" t="str">
        <f t="shared" si="3"/>
        <v/>
      </c>
      <c r="K12" s="110">
        <v>187000.0</v>
      </c>
      <c r="L12" s="111">
        <f t="shared" si="4"/>
        <v>187000</v>
      </c>
      <c r="M12" s="112" t="str">
        <f t="shared" si="5"/>
        <v/>
      </c>
      <c r="N12" s="113">
        <f t="shared" si="6"/>
        <v>0</v>
      </c>
      <c r="O12" s="113">
        <f t="shared" si="7"/>
        <v>0</v>
      </c>
      <c r="P12" s="114">
        <f t="shared" si="8"/>
        <v>0</v>
      </c>
      <c r="Q12" s="115">
        <f t="shared" si="9"/>
        <v>0</v>
      </c>
      <c r="R12" s="116"/>
      <c r="S12" s="117">
        <f t="shared" si="10"/>
        <v>187000</v>
      </c>
    </row>
    <row r="13">
      <c r="A13" s="105">
        <f t="shared" si="1"/>
        <v>1</v>
      </c>
      <c r="B13" s="106">
        <v>43743.0</v>
      </c>
      <c r="C13" s="21" t="s">
        <v>107</v>
      </c>
      <c r="D13" s="107" t="str">
        <f t="shared" si="2"/>
        <v>BOSURU  BOSURU1</v>
      </c>
      <c r="E13" s="80"/>
      <c r="F13" s="80"/>
      <c r="G13" s="80"/>
      <c r="H13" s="80"/>
      <c r="I13" s="108"/>
      <c r="J13" s="109" t="str">
        <f t="shared" si="3"/>
        <v/>
      </c>
      <c r="K13" s="110">
        <v>1000000.0</v>
      </c>
      <c r="L13" s="111">
        <f t="shared" si="4"/>
        <v>1000000</v>
      </c>
      <c r="M13" s="112" t="str">
        <f t="shared" si="5"/>
        <v/>
      </c>
      <c r="N13" s="113">
        <f t="shared" si="6"/>
        <v>0</v>
      </c>
      <c r="O13" s="113">
        <f t="shared" si="7"/>
        <v>0</v>
      </c>
      <c r="P13" s="114">
        <f t="shared" si="8"/>
        <v>0</v>
      </c>
      <c r="Q13" s="115">
        <f t="shared" si="9"/>
        <v>0</v>
      </c>
      <c r="R13" s="116"/>
      <c r="S13" s="117">
        <f t="shared" si="10"/>
        <v>1000000</v>
      </c>
    </row>
    <row r="14">
      <c r="A14" s="105">
        <f t="shared" si="1"/>
        <v>1</v>
      </c>
      <c r="B14" s="106">
        <v>43743.0</v>
      </c>
      <c r="C14" s="28" t="s">
        <v>108</v>
      </c>
      <c r="D14" s="107" t="str">
        <f t="shared" si="2"/>
        <v>ASOQUO SUNDAY1</v>
      </c>
      <c r="E14" s="80"/>
      <c r="F14" s="80"/>
      <c r="G14" s="80"/>
      <c r="H14" s="80"/>
      <c r="I14" s="108"/>
      <c r="J14" s="109" t="str">
        <f t="shared" si="3"/>
        <v/>
      </c>
      <c r="K14" s="110">
        <v>620000.0</v>
      </c>
      <c r="L14" s="111">
        <f t="shared" si="4"/>
        <v>620000</v>
      </c>
      <c r="M14" s="112" t="str">
        <f t="shared" si="5"/>
        <v/>
      </c>
      <c r="N14" s="113">
        <f t="shared" si="6"/>
        <v>0</v>
      </c>
      <c r="O14" s="113">
        <f t="shared" si="7"/>
        <v>0</v>
      </c>
      <c r="P14" s="114">
        <f t="shared" si="8"/>
        <v>0</v>
      </c>
      <c r="Q14" s="115">
        <f t="shared" si="9"/>
        <v>0</v>
      </c>
      <c r="R14" s="116"/>
      <c r="S14" s="117">
        <f t="shared" si="10"/>
        <v>620000</v>
      </c>
    </row>
    <row r="15">
      <c r="A15" s="105">
        <f t="shared" si="1"/>
        <v>1</v>
      </c>
      <c r="B15" s="106">
        <v>43743.0</v>
      </c>
      <c r="C15" s="21" t="s">
        <v>109</v>
      </c>
      <c r="D15" s="107" t="str">
        <f t="shared" si="2"/>
        <v>OTU KOKO KEIBO1</v>
      </c>
      <c r="E15" s="80"/>
      <c r="F15" s="80"/>
      <c r="G15" s="80"/>
      <c r="H15" s="80"/>
      <c r="I15" s="108"/>
      <c r="J15" s="109" t="str">
        <f t="shared" si="3"/>
        <v/>
      </c>
      <c r="K15" s="110">
        <v>2399925.0</v>
      </c>
      <c r="L15" s="111">
        <f t="shared" si="4"/>
        <v>2399925</v>
      </c>
      <c r="M15" s="112" t="str">
        <f t="shared" si="5"/>
        <v/>
      </c>
      <c r="N15" s="113">
        <f t="shared" si="6"/>
        <v>0</v>
      </c>
      <c r="O15" s="113">
        <f t="shared" si="7"/>
        <v>0</v>
      </c>
      <c r="P15" s="114">
        <f t="shared" si="8"/>
        <v>0</v>
      </c>
      <c r="Q15" s="115">
        <f t="shared" si="9"/>
        <v>0</v>
      </c>
      <c r="R15" s="116"/>
      <c r="S15" s="117">
        <f t="shared" si="10"/>
        <v>2399925</v>
      </c>
    </row>
    <row r="16">
      <c r="A16" s="105">
        <f t="shared" si="1"/>
        <v>1</v>
      </c>
      <c r="B16" s="106">
        <v>43743.0</v>
      </c>
      <c r="C16" s="28" t="s">
        <v>110</v>
      </c>
      <c r="D16" s="107" t="str">
        <f t="shared" si="2"/>
        <v>AUGUSTINE IGBA1</v>
      </c>
      <c r="E16" s="80"/>
      <c r="F16" s="80"/>
      <c r="G16" s="80"/>
      <c r="H16" s="80"/>
      <c r="I16" s="108"/>
      <c r="J16" s="109" t="str">
        <f t="shared" si="3"/>
        <v/>
      </c>
      <c r="K16" s="110">
        <v>2.025962E7</v>
      </c>
      <c r="L16" s="111">
        <f t="shared" si="4"/>
        <v>20259620</v>
      </c>
      <c r="M16" s="112" t="str">
        <f t="shared" si="5"/>
        <v/>
      </c>
      <c r="N16" s="113">
        <f t="shared" si="6"/>
        <v>0</v>
      </c>
      <c r="O16" s="113">
        <f t="shared" si="7"/>
        <v>0</v>
      </c>
      <c r="P16" s="114">
        <f t="shared" si="8"/>
        <v>0</v>
      </c>
      <c r="Q16" s="115">
        <f t="shared" si="9"/>
        <v>0</v>
      </c>
      <c r="R16" s="116"/>
      <c r="S16" s="117">
        <f t="shared" si="10"/>
        <v>20259620</v>
      </c>
    </row>
    <row r="17">
      <c r="A17" s="105">
        <f t="shared" si="1"/>
        <v>1</v>
      </c>
      <c r="B17" s="106">
        <v>43743.0</v>
      </c>
      <c r="C17" s="28" t="s">
        <v>111</v>
      </c>
      <c r="D17" s="107" t="str">
        <f t="shared" si="2"/>
        <v>PETER JAMES1</v>
      </c>
      <c r="E17" s="80"/>
      <c r="F17" s="80"/>
      <c r="G17" s="80"/>
      <c r="H17" s="80"/>
      <c r="I17" s="108"/>
      <c r="J17" s="109" t="str">
        <f t="shared" si="3"/>
        <v/>
      </c>
      <c r="K17" s="110">
        <v>340094.0</v>
      </c>
      <c r="L17" s="111">
        <f t="shared" si="4"/>
        <v>340094</v>
      </c>
      <c r="M17" s="112" t="str">
        <f t="shared" si="5"/>
        <v/>
      </c>
      <c r="N17" s="113">
        <f t="shared" si="6"/>
        <v>0</v>
      </c>
      <c r="O17" s="113">
        <f t="shared" si="7"/>
        <v>0</v>
      </c>
      <c r="P17" s="114">
        <f t="shared" si="8"/>
        <v>0</v>
      </c>
      <c r="Q17" s="115">
        <f t="shared" si="9"/>
        <v>0</v>
      </c>
      <c r="R17" s="116"/>
      <c r="S17" s="117">
        <f t="shared" si="10"/>
        <v>340094</v>
      </c>
    </row>
    <row r="18">
      <c r="A18" s="105">
        <f t="shared" si="1"/>
        <v>1</v>
      </c>
      <c r="B18" s="106">
        <v>43743.0</v>
      </c>
      <c r="C18" s="28" t="s">
        <v>112</v>
      </c>
      <c r="D18" s="107" t="str">
        <f t="shared" si="2"/>
        <v>AYUK AYUK1</v>
      </c>
      <c r="E18" s="80"/>
      <c r="F18" s="80"/>
      <c r="G18" s="80"/>
      <c r="H18" s="80"/>
      <c r="I18" s="108"/>
      <c r="J18" s="109" t="str">
        <f t="shared" si="3"/>
        <v/>
      </c>
      <c r="K18" s="110">
        <v>120000.0</v>
      </c>
      <c r="L18" s="111">
        <f t="shared" si="4"/>
        <v>120000</v>
      </c>
      <c r="M18" s="112" t="str">
        <f t="shared" si="5"/>
        <v/>
      </c>
      <c r="N18" s="113">
        <f t="shared" si="6"/>
        <v>0</v>
      </c>
      <c r="O18" s="113">
        <f t="shared" si="7"/>
        <v>0</v>
      </c>
      <c r="P18" s="114">
        <f t="shared" si="8"/>
        <v>0</v>
      </c>
      <c r="Q18" s="115">
        <f t="shared" si="9"/>
        <v>0</v>
      </c>
      <c r="R18" s="116"/>
      <c r="S18" s="117">
        <f t="shared" si="10"/>
        <v>120000</v>
      </c>
    </row>
    <row r="19">
      <c r="A19" s="105">
        <f t="shared" si="1"/>
        <v>1</v>
      </c>
      <c r="B19" s="106">
        <v>43743.0</v>
      </c>
      <c r="C19" s="21" t="s">
        <v>113</v>
      </c>
      <c r="D19" s="107" t="str">
        <f t="shared" si="2"/>
        <v> MAXWELL AGRO1</v>
      </c>
      <c r="E19" s="80"/>
      <c r="F19" s="80"/>
      <c r="G19" s="80"/>
      <c r="H19" s="80"/>
      <c r="I19" s="108"/>
      <c r="J19" s="109" t="str">
        <f t="shared" si="3"/>
        <v/>
      </c>
      <c r="K19" s="110">
        <v>300000.0</v>
      </c>
      <c r="L19" s="111">
        <f t="shared" si="4"/>
        <v>300000</v>
      </c>
      <c r="M19" s="112" t="str">
        <f t="shared" si="5"/>
        <v/>
      </c>
      <c r="N19" s="113">
        <f t="shared" si="6"/>
        <v>0</v>
      </c>
      <c r="O19" s="113">
        <f t="shared" si="7"/>
        <v>0</v>
      </c>
      <c r="P19" s="114">
        <f t="shared" si="8"/>
        <v>0</v>
      </c>
      <c r="Q19" s="115">
        <f t="shared" si="9"/>
        <v>0</v>
      </c>
      <c r="R19" s="116"/>
      <c r="S19" s="117">
        <f t="shared" si="10"/>
        <v>300000</v>
      </c>
    </row>
    <row r="20">
      <c r="A20" s="105">
        <f t="shared" si="1"/>
        <v>1</v>
      </c>
      <c r="B20" s="106">
        <v>43743.0</v>
      </c>
      <c r="C20" s="28" t="s">
        <v>114</v>
      </c>
      <c r="D20" s="107" t="str">
        <f t="shared" si="2"/>
        <v>RAPHEAL OKON1</v>
      </c>
      <c r="E20" s="80"/>
      <c r="F20" s="80"/>
      <c r="G20" s="80"/>
      <c r="H20" s="80"/>
      <c r="I20" s="108"/>
      <c r="J20" s="109" t="str">
        <f t="shared" si="3"/>
        <v/>
      </c>
      <c r="K20" s="110">
        <v>200000.0</v>
      </c>
      <c r="L20" s="111">
        <f t="shared" si="4"/>
        <v>200000</v>
      </c>
      <c r="M20" s="112" t="str">
        <f t="shared" si="5"/>
        <v/>
      </c>
      <c r="N20" s="113">
        <f t="shared" si="6"/>
        <v>0</v>
      </c>
      <c r="O20" s="113">
        <f t="shared" si="7"/>
        <v>0</v>
      </c>
      <c r="P20" s="114">
        <f t="shared" si="8"/>
        <v>0</v>
      </c>
      <c r="Q20" s="115">
        <f t="shared" si="9"/>
        <v>0</v>
      </c>
      <c r="R20" s="116"/>
      <c r="S20" s="117">
        <f t="shared" si="10"/>
        <v>200000</v>
      </c>
    </row>
    <row r="21">
      <c r="A21" s="105">
        <f t="shared" si="1"/>
        <v>1</v>
      </c>
      <c r="B21" s="106">
        <v>43743.0</v>
      </c>
      <c r="C21" s="28" t="s">
        <v>115</v>
      </c>
      <c r="D21" s="107" t="str">
        <f t="shared" si="2"/>
        <v>EKABA ETTA1</v>
      </c>
      <c r="E21" s="80"/>
      <c r="F21" s="80"/>
      <c r="G21" s="80"/>
      <c r="H21" s="80"/>
      <c r="I21" s="108"/>
      <c r="J21" s="109" t="str">
        <f t="shared" si="3"/>
        <v/>
      </c>
      <c r="K21" s="110">
        <v>1200000.0</v>
      </c>
      <c r="L21" s="111">
        <f t="shared" si="4"/>
        <v>1200000</v>
      </c>
      <c r="M21" s="112" t="str">
        <f t="shared" si="5"/>
        <v/>
      </c>
      <c r="N21" s="113">
        <f t="shared" si="6"/>
        <v>0</v>
      </c>
      <c r="O21" s="113">
        <f t="shared" si="7"/>
        <v>0</v>
      </c>
      <c r="P21" s="114">
        <f t="shared" si="8"/>
        <v>0</v>
      </c>
      <c r="Q21" s="115">
        <f t="shared" si="9"/>
        <v>0</v>
      </c>
      <c r="R21" s="116"/>
      <c r="S21" s="117">
        <f t="shared" si="10"/>
        <v>1200000</v>
      </c>
    </row>
    <row r="22">
      <c r="A22" s="105">
        <f t="shared" si="1"/>
        <v>1</v>
      </c>
      <c r="B22" s="106">
        <v>43743.0</v>
      </c>
      <c r="C22" s="28" t="s">
        <v>116</v>
      </c>
      <c r="D22" s="107" t="str">
        <f t="shared" si="2"/>
        <v>LAWERENCE ETTA OGAR1</v>
      </c>
      <c r="E22" s="80"/>
      <c r="F22" s="80"/>
      <c r="G22" s="80"/>
      <c r="H22" s="80"/>
      <c r="I22" s="108"/>
      <c r="J22" s="109" t="str">
        <f t="shared" si="3"/>
        <v/>
      </c>
      <c r="K22" s="110">
        <v>323719.0</v>
      </c>
      <c r="L22" s="111">
        <f t="shared" si="4"/>
        <v>323719</v>
      </c>
      <c r="M22" s="112" t="str">
        <f t="shared" si="5"/>
        <v/>
      </c>
      <c r="N22" s="113">
        <f t="shared" si="6"/>
        <v>0</v>
      </c>
      <c r="O22" s="113">
        <f t="shared" si="7"/>
        <v>0</v>
      </c>
      <c r="P22" s="114">
        <f t="shared" si="8"/>
        <v>0</v>
      </c>
      <c r="Q22" s="115">
        <f t="shared" si="9"/>
        <v>0</v>
      </c>
      <c r="R22" s="116"/>
      <c r="S22" s="117">
        <f t="shared" si="10"/>
        <v>323719</v>
      </c>
    </row>
    <row r="23">
      <c r="A23" s="105">
        <f t="shared" si="1"/>
        <v>1</v>
      </c>
      <c r="B23" s="106">
        <v>43743.0</v>
      </c>
      <c r="C23" s="21" t="s">
        <v>117</v>
      </c>
      <c r="D23" s="107" t="str">
        <f t="shared" si="2"/>
        <v>LYDIA HNSON 1</v>
      </c>
      <c r="E23" s="80"/>
      <c r="F23" s="80"/>
      <c r="G23" s="80"/>
      <c r="H23" s="80"/>
      <c r="I23" s="108"/>
      <c r="J23" s="109" t="str">
        <f t="shared" si="3"/>
        <v/>
      </c>
      <c r="K23" s="110">
        <v>2600000.0</v>
      </c>
      <c r="L23" s="111">
        <f t="shared" si="4"/>
        <v>2600000</v>
      </c>
      <c r="M23" s="112" t="str">
        <f t="shared" si="5"/>
        <v/>
      </c>
      <c r="N23" s="113">
        <f t="shared" si="6"/>
        <v>0</v>
      </c>
      <c r="O23" s="113">
        <f t="shared" si="7"/>
        <v>0</v>
      </c>
      <c r="P23" s="114">
        <f t="shared" si="8"/>
        <v>0</v>
      </c>
      <c r="Q23" s="115">
        <f t="shared" si="9"/>
        <v>0</v>
      </c>
      <c r="R23" s="116"/>
      <c r="S23" s="117">
        <f t="shared" si="10"/>
        <v>2600000</v>
      </c>
    </row>
    <row r="24">
      <c r="A24" s="105">
        <f t="shared" si="1"/>
        <v>1</v>
      </c>
      <c r="B24" s="106">
        <v>43743.0</v>
      </c>
      <c r="C24" s="21" t="s">
        <v>118</v>
      </c>
      <c r="D24" s="107" t="str">
        <f t="shared" si="2"/>
        <v>NAOMI1</v>
      </c>
      <c r="E24" s="80"/>
      <c r="F24" s="80"/>
      <c r="G24" s="80"/>
      <c r="H24" s="80"/>
      <c r="I24" s="108"/>
      <c r="J24" s="109" t="str">
        <f t="shared" si="3"/>
        <v/>
      </c>
      <c r="K24" s="110">
        <v>1.3090265E7</v>
      </c>
      <c r="L24" s="111">
        <f t="shared" si="4"/>
        <v>13090265</v>
      </c>
      <c r="M24" s="112" t="str">
        <f t="shared" si="5"/>
        <v/>
      </c>
      <c r="N24" s="113">
        <f t="shared" si="6"/>
        <v>0</v>
      </c>
      <c r="O24" s="113">
        <f t="shared" si="7"/>
        <v>0</v>
      </c>
      <c r="P24" s="114">
        <f t="shared" si="8"/>
        <v>0</v>
      </c>
      <c r="Q24" s="115">
        <f t="shared" si="9"/>
        <v>0</v>
      </c>
      <c r="R24" s="116"/>
      <c r="S24" s="117">
        <f t="shared" si="10"/>
        <v>13090265</v>
      </c>
    </row>
    <row r="25">
      <c r="A25" s="105">
        <f t="shared" si="1"/>
        <v>1</v>
      </c>
      <c r="B25" s="106">
        <v>43743.0</v>
      </c>
      <c r="C25" s="21" t="s">
        <v>119</v>
      </c>
      <c r="D25" s="107" t="str">
        <f t="shared" si="2"/>
        <v>MAXWELL AGRO OBI1</v>
      </c>
      <c r="E25" s="80"/>
      <c r="F25" s="80"/>
      <c r="G25" s="80"/>
      <c r="H25" s="80"/>
      <c r="I25" s="108"/>
      <c r="J25" s="109" t="str">
        <f t="shared" si="3"/>
        <v/>
      </c>
      <c r="K25" s="110">
        <v>500000.0</v>
      </c>
      <c r="L25" s="111">
        <f t="shared" si="4"/>
        <v>500000</v>
      </c>
      <c r="M25" s="112" t="str">
        <f t="shared" si="5"/>
        <v/>
      </c>
      <c r="N25" s="113">
        <f t="shared" si="6"/>
        <v>0</v>
      </c>
      <c r="O25" s="113">
        <f t="shared" si="7"/>
        <v>0</v>
      </c>
      <c r="P25" s="114">
        <f t="shared" si="8"/>
        <v>0</v>
      </c>
      <c r="Q25" s="115">
        <f t="shared" si="9"/>
        <v>0</v>
      </c>
      <c r="R25" s="116"/>
      <c r="S25" s="117">
        <f t="shared" si="10"/>
        <v>500000</v>
      </c>
    </row>
    <row r="26">
      <c r="A26" s="105">
        <f t="shared" si="1"/>
        <v>1</v>
      </c>
      <c r="B26" s="106">
        <v>43743.0</v>
      </c>
      <c r="C26" s="21" t="s">
        <v>120</v>
      </c>
      <c r="D26" s="107" t="str">
        <f t="shared" si="2"/>
        <v>R.  MAXWELL AGRO1</v>
      </c>
      <c r="E26" s="80"/>
      <c r="F26" s="80"/>
      <c r="G26" s="80"/>
      <c r="H26" s="80"/>
      <c r="I26" s="108"/>
      <c r="J26" s="109" t="str">
        <f t="shared" si="3"/>
        <v/>
      </c>
      <c r="K26" s="110">
        <v>840000.0</v>
      </c>
      <c r="L26" s="111">
        <f t="shared" si="4"/>
        <v>840000</v>
      </c>
      <c r="M26" s="112" t="str">
        <f t="shared" si="5"/>
        <v/>
      </c>
      <c r="N26" s="113">
        <f t="shared" si="6"/>
        <v>0</v>
      </c>
      <c r="O26" s="113">
        <f t="shared" si="7"/>
        <v>0</v>
      </c>
      <c r="P26" s="114">
        <f t="shared" si="8"/>
        <v>0</v>
      </c>
      <c r="Q26" s="115">
        <f t="shared" si="9"/>
        <v>0</v>
      </c>
      <c r="R26" s="116"/>
      <c r="S26" s="117">
        <f t="shared" si="10"/>
        <v>840000</v>
      </c>
    </row>
    <row r="27">
      <c r="A27" s="105">
        <f t="shared" si="1"/>
        <v>1</v>
      </c>
      <c r="B27" s="106">
        <v>43743.0</v>
      </c>
      <c r="C27" s="21" t="s">
        <v>121</v>
      </c>
      <c r="D27" s="107" t="str">
        <f t="shared" si="2"/>
        <v>ABANG. BEN OLUM1</v>
      </c>
      <c r="E27" s="80"/>
      <c r="F27" s="80"/>
      <c r="G27" s="80"/>
      <c r="H27" s="80"/>
      <c r="I27" s="108"/>
      <c r="J27" s="109" t="str">
        <f t="shared" si="3"/>
        <v/>
      </c>
      <c r="K27" s="110">
        <v>920000.0</v>
      </c>
      <c r="L27" s="111">
        <f t="shared" si="4"/>
        <v>920000</v>
      </c>
      <c r="M27" s="112" t="str">
        <f t="shared" si="5"/>
        <v/>
      </c>
      <c r="N27" s="113">
        <f t="shared" si="6"/>
        <v>0</v>
      </c>
      <c r="O27" s="113">
        <f t="shared" si="7"/>
        <v>0</v>
      </c>
      <c r="P27" s="114">
        <f t="shared" si="8"/>
        <v>0</v>
      </c>
      <c r="Q27" s="115">
        <f t="shared" si="9"/>
        <v>0</v>
      </c>
      <c r="R27" s="116"/>
      <c r="S27" s="117">
        <f t="shared" si="10"/>
        <v>920000</v>
      </c>
    </row>
    <row r="28">
      <c r="A28" s="105">
        <f t="shared" si="1"/>
        <v>1</v>
      </c>
      <c r="B28" s="106">
        <v>43743.0</v>
      </c>
      <c r="C28" s="21" t="s">
        <v>122</v>
      </c>
      <c r="D28" s="107" t="str">
        <f t="shared" si="2"/>
        <v>NYIAM FREDERICK JUSTINE1</v>
      </c>
      <c r="E28" s="80"/>
      <c r="F28" s="80"/>
      <c r="G28" s="80"/>
      <c r="H28" s="80"/>
      <c r="I28" s="108"/>
      <c r="J28" s="109" t="str">
        <f t="shared" si="3"/>
        <v/>
      </c>
      <c r="K28" s="110">
        <v>400000.0</v>
      </c>
      <c r="L28" s="111">
        <f t="shared" si="4"/>
        <v>400000</v>
      </c>
      <c r="M28" s="112" t="str">
        <f t="shared" si="5"/>
        <v/>
      </c>
      <c r="N28" s="113">
        <f t="shared" si="6"/>
        <v>0</v>
      </c>
      <c r="O28" s="113">
        <f t="shared" si="7"/>
        <v>0</v>
      </c>
      <c r="P28" s="114">
        <f t="shared" si="8"/>
        <v>0</v>
      </c>
      <c r="Q28" s="115">
        <f t="shared" si="9"/>
        <v>0</v>
      </c>
      <c r="R28" s="116"/>
      <c r="S28" s="117">
        <f t="shared" si="10"/>
        <v>400000</v>
      </c>
    </row>
    <row r="29">
      <c r="A29" s="105">
        <f t="shared" si="1"/>
        <v>1</v>
      </c>
      <c r="B29" s="106">
        <v>43743.0</v>
      </c>
      <c r="C29" s="21" t="s">
        <v>123</v>
      </c>
      <c r="D29" s="107" t="str">
        <f t="shared" si="2"/>
        <v>RI SAMP1</v>
      </c>
      <c r="E29" s="80"/>
      <c r="F29" s="80"/>
      <c r="G29" s="80"/>
      <c r="H29" s="80"/>
      <c r="I29" s="108"/>
      <c r="J29" s="109" t="str">
        <f t="shared" si="3"/>
        <v/>
      </c>
      <c r="K29" s="110">
        <v>1000000.0</v>
      </c>
      <c r="L29" s="111">
        <f t="shared" si="4"/>
        <v>1000000</v>
      </c>
      <c r="M29" s="112" t="str">
        <f t="shared" si="5"/>
        <v/>
      </c>
      <c r="N29" s="113">
        <f t="shared" si="6"/>
        <v>0</v>
      </c>
      <c r="O29" s="113">
        <f t="shared" si="7"/>
        <v>0</v>
      </c>
      <c r="P29" s="114">
        <f t="shared" si="8"/>
        <v>0</v>
      </c>
      <c r="Q29" s="115">
        <f t="shared" si="9"/>
        <v>0</v>
      </c>
      <c r="R29" s="116"/>
      <c r="S29" s="117">
        <f t="shared" si="10"/>
        <v>1000000</v>
      </c>
    </row>
    <row r="30">
      <c r="A30" s="105">
        <f t="shared" si="1"/>
        <v>1</v>
      </c>
      <c r="B30" s="106">
        <v>43743.0</v>
      </c>
      <c r="C30" s="21" t="s">
        <v>124</v>
      </c>
      <c r="D30" s="107" t="str">
        <f t="shared" si="2"/>
        <v>REMMY BODES1</v>
      </c>
      <c r="E30" s="80"/>
      <c r="F30" s="80"/>
      <c r="G30" s="80"/>
      <c r="H30" s="80"/>
      <c r="I30" s="108"/>
      <c r="J30" s="109" t="str">
        <f t="shared" si="3"/>
        <v/>
      </c>
      <c r="K30" s="110">
        <v>510000.0</v>
      </c>
      <c r="L30" s="111">
        <f t="shared" si="4"/>
        <v>510000</v>
      </c>
      <c r="M30" s="112" t="str">
        <f t="shared" si="5"/>
        <v/>
      </c>
      <c r="N30" s="113">
        <f t="shared" si="6"/>
        <v>0</v>
      </c>
      <c r="O30" s="113">
        <f t="shared" si="7"/>
        <v>0</v>
      </c>
      <c r="P30" s="114">
        <f t="shared" si="8"/>
        <v>0</v>
      </c>
      <c r="Q30" s="115">
        <f t="shared" si="9"/>
        <v>0</v>
      </c>
      <c r="R30" s="116"/>
      <c r="S30" s="117">
        <f t="shared" si="10"/>
        <v>510000</v>
      </c>
    </row>
    <row r="31">
      <c r="A31" s="105">
        <f t="shared" si="1"/>
        <v>1</v>
      </c>
      <c r="B31" s="106">
        <v>43743.0</v>
      </c>
      <c r="C31" s="21" t="s">
        <v>125</v>
      </c>
      <c r="D31" s="107" t="str">
        <f t="shared" si="2"/>
        <v>ANDRDEW GREAT1</v>
      </c>
      <c r="E31" s="80"/>
      <c r="F31" s="80"/>
      <c r="G31" s="80"/>
      <c r="H31" s="80"/>
      <c r="I31" s="108"/>
      <c r="J31" s="109" t="str">
        <f t="shared" si="3"/>
        <v/>
      </c>
      <c r="K31" s="110">
        <v>1517570.0</v>
      </c>
      <c r="L31" s="111">
        <f t="shared" si="4"/>
        <v>1517570</v>
      </c>
      <c r="M31" s="112" t="str">
        <f t="shared" si="5"/>
        <v/>
      </c>
      <c r="N31" s="113">
        <f t="shared" si="6"/>
        <v>0</v>
      </c>
      <c r="O31" s="113">
        <f t="shared" si="7"/>
        <v>0</v>
      </c>
      <c r="P31" s="114">
        <f t="shared" si="8"/>
        <v>0</v>
      </c>
      <c r="Q31" s="115">
        <f t="shared" si="9"/>
        <v>0</v>
      </c>
      <c r="R31" s="116"/>
      <c r="S31" s="117">
        <f t="shared" si="10"/>
        <v>1517570</v>
      </c>
    </row>
    <row r="32">
      <c r="A32" s="105">
        <f t="shared" si="1"/>
        <v>1</v>
      </c>
      <c r="B32" s="106">
        <v>43743.0</v>
      </c>
      <c r="C32" s="21" t="s">
        <v>126</v>
      </c>
      <c r="D32" s="107" t="str">
        <f t="shared" si="2"/>
        <v>NDOMA BODE I.D1</v>
      </c>
      <c r="E32" s="80"/>
      <c r="F32" s="80"/>
      <c r="G32" s="80"/>
      <c r="H32" s="80"/>
      <c r="I32" s="108"/>
      <c r="J32" s="109" t="str">
        <f t="shared" si="3"/>
        <v/>
      </c>
      <c r="K32" s="110">
        <v>800000.0</v>
      </c>
      <c r="L32" s="111">
        <f t="shared" si="4"/>
        <v>800000</v>
      </c>
      <c r="M32" s="112" t="str">
        <f t="shared" si="5"/>
        <v/>
      </c>
      <c r="N32" s="113">
        <f t="shared" si="6"/>
        <v>0</v>
      </c>
      <c r="O32" s="113">
        <f t="shared" si="7"/>
        <v>0</v>
      </c>
      <c r="P32" s="114">
        <f t="shared" si="8"/>
        <v>0</v>
      </c>
      <c r="Q32" s="115">
        <f t="shared" si="9"/>
        <v>0</v>
      </c>
      <c r="R32" s="116"/>
      <c r="S32" s="117">
        <f t="shared" si="10"/>
        <v>800000</v>
      </c>
    </row>
    <row r="33">
      <c r="A33" s="105">
        <f t="shared" si="1"/>
        <v>1</v>
      </c>
      <c r="B33" s="106">
        <v>43743.0</v>
      </c>
      <c r="C33" s="21" t="s">
        <v>127</v>
      </c>
      <c r="D33" s="107" t="str">
        <f t="shared" si="2"/>
        <v>ALLI SYLVESTER1</v>
      </c>
      <c r="E33" s="80"/>
      <c r="F33" s="80"/>
      <c r="G33" s="80"/>
      <c r="H33" s="80"/>
      <c r="I33" s="108"/>
      <c r="J33" s="109" t="str">
        <f t="shared" si="3"/>
        <v/>
      </c>
      <c r="K33" s="110">
        <v>2376910.0</v>
      </c>
      <c r="L33" s="111">
        <f t="shared" si="4"/>
        <v>2376910</v>
      </c>
      <c r="M33" s="112" t="str">
        <f t="shared" si="5"/>
        <v/>
      </c>
      <c r="N33" s="113">
        <f t="shared" si="6"/>
        <v>0</v>
      </c>
      <c r="O33" s="113">
        <f t="shared" si="7"/>
        <v>0</v>
      </c>
      <c r="P33" s="114">
        <f t="shared" si="8"/>
        <v>0</v>
      </c>
      <c r="Q33" s="115">
        <f t="shared" si="9"/>
        <v>0</v>
      </c>
      <c r="R33" s="116"/>
      <c r="S33" s="117">
        <f t="shared" si="10"/>
        <v>2376910</v>
      </c>
    </row>
    <row r="34">
      <c r="A34" s="105">
        <f t="shared" si="1"/>
        <v>1</v>
      </c>
      <c r="B34" s="106">
        <v>43743.0</v>
      </c>
      <c r="C34" s="21" t="s">
        <v>128</v>
      </c>
      <c r="D34" s="107" t="str">
        <f t="shared" si="2"/>
        <v> OP OJUA1</v>
      </c>
      <c r="E34" s="80"/>
      <c r="F34" s="80"/>
      <c r="G34" s="80"/>
      <c r="H34" s="80"/>
      <c r="I34" s="108"/>
      <c r="J34" s="109" t="str">
        <f t="shared" si="3"/>
        <v/>
      </c>
      <c r="K34" s="110">
        <v>46550.0</v>
      </c>
      <c r="L34" s="111">
        <f t="shared" si="4"/>
        <v>46550</v>
      </c>
      <c r="M34" s="112" t="str">
        <f t="shared" si="5"/>
        <v/>
      </c>
      <c r="N34" s="113">
        <f t="shared" si="6"/>
        <v>0</v>
      </c>
      <c r="O34" s="113">
        <f t="shared" si="7"/>
        <v>0</v>
      </c>
      <c r="P34" s="114">
        <f t="shared" si="8"/>
        <v>0</v>
      </c>
      <c r="Q34" s="115">
        <f t="shared" si="9"/>
        <v>0</v>
      </c>
      <c r="R34" s="116"/>
      <c r="S34" s="117">
        <f t="shared" si="10"/>
        <v>46550</v>
      </c>
    </row>
    <row r="35">
      <c r="A35" s="105">
        <f t="shared" si="1"/>
        <v>1</v>
      </c>
      <c r="B35" s="106">
        <v>43743.0</v>
      </c>
      <c r="C35" s="21" t="s">
        <v>129</v>
      </c>
      <c r="D35" s="107" t="str">
        <f t="shared" si="2"/>
        <v>HN KEIBO1</v>
      </c>
      <c r="E35" s="80"/>
      <c r="F35" s="80"/>
      <c r="G35" s="80"/>
      <c r="H35" s="80"/>
      <c r="I35" s="108"/>
      <c r="J35" s="109" t="str">
        <f t="shared" si="3"/>
        <v/>
      </c>
      <c r="K35" s="110">
        <v>249707.0</v>
      </c>
      <c r="L35" s="111">
        <f t="shared" si="4"/>
        <v>249707</v>
      </c>
      <c r="M35" s="112" t="str">
        <f t="shared" si="5"/>
        <v/>
      </c>
      <c r="N35" s="113">
        <f t="shared" si="6"/>
        <v>0</v>
      </c>
      <c r="O35" s="113">
        <f t="shared" si="7"/>
        <v>0</v>
      </c>
      <c r="P35" s="114">
        <f t="shared" si="8"/>
        <v>0</v>
      </c>
      <c r="Q35" s="115">
        <f t="shared" si="9"/>
        <v>0</v>
      </c>
      <c r="R35" s="116"/>
      <c r="S35" s="117">
        <f t="shared" si="10"/>
        <v>249707</v>
      </c>
    </row>
    <row r="36">
      <c r="A36" s="105">
        <f t="shared" si="1"/>
        <v>1</v>
      </c>
      <c r="B36" s="106">
        <v>43743.0</v>
      </c>
      <c r="C36" s="21" t="s">
        <v>130</v>
      </c>
      <c r="D36" s="107" t="str">
        <f t="shared" si="2"/>
        <v> OP OCHICHIE1</v>
      </c>
      <c r="E36" s="80"/>
      <c r="F36" s="80"/>
      <c r="G36" s="80"/>
      <c r="H36" s="80"/>
      <c r="I36" s="108"/>
      <c r="J36" s="109" t="str">
        <f t="shared" si="3"/>
        <v/>
      </c>
      <c r="K36" s="110">
        <v>535525.0</v>
      </c>
      <c r="L36" s="111">
        <f t="shared" si="4"/>
        <v>535525</v>
      </c>
      <c r="M36" s="112" t="str">
        <f t="shared" si="5"/>
        <v/>
      </c>
      <c r="N36" s="113">
        <f t="shared" si="6"/>
        <v>0</v>
      </c>
      <c r="O36" s="113">
        <f t="shared" si="7"/>
        <v>0</v>
      </c>
      <c r="P36" s="114">
        <f t="shared" si="8"/>
        <v>0</v>
      </c>
      <c r="Q36" s="115">
        <f t="shared" si="9"/>
        <v>0</v>
      </c>
      <c r="R36" s="116"/>
      <c r="S36" s="117">
        <f t="shared" si="10"/>
        <v>535525</v>
      </c>
    </row>
    <row r="37">
      <c r="A37" s="105">
        <f t="shared" si="1"/>
        <v>1</v>
      </c>
      <c r="B37" s="106">
        <v>43743.0</v>
      </c>
      <c r="C37" s="21" t="s">
        <v>131</v>
      </c>
      <c r="D37" s="107" t="str">
        <f t="shared" si="2"/>
        <v>PETER KEIBO SIDE1</v>
      </c>
      <c r="E37" s="80"/>
      <c r="F37" s="80"/>
      <c r="G37" s="80"/>
      <c r="H37" s="80"/>
      <c r="I37" s="108"/>
      <c r="J37" s="109" t="str">
        <f t="shared" si="3"/>
        <v/>
      </c>
      <c r="K37" s="110">
        <v>1318980.0</v>
      </c>
      <c r="L37" s="111">
        <f t="shared" si="4"/>
        <v>1318980</v>
      </c>
      <c r="M37" s="112" t="str">
        <f t="shared" si="5"/>
        <v/>
      </c>
      <c r="N37" s="113">
        <f t="shared" si="6"/>
        <v>0</v>
      </c>
      <c r="O37" s="113">
        <f t="shared" si="7"/>
        <v>0</v>
      </c>
      <c r="P37" s="114">
        <f t="shared" si="8"/>
        <v>0</v>
      </c>
      <c r="Q37" s="115">
        <f t="shared" si="9"/>
        <v>0</v>
      </c>
      <c r="R37" s="116"/>
      <c r="S37" s="117">
        <f t="shared" si="10"/>
        <v>1318980</v>
      </c>
    </row>
    <row r="38">
      <c r="A38" s="105">
        <f t="shared" si="1"/>
        <v>1</v>
      </c>
      <c r="B38" s="106">
        <v>43743.0</v>
      </c>
      <c r="C38" s="28" t="s">
        <v>132</v>
      </c>
      <c r="D38" s="107" t="str">
        <f t="shared" si="2"/>
        <v>CONFIDENCE1</v>
      </c>
      <c r="E38" s="80"/>
      <c r="F38" s="80"/>
      <c r="G38" s="80"/>
      <c r="H38" s="80"/>
      <c r="I38" s="108"/>
      <c r="J38" s="109" t="str">
        <f t="shared" si="3"/>
        <v/>
      </c>
      <c r="K38" s="110">
        <v>300000.0</v>
      </c>
      <c r="L38" s="111">
        <f t="shared" si="4"/>
        <v>300000</v>
      </c>
      <c r="M38" s="112" t="str">
        <f t="shared" si="5"/>
        <v/>
      </c>
      <c r="N38" s="113">
        <f t="shared" si="6"/>
        <v>0</v>
      </c>
      <c r="O38" s="113">
        <f t="shared" si="7"/>
        <v>0</v>
      </c>
      <c r="P38" s="114">
        <f t="shared" si="8"/>
        <v>0</v>
      </c>
      <c r="Q38" s="115">
        <f t="shared" si="9"/>
        <v>0</v>
      </c>
      <c r="R38" s="116"/>
      <c r="S38" s="117">
        <f t="shared" si="10"/>
        <v>300000</v>
      </c>
    </row>
    <row r="39">
      <c r="A39" s="105">
        <f t="shared" si="1"/>
        <v>1</v>
      </c>
      <c r="B39" s="106">
        <v>43743.0</v>
      </c>
      <c r="C39" s="21" t="s">
        <v>133</v>
      </c>
      <c r="D39" s="107" t="str">
        <f t="shared" si="2"/>
        <v>LAI BIG MAN1</v>
      </c>
      <c r="E39" s="80"/>
      <c r="F39" s="80"/>
      <c r="G39" s="80"/>
      <c r="H39" s="80"/>
      <c r="I39" s="108"/>
      <c r="J39" s="109" t="str">
        <f t="shared" si="3"/>
        <v/>
      </c>
      <c r="K39" s="110">
        <v>200000.0</v>
      </c>
      <c r="L39" s="111">
        <f t="shared" si="4"/>
        <v>200000</v>
      </c>
      <c r="M39" s="112" t="str">
        <f t="shared" si="5"/>
        <v/>
      </c>
      <c r="N39" s="113">
        <f t="shared" si="6"/>
        <v>0</v>
      </c>
      <c r="O39" s="113">
        <f t="shared" si="7"/>
        <v>0</v>
      </c>
      <c r="P39" s="114">
        <f t="shared" si="8"/>
        <v>0</v>
      </c>
      <c r="Q39" s="115">
        <f t="shared" si="9"/>
        <v>0</v>
      </c>
      <c r="R39" s="116"/>
      <c r="S39" s="117">
        <f t="shared" si="10"/>
        <v>200000</v>
      </c>
    </row>
    <row r="40">
      <c r="A40" s="105">
        <f t="shared" si="1"/>
        <v>1</v>
      </c>
      <c r="B40" s="106">
        <v>43743.0</v>
      </c>
      <c r="C40" s="21" t="s">
        <v>134</v>
      </c>
      <c r="D40" s="107" t="str">
        <f t="shared" si="2"/>
        <v>ABANG TATAW CAMEROUN1</v>
      </c>
      <c r="E40" s="80"/>
      <c r="F40" s="80"/>
      <c r="G40" s="80"/>
      <c r="H40" s="80"/>
      <c r="I40" s="108"/>
      <c r="J40" s="109" t="str">
        <f t="shared" si="3"/>
        <v/>
      </c>
      <c r="K40" s="110">
        <v>16000.0</v>
      </c>
      <c r="L40" s="111">
        <f t="shared" si="4"/>
        <v>16000</v>
      </c>
      <c r="M40" s="112" t="str">
        <f t="shared" si="5"/>
        <v/>
      </c>
      <c r="N40" s="113">
        <f t="shared" si="6"/>
        <v>0</v>
      </c>
      <c r="O40" s="113">
        <f t="shared" si="7"/>
        <v>0</v>
      </c>
      <c r="P40" s="114">
        <f t="shared" si="8"/>
        <v>0</v>
      </c>
      <c r="Q40" s="115">
        <f t="shared" si="9"/>
        <v>0</v>
      </c>
      <c r="R40" s="116"/>
      <c r="S40" s="117">
        <f t="shared" si="10"/>
        <v>16000</v>
      </c>
    </row>
    <row r="41">
      <c r="A41" s="105">
        <f t="shared" si="1"/>
        <v>1</v>
      </c>
      <c r="B41" s="106">
        <v>43743.0</v>
      </c>
      <c r="C41" s="21" t="s">
        <v>135</v>
      </c>
      <c r="D41" s="107" t="str">
        <f t="shared" si="2"/>
        <v>ABANG FREDINARD1</v>
      </c>
      <c r="E41" s="80"/>
      <c r="F41" s="80"/>
      <c r="G41" s="80"/>
      <c r="H41" s="80"/>
      <c r="I41" s="108"/>
      <c r="J41" s="109" t="str">
        <f t="shared" si="3"/>
        <v/>
      </c>
      <c r="K41" s="110">
        <v>30000.0</v>
      </c>
      <c r="L41" s="111">
        <f t="shared" si="4"/>
        <v>30000</v>
      </c>
      <c r="M41" s="112" t="str">
        <f t="shared" si="5"/>
        <v/>
      </c>
      <c r="N41" s="113">
        <f t="shared" si="6"/>
        <v>0</v>
      </c>
      <c r="O41" s="113">
        <f t="shared" si="7"/>
        <v>0</v>
      </c>
      <c r="P41" s="114">
        <f t="shared" si="8"/>
        <v>0</v>
      </c>
      <c r="Q41" s="115">
        <f t="shared" si="9"/>
        <v>0</v>
      </c>
      <c r="R41" s="116"/>
      <c r="S41" s="117">
        <f t="shared" si="10"/>
        <v>30000</v>
      </c>
    </row>
    <row r="42">
      <c r="A42" s="105">
        <f t="shared" si="1"/>
        <v>1</v>
      </c>
      <c r="B42" s="106">
        <v>43743.0</v>
      </c>
      <c r="C42" s="21" t="s">
        <v>136</v>
      </c>
      <c r="D42" s="107" t="str">
        <f t="shared" si="2"/>
        <v>KOKOK PRIN1</v>
      </c>
      <c r="E42" s="80"/>
      <c r="F42" s="80"/>
      <c r="G42" s="80"/>
      <c r="H42" s="80"/>
      <c r="I42" s="108"/>
      <c r="J42" s="112" t="str">
        <f t="shared" si="3"/>
        <v/>
      </c>
      <c r="K42" s="118">
        <v>215000.0</v>
      </c>
      <c r="L42" s="111">
        <f t="shared" si="4"/>
        <v>215000</v>
      </c>
      <c r="M42" s="112" t="str">
        <f t="shared" si="5"/>
        <v/>
      </c>
      <c r="N42" s="113">
        <f t="shared" si="6"/>
        <v>0</v>
      </c>
      <c r="O42" s="113">
        <f t="shared" si="7"/>
        <v>0</v>
      </c>
      <c r="P42" s="114">
        <f t="shared" si="8"/>
        <v>0</v>
      </c>
      <c r="Q42" s="115">
        <f t="shared" si="9"/>
        <v>0</v>
      </c>
      <c r="R42" s="116"/>
      <c r="S42" s="117">
        <f t="shared" si="10"/>
        <v>215000</v>
      </c>
    </row>
    <row r="43">
      <c r="A43" s="105">
        <f t="shared" si="1"/>
        <v>1</v>
      </c>
      <c r="B43" s="106">
        <v>43743.0</v>
      </c>
      <c r="C43" s="21" t="s">
        <v>137</v>
      </c>
      <c r="D43" s="107" t="str">
        <f t="shared" si="2"/>
        <v>BABA NDIFON1</v>
      </c>
      <c r="E43" s="80"/>
      <c r="F43" s="80"/>
      <c r="G43" s="80"/>
      <c r="H43" s="80"/>
      <c r="I43" s="108"/>
      <c r="J43" s="109" t="str">
        <f t="shared" si="3"/>
        <v/>
      </c>
      <c r="K43" s="110">
        <v>190000.0</v>
      </c>
      <c r="L43" s="111">
        <f t="shared" si="4"/>
        <v>190000</v>
      </c>
      <c r="M43" s="112" t="str">
        <f t="shared" si="5"/>
        <v/>
      </c>
      <c r="N43" s="113">
        <f t="shared" si="6"/>
        <v>0</v>
      </c>
      <c r="O43" s="113">
        <f t="shared" si="7"/>
        <v>0</v>
      </c>
      <c r="P43" s="114">
        <f t="shared" si="8"/>
        <v>0</v>
      </c>
      <c r="Q43" s="115">
        <f t="shared" si="9"/>
        <v>0</v>
      </c>
      <c r="R43" s="116"/>
      <c r="S43" s="117">
        <f t="shared" si="10"/>
        <v>190000</v>
      </c>
    </row>
    <row r="44">
      <c r="A44" s="105">
        <f t="shared" si="1"/>
        <v>1</v>
      </c>
      <c r="B44" s="106">
        <v>43743.0</v>
      </c>
      <c r="C44" s="21" t="s">
        <v>138</v>
      </c>
      <c r="D44" s="107" t="str">
        <f t="shared" si="2"/>
        <v>TIMOTHY  OLUM1</v>
      </c>
      <c r="E44" s="80"/>
      <c r="F44" s="80"/>
      <c r="G44" s="80"/>
      <c r="H44" s="80"/>
      <c r="I44" s="108"/>
      <c r="J44" s="109" t="str">
        <f t="shared" si="3"/>
        <v/>
      </c>
      <c r="K44" s="110">
        <v>150000.0</v>
      </c>
      <c r="L44" s="111">
        <f t="shared" si="4"/>
        <v>150000</v>
      </c>
      <c r="M44" s="112" t="str">
        <f t="shared" si="5"/>
        <v/>
      </c>
      <c r="N44" s="113">
        <f t="shared" si="6"/>
        <v>0</v>
      </c>
      <c r="O44" s="113">
        <f t="shared" si="7"/>
        <v>0</v>
      </c>
      <c r="P44" s="114">
        <f t="shared" si="8"/>
        <v>0</v>
      </c>
      <c r="Q44" s="115">
        <f t="shared" si="9"/>
        <v>0</v>
      </c>
      <c r="R44" s="116"/>
      <c r="S44" s="117">
        <f t="shared" si="10"/>
        <v>150000</v>
      </c>
    </row>
    <row r="45">
      <c r="A45" s="105">
        <f t="shared" si="1"/>
        <v>1</v>
      </c>
      <c r="B45" s="106">
        <v>43743.0</v>
      </c>
      <c r="C45" s="21" t="s">
        <v>139</v>
      </c>
      <c r="D45" s="107" t="str">
        <f t="shared" si="2"/>
        <v>AGEGE BOY1</v>
      </c>
      <c r="E45" s="80"/>
      <c r="F45" s="80"/>
      <c r="G45" s="80"/>
      <c r="H45" s="80"/>
      <c r="I45" s="108"/>
      <c r="J45" s="109" t="str">
        <f t="shared" si="3"/>
        <v/>
      </c>
      <c r="K45" s="110">
        <v>300000.0</v>
      </c>
      <c r="L45" s="111">
        <f t="shared" si="4"/>
        <v>300000</v>
      </c>
      <c r="M45" s="112" t="str">
        <f t="shared" si="5"/>
        <v/>
      </c>
      <c r="N45" s="113">
        <f t="shared" si="6"/>
        <v>0</v>
      </c>
      <c r="O45" s="113">
        <f t="shared" si="7"/>
        <v>0</v>
      </c>
      <c r="P45" s="114">
        <f t="shared" si="8"/>
        <v>0</v>
      </c>
      <c r="Q45" s="115">
        <f t="shared" si="9"/>
        <v>0</v>
      </c>
      <c r="R45" s="116"/>
      <c r="S45" s="117">
        <f t="shared" si="10"/>
        <v>300000</v>
      </c>
    </row>
    <row r="46">
      <c r="A46" s="105">
        <f t="shared" si="1"/>
        <v>1</v>
      </c>
      <c r="B46" s="106">
        <v>43743.0</v>
      </c>
      <c r="C46" s="21" t="s">
        <v>140</v>
      </c>
      <c r="D46" s="107" t="str">
        <f t="shared" si="2"/>
        <v>PRINNESS1</v>
      </c>
      <c r="E46" s="80"/>
      <c r="F46" s="80"/>
      <c r="G46" s="80"/>
      <c r="H46" s="80"/>
      <c r="I46" s="108"/>
      <c r="J46" s="109" t="str">
        <f t="shared" si="3"/>
        <v/>
      </c>
      <c r="K46" s="110">
        <v>200000.0</v>
      </c>
      <c r="L46" s="111">
        <f t="shared" si="4"/>
        <v>200000</v>
      </c>
      <c r="M46" s="112" t="str">
        <f t="shared" si="5"/>
        <v/>
      </c>
      <c r="N46" s="113">
        <f t="shared" si="6"/>
        <v>0</v>
      </c>
      <c r="O46" s="113">
        <f t="shared" si="7"/>
        <v>0</v>
      </c>
      <c r="P46" s="114">
        <f t="shared" si="8"/>
        <v>0</v>
      </c>
      <c r="Q46" s="115">
        <f t="shared" si="9"/>
        <v>0</v>
      </c>
      <c r="R46" s="116"/>
      <c r="S46" s="117">
        <f t="shared" si="10"/>
        <v>200000</v>
      </c>
    </row>
    <row r="47">
      <c r="A47" s="105">
        <f t="shared" si="1"/>
        <v>1</v>
      </c>
      <c r="B47" s="106">
        <v>43743.0</v>
      </c>
      <c r="C47" s="21" t="s">
        <v>141</v>
      </c>
      <c r="D47" s="107" t="str">
        <f t="shared" si="2"/>
        <v>CORNWELL1</v>
      </c>
      <c r="E47" s="80"/>
      <c r="F47" s="80"/>
      <c r="G47" s="80"/>
      <c r="H47" s="80"/>
      <c r="I47" s="108"/>
      <c r="J47" s="109" t="str">
        <f t="shared" si="3"/>
        <v/>
      </c>
      <c r="K47" s="110">
        <v>879440.0</v>
      </c>
      <c r="L47" s="111">
        <f t="shared" si="4"/>
        <v>879440</v>
      </c>
      <c r="M47" s="112" t="str">
        <f t="shared" si="5"/>
        <v/>
      </c>
      <c r="N47" s="113">
        <f t="shared" si="6"/>
        <v>0</v>
      </c>
      <c r="O47" s="113">
        <f t="shared" si="7"/>
        <v>0</v>
      </c>
      <c r="P47" s="114">
        <f t="shared" si="8"/>
        <v>0</v>
      </c>
      <c r="Q47" s="115">
        <f t="shared" si="9"/>
        <v>0</v>
      </c>
      <c r="R47" s="116"/>
      <c r="S47" s="117">
        <f t="shared" si="10"/>
        <v>879440</v>
      </c>
    </row>
    <row r="48">
      <c r="A48" s="105">
        <f t="shared" si="1"/>
        <v>1</v>
      </c>
      <c r="B48" s="106">
        <v>43743.0</v>
      </c>
      <c r="C48" s="21" t="s">
        <v>142</v>
      </c>
      <c r="D48" s="107" t="str">
        <f t="shared" si="2"/>
        <v>DUN ODI A.1</v>
      </c>
      <c r="E48" s="80"/>
      <c r="F48" s="80"/>
      <c r="G48" s="80"/>
      <c r="H48" s="80"/>
      <c r="I48" s="108"/>
      <c r="J48" s="109" t="str">
        <f t="shared" si="3"/>
        <v/>
      </c>
      <c r="K48" s="110">
        <v>30000.0</v>
      </c>
      <c r="L48" s="111">
        <f t="shared" si="4"/>
        <v>30000</v>
      </c>
      <c r="M48" s="112" t="str">
        <f t="shared" si="5"/>
        <v/>
      </c>
      <c r="N48" s="113">
        <f t="shared" si="6"/>
        <v>0</v>
      </c>
      <c r="O48" s="113">
        <f t="shared" si="7"/>
        <v>0</v>
      </c>
      <c r="P48" s="114">
        <f t="shared" si="8"/>
        <v>0</v>
      </c>
      <c r="Q48" s="115">
        <f t="shared" si="9"/>
        <v>0</v>
      </c>
      <c r="R48" s="116"/>
      <c r="S48" s="117">
        <f t="shared" si="10"/>
        <v>30000</v>
      </c>
    </row>
    <row r="49">
      <c r="A49" s="105">
        <f t="shared" si="1"/>
        <v>1</v>
      </c>
      <c r="B49" s="106">
        <v>43743.0</v>
      </c>
      <c r="C49" s="21" t="s">
        <v>143</v>
      </c>
      <c r="D49" s="107" t="str">
        <f t="shared" si="2"/>
        <v>MAXWELL AGRO PRIN1</v>
      </c>
      <c r="E49" s="80"/>
      <c r="F49" s="80"/>
      <c r="G49" s="80"/>
      <c r="H49" s="80"/>
      <c r="I49" s="108"/>
      <c r="J49" s="109" t="str">
        <f t="shared" si="3"/>
        <v/>
      </c>
      <c r="K49" s="110">
        <v>280000.0</v>
      </c>
      <c r="L49" s="111">
        <f t="shared" si="4"/>
        <v>280000</v>
      </c>
      <c r="M49" s="112" t="str">
        <f t="shared" si="5"/>
        <v/>
      </c>
      <c r="N49" s="113">
        <f t="shared" si="6"/>
        <v>0</v>
      </c>
      <c r="O49" s="113">
        <f t="shared" si="7"/>
        <v>0</v>
      </c>
      <c r="P49" s="114">
        <f t="shared" si="8"/>
        <v>0</v>
      </c>
      <c r="Q49" s="115">
        <f t="shared" si="9"/>
        <v>0</v>
      </c>
      <c r="R49" s="116"/>
      <c r="S49" s="117">
        <f t="shared" si="10"/>
        <v>280000</v>
      </c>
    </row>
    <row r="50">
      <c r="A50" s="105">
        <f t="shared" si="1"/>
        <v>1</v>
      </c>
      <c r="B50" s="106">
        <v>43743.0</v>
      </c>
      <c r="C50" s="21" t="s">
        <v>144</v>
      </c>
      <c r="D50" s="107" t="str">
        <f t="shared" si="2"/>
        <v>FRANCIS KEIBO1</v>
      </c>
      <c r="E50" s="80"/>
      <c r="F50" s="80"/>
      <c r="G50" s="80"/>
      <c r="H50" s="80"/>
      <c r="I50" s="108"/>
      <c r="J50" s="109" t="str">
        <f t="shared" si="3"/>
        <v/>
      </c>
      <c r="K50" s="110">
        <v>237000.0</v>
      </c>
      <c r="L50" s="111">
        <f t="shared" si="4"/>
        <v>237000</v>
      </c>
      <c r="M50" s="112" t="str">
        <f t="shared" si="5"/>
        <v/>
      </c>
      <c r="N50" s="113">
        <f t="shared" si="6"/>
        <v>0</v>
      </c>
      <c r="O50" s="113">
        <f t="shared" si="7"/>
        <v>0</v>
      </c>
      <c r="P50" s="114">
        <f t="shared" si="8"/>
        <v>0</v>
      </c>
      <c r="Q50" s="115">
        <f t="shared" si="9"/>
        <v>0</v>
      </c>
      <c r="R50" s="116"/>
      <c r="S50" s="117">
        <f t="shared" si="10"/>
        <v>237000</v>
      </c>
    </row>
    <row r="51">
      <c r="A51" s="105">
        <f t="shared" si="1"/>
        <v>1</v>
      </c>
      <c r="B51" s="106">
        <v>43743.0</v>
      </c>
      <c r="C51" s="21" t="s">
        <v>145</v>
      </c>
      <c r="D51" s="107" t="str">
        <f t="shared" si="2"/>
        <v>COLLABS1</v>
      </c>
      <c r="E51" s="80"/>
      <c r="F51" s="80"/>
      <c r="G51" s="80"/>
      <c r="H51" s="80"/>
      <c r="I51" s="108"/>
      <c r="J51" s="109" t="str">
        <f t="shared" si="3"/>
        <v/>
      </c>
      <c r="K51" s="110">
        <v>220000.0</v>
      </c>
      <c r="L51" s="111">
        <f t="shared" si="4"/>
        <v>220000</v>
      </c>
      <c r="M51" s="112" t="str">
        <f t="shared" si="5"/>
        <v/>
      </c>
      <c r="N51" s="113">
        <f t="shared" si="6"/>
        <v>0</v>
      </c>
      <c r="O51" s="113">
        <f t="shared" si="7"/>
        <v>0</v>
      </c>
      <c r="P51" s="114">
        <f t="shared" si="8"/>
        <v>0</v>
      </c>
      <c r="Q51" s="115">
        <f t="shared" si="9"/>
        <v>0</v>
      </c>
      <c r="R51" s="116"/>
      <c r="S51" s="117">
        <f t="shared" si="10"/>
        <v>220000</v>
      </c>
    </row>
    <row r="52">
      <c r="A52" s="105">
        <f t="shared" si="1"/>
        <v>1</v>
      </c>
      <c r="B52" s="106">
        <v>43743.0</v>
      </c>
      <c r="C52" s="21" t="s">
        <v>146</v>
      </c>
      <c r="D52" s="107" t="str">
        <f t="shared" si="2"/>
        <v>CONNECT1</v>
      </c>
      <c r="E52" s="80"/>
      <c r="F52" s="80"/>
      <c r="G52" s="80"/>
      <c r="H52" s="80"/>
      <c r="I52" s="108"/>
      <c r="J52" s="109" t="str">
        <f t="shared" si="3"/>
        <v/>
      </c>
      <c r="K52" s="110">
        <v>1200000.0</v>
      </c>
      <c r="L52" s="111">
        <f t="shared" si="4"/>
        <v>1200000</v>
      </c>
      <c r="M52" s="112" t="str">
        <f t="shared" si="5"/>
        <v/>
      </c>
      <c r="N52" s="113">
        <f t="shared" si="6"/>
        <v>0</v>
      </c>
      <c r="O52" s="113">
        <f t="shared" si="7"/>
        <v>0</v>
      </c>
      <c r="P52" s="114">
        <f t="shared" si="8"/>
        <v>0</v>
      </c>
      <c r="Q52" s="115">
        <f t="shared" si="9"/>
        <v>0</v>
      </c>
      <c r="R52" s="116"/>
      <c r="S52" s="117">
        <f t="shared" si="10"/>
        <v>1200000</v>
      </c>
    </row>
    <row r="53">
      <c r="A53" s="105">
        <f t="shared" si="1"/>
        <v>1</v>
      </c>
      <c r="B53" s="106">
        <v>43743.0</v>
      </c>
      <c r="C53" s="21" t="s">
        <v>25</v>
      </c>
      <c r="D53" s="107" t="str">
        <f t="shared" si="2"/>
        <v>KARIEN EBAN1</v>
      </c>
      <c r="E53" s="80"/>
      <c r="F53" s="80"/>
      <c r="G53" s="80"/>
      <c r="H53" s="80"/>
      <c r="I53" s="108"/>
      <c r="J53" s="109" t="str">
        <f t="shared" si="3"/>
        <v/>
      </c>
      <c r="K53" s="110">
        <v>1500000.0</v>
      </c>
      <c r="L53" s="111">
        <f t="shared" si="4"/>
        <v>1500000</v>
      </c>
      <c r="M53" s="112" t="str">
        <f t="shared" si="5"/>
        <v/>
      </c>
      <c r="N53" s="113">
        <f t="shared" si="6"/>
        <v>0</v>
      </c>
      <c r="O53" s="113">
        <f t="shared" si="7"/>
        <v>0</v>
      </c>
      <c r="P53" s="114">
        <f t="shared" si="8"/>
        <v>0</v>
      </c>
      <c r="Q53" s="115">
        <f t="shared" si="9"/>
        <v>0</v>
      </c>
      <c r="R53" s="116"/>
      <c r="S53" s="117">
        <f t="shared" si="10"/>
        <v>1500000</v>
      </c>
    </row>
    <row r="54">
      <c r="A54" s="105">
        <f t="shared" si="1"/>
        <v>1</v>
      </c>
      <c r="B54" s="106">
        <v>43743.0</v>
      </c>
      <c r="C54" s="21" t="s">
        <v>147</v>
      </c>
      <c r="D54" s="107" t="str">
        <f t="shared" si="2"/>
        <v>ZULU &amp; NDOMA1</v>
      </c>
      <c r="E54" s="80"/>
      <c r="F54" s="80"/>
      <c r="G54" s="80"/>
      <c r="H54" s="80"/>
      <c r="I54" s="108"/>
      <c r="J54" s="109" t="str">
        <f t="shared" si="3"/>
        <v/>
      </c>
      <c r="K54" s="110">
        <v>165400.0</v>
      </c>
      <c r="L54" s="111">
        <f t="shared" si="4"/>
        <v>165400</v>
      </c>
      <c r="M54" s="112" t="str">
        <f t="shared" si="5"/>
        <v/>
      </c>
      <c r="N54" s="113">
        <f t="shared" si="6"/>
        <v>0</v>
      </c>
      <c r="O54" s="113">
        <f t="shared" si="7"/>
        <v>0</v>
      </c>
      <c r="P54" s="114">
        <f t="shared" si="8"/>
        <v>0</v>
      </c>
      <c r="Q54" s="115">
        <f t="shared" si="9"/>
        <v>0</v>
      </c>
      <c r="R54" s="116"/>
      <c r="S54" s="117">
        <f t="shared" si="10"/>
        <v>165400</v>
      </c>
    </row>
    <row r="55">
      <c r="A55" s="105">
        <f t="shared" si="1"/>
        <v>1</v>
      </c>
      <c r="B55" s="106">
        <v>43743.0</v>
      </c>
      <c r="C55" s="21" t="s">
        <v>148</v>
      </c>
      <c r="D55" s="107" t="str">
        <f t="shared" si="2"/>
        <v>TIWA AGBA1</v>
      </c>
      <c r="E55" s="80"/>
      <c r="F55" s="80"/>
      <c r="G55" s="80"/>
      <c r="H55" s="80"/>
      <c r="I55" s="108"/>
      <c r="J55" s="109" t="str">
        <f t="shared" si="3"/>
        <v/>
      </c>
      <c r="K55" s="110">
        <v>5000.0</v>
      </c>
      <c r="L55" s="111">
        <f t="shared" si="4"/>
        <v>5000</v>
      </c>
      <c r="M55" s="112" t="str">
        <f t="shared" si="5"/>
        <v/>
      </c>
      <c r="N55" s="113">
        <f t="shared" si="6"/>
        <v>0</v>
      </c>
      <c r="O55" s="113">
        <f t="shared" si="7"/>
        <v>0</v>
      </c>
      <c r="P55" s="114">
        <f t="shared" si="8"/>
        <v>0</v>
      </c>
      <c r="Q55" s="115">
        <f t="shared" si="9"/>
        <v>0</v>
      </c>
      <c r="R55" s="116"/>
      <c r="S55" s="117">
        <f t="shared" si="10"/>
        <v>5000</v>
      </c>
    </row>
    <row r="56">
      <c r="A56" s="105">
        <f t="shared" si="1"/>
        <v>1</v>
      </c>
      <c r="B56" s="106">
        <v>43743.0</v>
      </c>
      <c r="C56" s="21" t="s">
        <v>149</v>
      </c>
      <c r="D56" s="107" t="str">
        <f t="shared" si="2"/>
        <v>PAPA AJASCO BETTE1</v>
      </c>
      <c r="E56" s="80"/>
      <c r="F56" s="80"/>
      <c r="G56" s="80"/>
      <c r="H56" s="80"/>
      <c r="I56" s="108"/>
      <c r="J56" s="109" t="str">
        <f t="shared" si="3"/>
        <v/>
      </c>
      <c r="K56" s="110">
        <v>200000.0</v>
      </c>
      <c r="L56" s="111">
        <f t="shared" si="4"/>
        <v>200000</v>
      </c>
      <c r="M56" s="112" t="str">
        <f t="shared" si="5"/>
        <v/>
      </c>
      <c r="N56" s="113">
        <f t="shared" si="6"/>
        <v>0</v>
      </c>
      <c r="O56" s="113">
        <f t="shared" si="7"/>
        <v>0</v>
      </c>
      <c r="P56" s="114">
        <f t="shared" si="8"/>
        <v>0</v>
      </c>
      <c r="Q56" s="115">
        <f t="shared" si="9"/>
        <v>0</v>
      </c>
      <c r="R56" s="116"/>
      <c r="S56" s="117">
        <f t="shared" si="10"/>
        <v>200000</v>
      </c>
    </row>
    <row r="57">
      <c r="A57" s="105">
        <f t="shared" si="1"/>
        <v>2</v>
      </c>
      <c r="B57" s="106">
        <v>44027.0</v>
      </c>
      <c r="C57" s="21" t="s">
        <v>124</v>
      </c>
      <c r="D57" s="107" t="str">
        <f t="shared" si="2"/>
        <v>REMMY BODES2</v>
      </c>
      <c r="E57" s="80"/>
      <c r="F57" s="80"/>
      <c r="G57" s="80"/>
      <c r="H57" s="80"/>
      <c r="I57" s="108"/>
      <c r="J57" s="109" t="str">
        <f t="shared" si="3"/>
        <v/>
      </c>
      <c r="K57" s="119">
        <v>200000.0</v>
      </c>
      <c r="L57" s="120">
        <f t="shared" si="4"/>
        <v>200000</v>
      </c>
      <c r="M57" s="112" t="str">
        <f t="shared" si="5"/>
        <v/>
      </c>
      <c r="N57" s="121">
        <f t="shared" si="6"/>
        <v>0</v>
      </c>
      <c r="O57" s="121">
        <f t="shared" si="7"/>
        <v>0</v>
      </c>
      <c r="P57" s="122">
        <f t="shared" si="8"/>
        <v>0</v>
      </c>
      <c r="Q57" s="123">
        <f t="shared" si="9"/>
        <v>0</v>
      </c>
      <c r="R57" s="116"/>
      <c r="S57" s="116">
        <f t="shared" si="10"/>
        <v>710000</v>
      </c>
    </row>
    <row r="58">
      <c r="A58" s="105">
        <f t="shared" si="1"/>
        <v>2</v>
      </c>
      <c r="B58" s="106">
        <v>44027.0</v>
      </c>
      <c r="C58" s="21" t="s">
        <v>141</v>
      </c>
      <c r="D58" s="107" t="str">
        <f t="shared" si="2"/>
        <v>CORNWELL2</v>
      </c>
      <c r="E58" s="80"/>
      <c r="F58" s="80"/>
      <c r="G58" s="80"/>
      <c r="H58" s="80"/>
      <c r="I58" s="108"/>
      <c r="J58" s="109" t="str">
        <f t="shared" si="3"/>
        <v/>
      </c>
      <c r="K58" s="119">
        <v>5000000.0</v>
      </c>
      <c r="L58" s="120">
        <f t="shared" si="4"/>
        <v>5000000</v>
      </c>
      <c r="M58" s="112" t="str">
        <f t="shared" si="5"/>
        <v/>
      </c>
      <c r="N58" s="121">
        <f t="shared" si="6"/>
        <v>0</v>
      </c>
      <c r="O58" s="121">
        <f t="shared" si="7"/>
        <v>0</v>
      </c>
      <c r="P58" s="122">
        <f t="shared" si="8"/>
        <v>0</v>
      </c>
      <c r="Q58" s="123">
        <f t="shared" si="9"/>
        <v>0</v>
      </c>
      <c r="R58" s="116"/>
      <c r="S58" s="116">
        <f t="shared" si="10"/>
        <v>5879440</v>
      </c>
    </row>
    <row r="59">
      <c r="A59" s="105">
        <f t="shared" si="1"/>
        <v>1</v>
      </c>
      <c r="B59" s="106">
        <v>44027.0</v>
      </c>
      <c r="C59" s="21" t="s">
        <v>150</v>
      </c>
      <c r="D59" s="107" t="str">
        <f t="shared" si="2"/>
        <v>LIVINUS1</v>
      </c>
      <c r="E59" s="80"/>
      <c r="F59" s="80"/>
      <c r="G59" s="80"/>
      <c r="H59" s="80"/>
      <c r="I59" s="108"/>
      <c r="J59" s="109" t="str">
        <f t="shared" si="3"/>
        <v/>
      </c>
      <c r="K59" s="119">
        <v>240000.0</v>
      </c>
      <c r="L59" s="120">
        <f t="shared" si="4"/>
        <v>240000</v>
      </c>
      <c r="M59" s="112" t="str">
        <f t="shared" si="5"/>
        <v/>
      </c>
      <c r="N59" s="121">
        <f t="shared" si="6"/>
        <v>0</v>
      </c>
      <c r="O59" s="121">
        <f t="shared" si="7"/>
        <v>0</v>
      </c>
      <c r="P59" s="122">
        <f t="shared" si="8"/>
        <v>0</v>
      </c>
      <c r="Q59" s="123">
        <f t="shared" si="9"/>
        <v>0</v>
      </c>
      <c r="R59" s="116"/>
      <c r="S59" s="116">
        <f t="shared" si="10"/>
        <v>240000</v>
      </c>
    </row>
    <row r="60">
      <c r="A60" s="105">
        <f t="shared" si="1"/>
        <v>1</v>
      </c>
      <c r="B60" s="106">
        <v>44027.0</v>
      </c>
      <c r="C60" s="21" t="s">
        <v>151</v>
      </c>
      <c r="D60" s="107" t="str">
        <f t="shared" si="2"/>
        <v>JAMES AKAN1</v>
      </c>
      <c r="E60" s="80"/>
      <c r="F60" s="80"/>
      <c r="G60" s="80"/>
      <c r="H60" s="80"/>
      <c r="I60" s="108"/>
      <c r="J60" s="109" t="str">
        <f t="shared" si="3"/>
        <v/>
      </c>
      <c r="K60" s="119">
        <v>245000.0</v>
      </c>
      <c r="L60" s="120">
        <f t="shared" si="4"/>
        <v>245000</v>
      </c>
      <c r="M60" s="112" t="str">
        <f t="shared" si="5"/>
        <v/>
      </c>
      <c r="N60" s="121">
        <f t="shared" si="6"/>
        <v>0</v>
      </c>
      <c r="O60" s="121">
        <f t="shared" si="7"/>
        <v>0</v>
      </c>
      <c r="P60" s="122">
        <f t="shared" si="8"/>
        <v>0</v>
      </c>
      <c r="Q60" s="123">
        <f t="shared" si="9"/>
        <v>0</v>
      </c>
      <c r="R60" s="116"/>
      <c r="S60" s="116">
        <f t="shared" si="10"/>
        <v>245000</v>
      </c>
    </row>
    <row r="61">
      <c r="A61" s="20">
        <f t="shared" si="1"/>
        <v>1</v>
      </c>
      <c r="B61" s="106">
        <v>44029.0</v>
      </c>
      <c r="C61" s="21" t="s">
        <v>152</v>
      </c>
      <c r="D61" s="124" t="str">
        <f t="shared" si="2"/>
        <v>RECTOR W.1</v>
      </c>
      <c r="E61" s="93">
        <v>1316.0</v>
      </c>
      <c r="F61" s="93">
        <v>160.0</v>
      </c>
      <c r="G61" s="80"/>
      <c r="H61" s="93">
        <v>20.0</v>
      </c>
      <c r="I61" s="125">
        <v>0.0</v>
      </c>
      <c r="J61" s="126">
        <f t="shared" si="3"/>
        <v>780</v>
      </c>
      <c r="K61" s="110"/>
      <c r="L61" s="120">
        <f t="shared" si="4"/>
        <v>-1010880</v>
      </c>
      <c r="M61" s="127">
        <f t="shared" si="5"/>
        <v>8</v>
      </c>
      <c r="N61" s="113">
        <f t="shared" si="6"/>
        <v>0</v>
      </c>
      <c r="O61" s="113">
        <f t="shared" si="7"/>
        <v>20</v>
      </c>
      <c r="P61" s="114">
        <f t="shared" si="8"/>
        <v>36</v>
      </c>
      <c r="Q61" s="115">
        <f t="shared" si="9"/>
        <v>1296</v>
      </c>
      <c r="R61" s="117">
        <v>1010880.0</v>
      </c>
      <c r="S61" s="116">
        <f t="shared" si="10"/>
        <v>-1010880</v>
      </c>
    </row>
    <row r="62">
      <c r="A62" s="20">
        <f t="shared" si="1"/>
        <v>2</v>
      </c>
      <c r="B62" s="106">
        <v>44030.0</v>
      </c>
      <c r="C62" s="21" t="s">
        <v>146</v>
      </c>
      <c r="D62" s="124" t="str">
        <f t="shared" si="2"/>
        <v>CONNECT2</v>
      </c>
      <c r="E62" s="80"/>
      <c r="F62" s="80"/>
      <c r="G62" s="80"/>
      <c r="H62" s="80"/>
      <c r="I62" s="108"/>
      <c r="J62" s="109" t="str">
        <f t="shared" si="3"/>
        <v/>
      </c>
      <c r="K62" s="110"/>
      <c r="L62" s="120">
        <f t="shared" si="4"/>
        <v>0</v>
      </c>
      <c r="M62" s="112" t="str">
        <f t="shared" si="5"/>
        <v/>
      </c>
      <c r="N62" s="113">
        <f t="shared" si="6"/>
        <v>0</v>
      </c>
      <c r="O62" s="113">
        <f t="shared" si="7"/>
        <v>0</v>
      </c>
      <c r="P62" s="114">
        <f t="shared" si="8"/>
        <v>0</v>
      </c>
      <c r="Q62" s="115">
        <f t="shared" si="9"/>
        <v>0</v>
      </c>
      <c r="R62" s="116"/>
      <c r="S62" s="116">
        <f t="shared" si="10"/>
        <v>1200000</v>
      </c>
    </row>
    <row r="63">
      <c r="A63" s="20">
        <f t="shared" si="1"/>
        <v>2</v>
      </c>
      <c r="B63" s="106">
        <v>44028.0</v>
      </c>
      <c r="C63" s="21" t="s">
        <v>152</v>
      </c>
      <c r="D63" s="124" t="str">
        <f t="shared" si="2"/>
        <v>RECTOR W.2</v>
      </c>
      <c r="E63" s="80"/>
      <c r="F63" s="80"/>
      <c r="G63" s="80"/>
      <c r="H63" s="80"/>
      <c r="I63" s="108"/>
      <c r="J63" s="109" t="str">
        <f t="shared" si="3"/>
        <v/>
      </c>
      <c r="K63" s="119">
        <v>567000.0</v>
      </c>
      <c r="L63" s="111">
        <f t="shared" si="4"/>
        <v>567000</v>
      </c>
      <c r="M63" s="112" t="str">
        <f t="shared" si="5"/>
        <v/>
      </c>
      <c r="N63" s="113">
        <f t="shared" si="6"/>
        <v>0</v>
      </c>
      <c r="O63" s="113">
        <f t="shared" si="7"/>
        <v>0</v>
      </c>
      <c r="P63" s="114">
        <f t="shared" si="8"/>
        <v>0</v>
      </c>
      <c r="Q63" s="115">
        <f t="shared" si="9"/>
        <v>0</v>
      </c>
      <c r="R63" s="116"/>
      <c r="S63" s="117">
        <f t="shared" si="10"/>
        <v>-443880</v>
      </c>
    </row>
    <row r="64">
      <c r="A64" s="20">
        <f t="shared" si="1"/>
        <v>3</v>
      </c>
      <c r="B64" s="106">
        <v>44028.0</v>
      </c>
      <c r="C64" s="21" t="s">
        <v>152</v>
      </c>
      <c r="D64" s="124" t="str">
        <f t="shared" si="2"/>
        <v>RECTOR W.3</v>
      </c>
      <c r="E64" s="80"/>
      <c r="F64" s="80"/>
      <c r="G64" s="80"/>
      <c r="H64" s="80"/>
      <c r="I64" s="108"/>
      <c r="J64" s="109" t="str">
        <f t="shared" si="3"/>
        <v/>
      </c>
      <c r="K64" s="119">
        <v>50000.0</v>
      </c>
      <c r="L64" s="111">
        <f t="shared" si="4"/>
        <v>50000</v>
      </c>
      <c r="M64" s="112" t="str">
        <f t="shared" si="5"/>
        <v/>
      </c>
      <c r="N64" s="113">
        <f t="shared" si="6"/>
        <v>0</v>
      </c>
      <c r="O64" s="113">
        <f t="shared" si="7"/>
        <v>0</v>
      </c>
      <c r="P64" s="114">
        <f t="shared" si="8"/>
        <v>0</v>
      </c>
      <c r="Q64" s="115">
        <f t="shared" si="9"/>
        <v>0</v>
      </c>
      <c r="R64" s="116"/>
      <c r="S64" s="117">
        <f t="shared" si="10"/>
        <v>-393880</v>
      </c>
    </row>
    <row r="65">
      <c r="A65" s="20">
        <f t="shared" si="1"/>
        <v>4</v>
      </c>
      <c r="B65" s="106">
        <v>44028.0</v>
      </c>
      <c r="C65" s="21" t="s">
        <v>152</v>
      </c>
      <c r="D65" s="124" t="str">
        <f t="shared" si="2"/>
        <v>RECTOR W.4</v>
      </c>
      <c r="E65" s="80"/>
      <c r="F65" s="80"/>
      <c r="G65" s="80"/>
      <c r="H65" s="80"/>
      <c r="I65" s="108"/>
      <c r="J65" s="109" t="str">
        <f t="shared" si="3"/>
        <v/>
      </c>
      <c r="K65" s="119">
        <v>30000.0</v>
      </c>
      <c r="L65" s="111">
        <f t="shared" si="4"/>
        <v>30000</v>
      </c>
      <c r="M65" s="112" t="str">
        <f t="shared" si="5"/>
        <v/>
      </c>
      <c r="N65" s="113">
        <f t="shared" si="6"/>
        <v>0</v>
      </c>
      <c r="O65" s="113">
        <f t="shared" si="7"/>
        <v>0</v>
      </c>
      <c r="P65" s="114">
        <f t="shared" si="8"/>
        <v>0</v>
      </c>
      <c r="Q65" s="115">
        <f t="shared" si="9"/>
        <v>0</v>
      </c>
      <c r="R65" s="116"/>
      <c r="S65" s="117">
        <f t="shared" si="10"/>
        <v>-363880</v>
      </c>
    </row>
    <row r="66">
      <c r="A66" s="20">
        <f t="shared" si="1"/>
        <v>5</v>
      </c>
      <c r="B66" s="106">
        <v>44028.0</v>
      </c>
      <c r="C66" s="21" t="s">
        <v>152</v>
      </c>
      <c r="D66" s="124" t="str">
        <f t="shared" si="2"/>
        <v>RECTOR W.5</v>
      </c>
      <c r="E66" s="80"/>
      <c r="F66" s="80"/>
      <c r="G66" s="80"/>
      <c r="H66" s="80"/>
      <c r="I66" s="108"/>
      <c r="J66" s="109" t="str">
        <f t="shared" si="3"/>
        <v/>
      </c>
      <c r="K66" s="119">
        <v>5000.0</v>
      </c>
      <c r="L66" s="111">
        <f t="shared" si="4"/>
        <v>5000</v>
      </c>
      <c r="M66" s="112" t="str">
        <f t="shared" si="5"/>
        <v/>
      </c>
      <c r="N66" s="113">
        <f t="shared" si="6"/>
        <v>0</v>
      </c>
      <c r="O66" s="113">
        <f t="shared" si="7"/>
        <v>0</v>
      </c>
      <c r="P66" s="114">
        <f t="shared" si="8"/>
        <v>0</v>
      </c>
      <c r="Q66" s="115">
        <f t="shared" si="9"/>
        <v>0</v>
      </c>
      <c r="R66" s="116"/>
      <c r="S66" s="117">
        <f t="shared" si="10"/>
        <v>-358880</v>
      </c>
    </row>
    <row r="67">
      <c r="A67" s="20">
        <f t="shared" si="1"/>
        <v>3</v>
      </c>
      <c r="B67" s="106">
        <v>44029.0</v>
      </c>
      <c r="C67" s="21" t="s">
        <v>141</v>
      </c>
      <c r="D67" s="124" t="str">
        <f t="shared" si="2"/>
        <v>CORNWELL3</v>
      </c>
      <c r="E67" s="80"/>
      <c r="F67" s="80"/>
      <c r="G67" s="80"/>
      <c r="H67" s="80"/>
      <c r="I67" s="108"/>
      <c r="J67" s="109" t="str">
        <f t="shared" si="3"/>
        <v/>
      </c>
      <c r="K67" s="119">
        <v>5000000.0</v>
      </c>
      <c r="L67" s="111">
        <f t="shared" si="4"/>
        <v>5000000</v>
      </c>
      <c r="M67" s="112" t="str">
        <f t="shared" si="5"/>
        <v/>
      </c>
      <c r="N67" s="113">
        <f t="shared" si="6"/>
        <v>0</v>
      </c>
      <c r="O67" s="113">
        <f t="shared" si="7"/>
        <v>0</v>
      </c>
      <c r="P67" s="114">
        <f t="shared" si="8"/>
        <v>0</v>
      </c>
      <c r="Q67" s="115">
        <f t="shared" si="9"/>
        <v>0</v>
      </c>
      <c r="R67" s="116"/>
      <c r="S67" s="117">
        <f t="shared" si="10"/>
        <v>10879440</v>
      </c>
    </row>
    <row r="68">
      <c r="A68" s="20">
        <f t="shared" si="1"/>
        <v>2</v>
      </c>
      <c r="B68" s="106">
        <v>44029.0</v>
      </c>
      <c r="C68" s="21" t="s">
        <v>126</v>
      </c>
      <c r="D68" s="124" t="str">
        <f t="shared" si="2"/>
        <v>NDOMA BODE I.D2</v>
      </c>
      <c r="E68" s="80"/>
      <c r="F68" s="80"/>
      <c r="G68" s="80"/>
      <c r="H68" s="80"/>
      <c r="I68" s="108"/>
      <c r="J68" s="109" t="str">
        <f t="shared" si="3"/>
        <v/>
      </c>
      <c r="K68" s="119">
        <v>200000.0</v>
      </c>
      <c r="L68" s="111">
        <f t="shared" si="4"/>
        <v>200000</v>
      </c>
      <c r="M68" s="112" t="str">
        <f t="shared" si="5"/>
        <v/>
      </c>
      <c r="N68" s="113">
        <f t="shared" si="6"/>
        <v>0</v>
      </c>
      <c r="O68" s="113">
        <f t="shared" si="7"/>
        <v>0</v>
      </c>
      <c r="P68" s="114">
        <f t="shared" si="8"/>
        <v>0</v>
      </c>
      <c r="Q68" s="115">
        <f t="shared" si="9"/>
        <v>0</v>
      </c>
      <c r="R68" s="116"/>
      <c r="S68" s="117">
        <f t="shared" si="10"/>
        <v>1000000</v>
      </c>
    </row>
    <row r="69">
      <c r="A69" s="20">
        <f t="shared" si="1"/>
        <v>3</v>
      </c>
      <c r="B69" s="106">
        <v>44029.0</v>
      </c>
      <c r="C69" s="21" t="s">
        <v>126</v>
      </c>
      <c r="D69" s="124" t="str">
        <f t="shared" si="2"/>
        <v>NDOMA BODE I.D3</v>
      </c>
      <c r="E69" s="80"/>
      <c r="F69" s="80"/>
      <c r="G69" s="80"/>
      <c r="H69" s="80"/>
      <c r="I69" s="108"/>
      <c r="J69" s="109" t="str">
        <f t="shared" si="3"/>
        <v/>
      </c>
      <c r="K69" s="119">
        <v>25550.0</v>
      </c>
      <c r="L69" s="111">
        <f t="shared" si="4"/>
        <v>25550</v>
      </c>
      <c r="M69" s="112" t="str">
        <f t="shared" si="5"/>
        <v/>
      </c>
      <c r="N69" s="113">
        <f t="shared" si="6"/>
        <v>0</v>
      </c>
      <c r="O69" s="113">
        <f t="shared" si="7"/>
        <v>0</v>
      </c>
      <c r="P69" s="114">
        <f t="shared" si="8"/>
        <v>0</v>
      </c>
      <c r="Q69" s="115">
        <f t="shared" si="9"/>
        <v>0</v>
      </c>
      <c r="R69" s="116"/>
      <c r="S69" s="117">
        <f t="shared" si="10"/>
        <v>1025550</v>
      </c>
    </row>
    <row r="70">
      <c r="A70" s="20">
        <f t="shared" si="1"/>
        <v>2</v>
      </c>
      <c r="B70" s="106">
        <v>44029.0</v>
      </c>
      <c r="C70" s="21" t="s">
        <v>150</v>
      </c>
      <c r="D70" s="124" t="str">
        <f t="shared" si="2"/>
        <v>LIVINUS2</v>
      </c>
      <c r="E70" s="80"/>
      <c r="F70" s="80"/>
      <c r="G70" s="80"/>
      <c r="H70" s="80"/>
      <c r="I70" s="108"/>
      <c r="J70" s="109" t="str">
        <f t="shared" si="3"/>
        <v/>
      </c>
      <c r="K70" s="119">
        <v>300000.0</v>
      </c>
      <c r="L70" s="111">
        <f t="shared" si="4"/>
        <v>300000</v>
      </c>
      <c r="M70" s="112" t="str">
        <f t="shared" si="5"/>
        <v/>
      </c>
      <c r="N70" s="113">
        <f t="shared" si="6"/>
        <v>0</v>
      </c>
      <c r="O70" s="113">
        <f t="shared" si="7"/>
        <v>0</v>
      </c>
      <c r="P70" s="114">
        <f t="shared" si="8"/>
        <v>0</v>
      </c>
      <c r="Q70" s="115">
        <f t="shared" si="9"/>
        <v>0</v>
      </c>
      <c r="R70" s="116"/>
      <c r="S70" s="117">
        <f t="shared" si="10"/>
        <v>540000</v>
      </c>
    </row>
    <row r="71">
      <c r="A71" s="20">
        <f t="shared" si="1"/>
        <v>3</v>
      </c>
      <c r="B71" s="106">
        <v>44030.0</v>
      </c>
      <c r="C71" s="21" t="s">
        <v>146</v>
      </c>
      <c r="D71" s="124" t="str">
        <f t="shared" si="2"/>
        <v>CONNECT3</v>
      </c>
      <c r="E71" s="93">
        <v>1916.0</v>
      </c>
      <c r="F71" s="93">
        <v>240.0</v>
      </c>
      <c r="G71" s="80"/>
      <c r="H71" s="93">
        <v>30.0</v>
      </c>
      <c r="I71" s="108"/>
      <c r="J71" s="126">
        <f t="shared" si="3"/>
        <v>780</v>
      </c>
      <c r="K71" s="110"/>
      <c r="L71" s="120">
        <f t="shared" si="4"/>
        <v>-1471080</v>
      </c>
      <c r="M71" s="127">
        <f t="shared" si="5"/>
        <v>8</v>
      </c>
      <c r="N71" s="113">
        <f t="shared" si="6"/>
        <v>0</v>
      </c>
      <c r="O71" s="113">
        <f t="shared" si="7"/>
        <v>29</v>
      </c>
      <c r="P71" s="114">
        <f t="shared" si="8"/>
        <v>59</v>
      </c>
      <c r="Q71" s="115">
        <f t="shared" si="9"/>
        <v>1886</v>
      </c>
      <c r="R71" s="117">
        <v>1471080.0</v>
      </c>
      <c r="S71" s="116">
        <f t="shared" si="10"/>
        <v>-271080</v>
      </c>
    </row>
    <row r="72">
      <c r="A72" s="20">
        <f t="shared" si="1"/>
        <v>2</v>
      </c>
      <c r="B72" s="106">
        <v>44030.0</v>
      </c>
      <c r="C72" s="21" t="s">
        <v>117</v>
      </c>
      <c r="D72" s="124" t="str">
        <f t="shared" si="2"/>
        <v>LYDIA HNSON 2</v>
      </c>
      <c r="E72" s="93">
        <v>223.0</v>
      </c>
      <c r="F72" s="93">
        <v>32.0</v>
      </c>
      <c r="G72" s="80"/>
      <c r="H72" s="93">
        <v>4.0</v>
      </c>
      <c r="I72" s="125">
        <v>0.0</v>
      </c>
      <c r="J72" s="126">
        <f t="shared" si="3"/>
        <v>780</v>
      </c>
      <c r="K72" s="128"/>
      <c r="L72" s="120">
        <f t="shared" si="4"/>
        <v>-170820</v>
      </c>
      <c r="M72" s="127">
        <f t="shared" si="5"/>
        <v>8</v>
      </c>
      <c r="N72" s="113">
        <f t="shared" si="6"/>
        <v>0</v>
      </c>
      <c r="O72" s="113">
        <f t="shared" si="7"/>
        <v>3</v>
      </c>
      <c r="P72" s="114">
        <f t="shared" si="8"/>
        <v>30</v>
      </c>
      <c r="Q72" s="115">
        <f t="shared" si="9"/>
        <v>219</v>
      </c>
      <c r="R72" s="117">
        <v>170820.0</v>
      </c>
      <c r="S72" s="116">
        <f t="shared" si="10"/>
        <v>2429180</v>
      </c>
    </row>
    <row r="73">
      <c r="A73" s="20">
        <f t="shared" si="1"/>
        <v>4</v>
      </c>
      <c r="B73" s="106">
        <v>44030.0</v>
      </c>
      <c r="C73" s="21" t="s">
        <v>126</v>
      </c>
      <c r="D73" s="124" t="str">
        <f t="shared" si="2"/>
        <v>NDOMA BODE I.D4</v>
      </c>
      <c r="E73" s="93">
        <v>1065.0</v>
      </c>
      <c r="F73" s="93">
        <v>140.0</v>
      </c>
      <c r="G73" s="80"/>
      <c r="H73" s="93">
        <v>17.0</v>
      </c>
      <c r="I73" s="108"/>
      <c r="J73" s="126">
        <f t="shared" si="3"/>
        <v>790</v>
      </c>
      <c r="K73" s="110"/>
      <c r="L73" s="120">
        <f t="shared" si="4"/>
        <v>-825550</v>
      </c>
      <c r="M73" s="127">
        <f t="shared" si="5"/>
        <v>8.24</v>
      </c>
      <c r="N73" s="113">
        <f t="shared" si="6"/>
        <v>3</v>
      </c>
      <c r="O73" s="113">
        <f t="shared" si="7"/>
        <v>16</v>
      </c>
      <c r="P73" s="114">
        <f t="shared" si="8"/>
        <v>37</v>
      </c>
      <c r="Q73" s="115">
        <f t="shared" si="9"/>
        <v>1045</v>
      </c>
      <c r="R73" s="117">
        <v>825550.0</v>
      </c>
      <c r="S73" s="116">
        <f t="shared" si="10"/>
        <v>200000</v>
      </c>
    </row>
    <row r="74">
      <c r="A74" s="20">
        <f t="shared" si="1"/>
        <v>3</v>
      </c>
      <c r="B74" s="106">
        <v>44030.0</v>
      </c>
      <c r="C74" s="21" t="s">
        <v>150</v>
      </c>
      <c r="D74" s="124" t="str">
        <f t="shared" si="2"/>
        <v>LIVINUS3</v>
      </c>
      <c r="E74" s="93">
        <v>854.0</v>
      </c>
      <c r="F74" s="93">
        <v>112.5</v>
      </c>
      <c r="G74" s="80"/>
      <c r="H74" s="93">
        <v>13.0</v>
      </c>
      <c r="I74" s="108"/>
      <c r="J74" s="126">
        <f t="shared" si="3"/>
        <v>780</v>
      </c>
      <c r="K74" s="110"/>
      <c r="L74" s="120">
        <f t="shared" si="4"/>
        <v>-652080</v>
      </c>
      <c r="M74" s="127">
        <f t="shared" si="5"/>
        <v>8.65</v>
      </c>
      <c r="N74" s="113">
        <f t="shared" si="6"/>
        <v>5</v>
      </c>
      <c r="O74" s="113">
        <f t="shared" si="7"/>
        <v>13</v>
      </c>
      <c r="P74" s="114">
        <f t="shared" si="8"/>
        <v>17</v>
      </c>
      <c r="Q74" s="115">
        <f t="shared" si="9"/>
        <v>836</v>
      </c>
      <c r="R74" s="117">
        <v>652080.0</v>
      </c>
      <c r="S74" s="116">
        <f t="shared" si="10"/>
        <v>-112080</v>
      </c>
    </row>
    <row r="75">
      <c r="A75" s="20">
        <f t="shared" si="1"/>
        <v>4</v>
      </c>
      <c r="B75" s="106">
        <v>44030.0</v>
      </c>
      <c r="C75" s="21" t="s">
        <v>146</v>
      </c>
      <c r="D75" s="124" t="str">
        <f t="shared" si="2"/>
        <v>CONNECT4</v>
      </c>
      <c r="E75" s="80"/>
      <c r="F75" s="80"/>
      <c r="G75" s="80"/>
      <c r="H75" s="80"/>
      <c r="I75" s="108"/>
      <c r="J75" s="109" t="str">
        <f t="shared" si="3"/>
        <v/>
      </c>
      <c r="K75" s="119">
        <v>300000.0</v>
      </c>
      <c r="L75" s="111">
        <f t="shared" si="4"/>
        <v>300000</v>
      </c>
      <c r="M75" s="112" t="str">
        <f t="shared" si="5"/>
        <v/>
      </c>
      <c r="N75" s="113">
        <f t="shared" si="6"/>
        <v>0</v>
      </c>
      <c r="O75" s="113">
        <f t="shared" si="7"/>
        <v>0</v>
      </c>
      <c r="P75" s="114">
        <f t="shared" si="8"/>
        <v>0</v>
      </c>
      <c r="Q75" s="115">
        <f t="shared" si="9"/>
        <v>0</v>
      </c>
      <c r="R75" s="116"/>
      <c r="S75" s="117">
        <f t="shared" si="10"/>
        <v>28920</v>
      </c>
    </row>
    <row r="76">
      <c r="A76" s="105">
        <f t="shared" si="1"/>
        <v>5</v>
      </c>
      <c r="B76" s="106">
        <v>44030.0</v>
      </c>
      <c r="C76" s="21" t="s">
        <v>146</v>
      </c>
      <c r="D76" s="107" t="str">
        <f t="shared" si="2"/>
        <v>CONNECT5</v>
      </c>
      <c r="E76" s="80"/>
      <c r="F76" s="80"/>
      <c r="G76" s="80"/>
      <c r="H76" s="80"/>
      <c r="I76" s="108"/>
      <c r="J76" s="109" t="str">
        <f t="shared" si="3"/>
        <v/>
      </c>
      <c r="K76" s="119">
        <v>800000.0</v>
      </c>
      <c r="L76" s="120">
        <f t="shared" si="4"/>
        <v>800000</v>
      </c>
      <c r="M76" s="112" t="str">
        <f t="shared" si="5"/>
        <v/>
      </c>
      <c r="N76" s="121">
        <f t="shared" si="6"/>
        <v>0</v>
      </c>
      <c r="O76" s="121">
        <f t="shared" si="7"/>
        <v>0</v>
      </c>
      <c r="P76" s="122">
        <f t="shared" si="8"/>
        <v>0</v>
      </c>
      <c r="Q76" s="123">
        <f t="shared" si="9"/>
        <v>0</v>
      </c>
      <c r="R76" s="116"/>
      <c r="S76" s="116">
        <f t="shared" si="10"/>
        <v>828920</v>
      </c>
    </row>
    <row r="77">
      <c r="A77" s="105">
        <f t="shared" si="1"/>
        <v>2</v>
      </c>
      <c r="B77" s="106">
        <v>44030.0</v>
      </c>
      <c r="C77" s="21" t="s">
        <v>25</v>
      </c>
      <c r="D77" s="107" t="str">
        <f t="shared" si="2"/>
        <v>KARIEN EBAN2</v>
      </c>
      <c r="E77" s="80"/>
      <c r="F77" s="80"/>
      <c r="G77" s="80"/>
      <c r="H77" s="80"/>
      <c r="I77" s="108"/>
      <c r="J77" s="109" t="str">
        <f t="shared" si="3"/>
        <v/>
      </c>
      <c r="K77" s="119">
        <v>100000.0</v>
      </c>
      <c r="L77" s="120">
        <f t="shared" si="4"/>
        <v>100000</v>
      </c>
      <c r="M77" s="112" t="str">
        <f t="shared" si="5"/>
        <v/>
      </c>
      <c r="N77" s="121">
        <f t="shared" si="6"/>
        <v>0</v>
      </c>
      <c r="O77" s="121">
        <f t="shared" si="7"/>
        <v>0</v>
      </c>
      <c r="P77" s="122">
        <f t="shared" si="8"/>
        <v>0</v>
      </c>
      <c r="Q77" s="123">
        <f t="shared" si="9"/>
        <v>0</v>
      </c>
      <c r="R77" s="116"/>
      <c r="S77" s="116">
        <f t="shared" si="10"/>
        <v>1600000</v>
      </c>
    </row>
    <row r="78">
      <c r="A78" s="105">
        <f t="shared" si="1"/>
        <v>1</v>
      </c>
      <c r="B78" s="106">
        <v>44030.0</v>
      </c>
      <c r="C78" s="21" t="s">
        <v>153</v>
      </c>
      <c r="D78" s="107" t="str">
        <f t="shared" si="2"/>
        <v>EDDY OKO1</v>
      </c>
      <c r="E78" s="80"/>
      <c r="F78" s="80"/>
      <c r="G78" s="80"/>
      <c r="H78" s="80"/>
      <c r="I78" s="108"/>
      <c r="J78" s="109" t="str">
        <f t="shared" si="3"/>
        <v/>
      </c>
      <c r="K78" s="119">
        <v>200000.0</v>
      </c>
      <c r="L78" s="120">
        <f t="shared" si="4"/>
        <v>200000</v>
      </c>
      <c r="M78" s="112" t="str">
        <f t="shared" si="5"/>
        <v/>
      </c>
      <c r="N78" s="121">
        <f t="shared" si="6"/>
        <v>0</v>
      </c>
      <c r="O78" s="121">
        <f t="shared" si="7"/>
        <v>0</v>
      </c>
      <c r="P78" s="122">
        <f t="shared" si="8"/>
        <v>0</v>
      </c>
      <c r="Q78" s="123">
        <f t="shared" si="9"/>
        <v>0</v>
      </c>
      <c r="R78" s="116"/>
      <c r="S78" s="116">
        <f t="shared" si="10"/>
        <v>200000</v>
      </c>
    </row>
    <row r="79">
      <c r="A79" s="105">
        <f t="shared" si="1"/>
        <v>3</v>
      </c>
      <c r="B79" s="106">
        <v>44030.0</v>
      </c>
      <c r="C79" s="21" t="s">
        <v>117</v>
      </c>
      <c r="D79" s="107" t="str">
        <f t="shared" si="2"/>
        <v>LYDIA HNSON 3</v>
      </c>
      <c r="E79" s="80"/>
      <c r="F79" s="80"/>
      <c r="G79" s="80"/>
      <c r="H79" s="80"/>
      <c r="I79" s="108"/>
      <c r="J79" s="109" t="str">
        <f t="shared" si="3"/>
        <v/>
      </c>
      <c r="K79" s="119">
        <v>100000.0</v>
      </c>
      <c r="L79" s="120">
        <f t="shared" si="4"/>
        <v>100000</v>
      </c>
      <c r="M79" s="112" t="str">
        <f t="shared" si="5"/>
        <v/>
      </c>
      <c r="N79" s="121">
        <f t="shared" si="6"/>
        <v>0</v>
      </c>
      <c r="O79" s="121">
        <f t="shared" si="7"/>
        <v>0</v>
      </c>
      <c r="P79" s="122">
        <f t="shared" si="8"/>
        <v>0</v>
      </c>
      <c r="Q79" s="123">
        <f t="shared" si="9"/>
        <v>0</v>
      </c>
      <c r="R79" s="116"/>
      <c r="S79" s="116">
        <f t="shared" si="10"/>
        <v>2529180</v>
      </c>
    </row>
    <row r="80">
      <c r="A80" s="105">
        <f t="shared" si="1"/>
        <v>4</v>
      </c>
      <c r="B80" s="106">
        <v>44030.0</v>
      </c>
      <c r="C80" s="21" t="s">
        <v>117</v>
      </c>
      <c r="D80" s="107" t="str">
        <f t="shared" si="2"/>
        <v>LYDIA HNSON 4</v>
      </c>
      <c r="E80" s="80"/>
      <c r="F80" s="80"/>
      <c r="G80" s="80"/>
      <c r="H80" s="80"/>
      <c r="I80" s="108"/>
      <c r="J80" s="109" t="str">
        <f t="shared" si="3"/>
        <v/>
      </c>
      <c r="K80" s="119">
        <v>500.0</v>
      </c>
      <c r="L80" s="120">
        <f t="shared" si="4"/>
        <v>500</v>
      </c>
      <c r="M80" s="112" t="str">
        <f t="shared" si="5"/>
        <v/>
      </c>
      <c r="N80" s="121">
        <f t="shared" si="6"/>
        <v>0</v>
      </c>
      <c r="O80" s="121">
        <f t="shared" si="7"/>
        <v>0</v>
      </c>
      <c r="P80" s="122">
        <f t="shared" si="8"/>
        <v>0</v>
      </c>
      <c r="Q80" s="123">
        <f t="shared" si="9"/>
        <v>0</v>
      </c>
      <c r="R80" s="116"/>
      <c r="S80" s="116">
        <f t="shared" si="10"/>
        <v>2529680</v>
      </c>
    </row>
    <row r="81">
      <c r="A81" s="105">
        <f t="shared" si="1"/>
        <v>2</v>
      </c>
      <c r="B81" s="106">
        <v>44030.0</v>
      </c>
      <c r="C81" s="21" t="s">
        <v>113</v>
      </c>
      <c r="D81" s="107" t="str">
        <f t="shared" si="2"/>
        <v> MAXWELL AGRO2</v>
      </c>
      <c r="E81" s="80"/>
      <c r="F81" s="80"/>
      <c r="G81" s="80"/>
      <c r="H81" s="80"/>
      <c r="I81" s="108"/>
      <c r="J81" s="109" t="str">
        <f t="shared" si="3"/>
        <v/>
      </c>
      <c r="K81" s="119">
        <v>100000.0</v>
      </c>
      <c r="L81" s="120">
        <f t="shared" si="4"/>
        <v>100000</v>
      </c>
      <c r="M81" s="112" t="str">
        <f t="shared" si="5"/>
        <v/>
      </c>
      <c r="N81" s="121">
        <f t="shared" si="6"/>
        <v>0</v>
      </c>
      <c r="O81" s="121">
        <f t="shared" si="7"/>
        <v>0</v>
      </c>
      <c r="P81" s="122">
        <f t="shared" si="8"/>
        <v>0</v>
      </c>
      <c r="Q81" s="123">
        <f t="shared" si="9"/>
        <v>0</v>
      </c>
      <c r="R81" s="116"/>
      <c r="S81" s="116">
        <f t="shared" si="10"/>
        <v>400000</v>
      </c>
    </row>
    <row r="82">
      <c r="A82" s="20">
        <f t="shared" si="1"/>
        <v>2</v>
      </c>
      <c r="B82" s="106">
        <v>44032.0</v>
      </c>
      <c r="C82" s="21" t="s">
        <v>125</v>
      </c>
      <c r="D82" s="124" t="str">
        <f t="shared" si="2"/>
        <v>ANDRDEW GREAT2</v>
      </c>
      <c r="E82" s="93">
        <v>644.0</v>
      </c>
      <c r="F82" s="93">
        <v>92.5</v>
      </c>
      <c r="G82" s="80"/>
      <c r="H82" s="93">
        <v>10.0</v>
      </c>
      <c r="I82" s="108"/>
      <c r="J82" s="126">
        <f t="shared" si="3"/>
        <v>783.74</v>
      </c>
      <c r="K82" s="110"/>
      <c r="L82" s="120">
        <f t="shared" si="4"/>
        <v>-490620</v>
      </c>
      <c r="M82" s="127">
        <f t="shared" si="5"/>
        <v>9.25</v>
      </c>
      <c r="N82" s="113">
        <f t="shared" si="6"/>
        <v>8</v>
      </c>
      <c r="O82" s="113">
        <f t="shared" si="7"/>
        <v>9</v>
      </c>
      <c r="P82" s="114">
        <f t="shared" si="8"/>
        <v>59</v>
      </c>
      <c r="Q82" s="115">
        <f t="shared" si="9"/>
        <v>626</v>
      </c>
      <c r="R82" s="117">
        <v>490620.0</v>
      </c>
      <c r="S82" s="116">
        <f t="shared" si="10"/>
        <v>1026950</v>
      </c>
    </row>
    <row r="83">
      <c r="A83" s="20">
        <f t="shared" si="1"/>
        <v>3</v>
      </c>
      <c r="B83" s="106">
        <v>44032.0</v>
      </c>
      <c r="C83" s="21" t="s">
        <v>125</v>
      </c>
      <c r="D83" s="124" t="str">
        <f t="shared" si="2"/>
        <v>ANDRDEW GREAT3</v>
      </c>
      <c r="E83" s="80"/>
      <c r="F83" s="80"/>
      <c r="G83" s="80"/>
      <c r="H83" s="80"/>
      <c r="I83" s="108"/>
      <c r="J83" s="109" t="str">
        <f t="shared" si="3"/>
        <v/>
      </c>
      <c r="K83" s="119">
        <v>300000.0</v>
      </c>
      <c r="L83" s="111">
        <f t="shared" si="4"/>
        <v>300000</v>
      </c>
      <c r="M83" s="112" t="str">
        <f t="shared" si="5"/>
        <v/>
      </c>
      <c r="N83" s="113">
        <f t="shared" si="6"/>
        <v>0</v>
      </c>
      <c r="O83" s="113">
        <f t="shared" si="7"/>
        <v>0</v>
      </c>
      <c r="P83" s="114">
        <f t="shared" si="8"/>
        <v>0</v>
      </c>
      <c r="Q83" s="115">
        <f t="shared" si="9"/>
        <v>0</v>
      </c>
      <c r="R83" s="116"/>
      <c r="S83" s="117">
        <f t="shared" si="10"/>
        <v>1326950</v>
      </c>
    </row>
    <row r="84">
      <c r="A84" s="105">
        <f t="shared" si="1"/>
        <v>1</v>
      </c>
      <c r="B84" s="106">
        <v>44032.0</v>
      </c>
      <c r="C84" s="21" t="s">
        <v>154</v>
      </c>
      <c r="D84" s="107" t="str">
        <f t="shared" si="2"/>
        <v>MATIAT REINA1</v>
      </c>
      <c r="E84" s="80"/>
      <c r="F84" s="80"/>
      <c r="G84" s="80"/>
      <c r="H84" s="80"/>
      <c r="I84" s="108"/>
      <c r="J84" s="109" t="str">
        <f t="shared" si="3"/>
        <v/>
      </c>
      <c r="K84" s="119">
        <v>200000.0</v>
      </c>
      <c r="L84" s="120">
        <f t="shared" si="4"/>
        <v>200000</v>
      </c>
      <c r="M84" s="112" t="str">
        <f t="shared" si="5"/>
        <v/>
      </c>
      <c r="N84" s="121">
        <f t="shared" si="6"/>
        <v>0</v>
      </c>
      <c r="O84" s="121">
        <f t="shared" si="7"/>
        <v>0</v>
      </c>
      <c r="P84" s="122">
        <f t="shared" si="8"/>
        <v>0</v>
      </c>
      <c r="Q84" s="123">
        <f t="shared" si="9"/>
        <v>0</v>
      </c>
      <c r="R84" s="116"/>
      <c r="S84" s="116">
        <f t="shared" si="10"/>
        <v>200000</v>
      </c>
    </row>
    <row r="85">
      <c r="A85" s="105">
        <f t="shared" si="1"/>
        <v>1</v>
      </c>
      <c r="B85" s="106">
        <v>44032.0</v>
      </c>
      <c r="C85" s="21" t="s">
        <v>155</v>
      </c>
      <c r="D85" s="107" t="str">
        <f t="shared" si="2"/>
        <v>ASMAN1</v>
      </c>
      <c r="E85" s="80"/>
      <c r="F85" s="80"/>
      <c r="G85" s="80"/>
      <c r="H85" s="80"/>
      <c r="I85" s="108"/>
      <c r="J85" s="109" t="str">
        <f t="shared" si="3"/>
        <v/>
      </c>
      <c r="K85" s="119">
        <v>200000.0</v>
      </c>
      <c r="L85" s="120">
        <f t="shared" si="4"/>
        <v>200000</v>
      </c>
      <c r="M85" s="112" t="str">
        <f t="shared" si="5"/>
        <v/>
      </c>
      <c r="N85" s="121">
        <f t="shared" si="6"/>
        <v>0</v>
      </c>
      <c r="O85" s="121">
        <f t="shared" si="7"/>
        <v>0</v>
      </c>
      <c r="P85" s="122">
        <f t="shared" si="8"/>
        <v>0</v>
      </c>
      <c r="Q85" s="123">
        <f t="shared" si="9"/>
        <v>0</v>
      </c>
      <c r="R85" s="116"/>
      <c r="S85" s="116">
        <f t="shared" si="10"/>
        <v>200000</v>
      </c>
    </row>
    <row r="86">
      <c r="A86" s="105">
        <f t="shared" si="1"/>
        <v>2</v>
      </c>
      <c r="B86" s="106">
        <v>44032.0</v>
      </c>
      <c r="C86" s="21" t="s">
        <v>151</v>
      </c>
      <c r="D86" s="107" t="str">
        <f t="shared" si="2"/>
        <v>JAMES AKAN2</v>
      </c>
      <c r="E86" s="80"/>
      <c r="F86" s="80"/>
      <c r="G86" s="80"/>
      <c r="H86" s="80"/>
      <c r="I86" s="108"/>
      <c r="J86" s="109" t="str">
        <f t="shared" si="3"/>
        <v/>
      </c>
      <c r="K86" s="119">
        <v>300000.0</v>
      </c>
      <c r="L86" s="120">
        <f t="shared" si="4"/>
        <v>300000</v>
      </c>
      <c r="M86" s="112" t="str">
        <f t="shared" si="5"/>
        <v/>
      </c>
      <c r="N86" s="121">
        <f t="shared" si="6"/>
        <v>0</v>
      </c>
      <c r="O86" s="121">
        <f t="shared" si="7"/>
        <v>0</v>
      </c>
      <c r="P86" s="122">
        <f t="shared" si="8"/>
        <v>0</v>
      </c>
      <c r="Q86" s="123">
        <f t="shared" si="9"/>
        <v>0</v>
      </c>
      <c r="R86" s="116"/>
      <c r="S86" s="116">
        <f t="shared" si="10"/>
        <v>545000</v>
      </c>
    </row>
    <row r="87">
      <c r="A87" s="105">
        <f t="shared" si="1"/>
        <v>5</v>
      </c>
      <c r="B87" s="106">
        <v>44032.0</v>
      </c>
      <c r="C87" s="21" t="s">
        <v>117</v>
      </c>
      <c r="D87" s="107" t="str">
        <f t="shared" si="2"/>
        <v>LYDIA HNSON 5</v>
      </c>
      <c r="E87" s="80"/>
      <c r="F87" s="80"/>
      <c r="G87" s="80"/>
      <c r="H87" s="80"/>
      <c r="I87" s="108"/>
      <c r="J87" s="109" t="str">
        <f t="shared" si="3"/>
        <v/>
      </c>
      <c r="K87" s="119">
        <v>300000.0</v>
      </c>
      <c r="L87" s="120">
        <f t="shared" si="4"/>
        <v>300000</v>
      </c>
      <c r="M87" s="112" t="str">
        <f t="shared" si="5"/>
        <v/>
      </c>
      <c r="N87" s="121">
        <f t="shared" si="6"/>
        <v>0</v>
      </c>
      <c r="O87" s="121">
        <f t="shared" si="7"/>
        <v>0</v>
      </c>
      <c r="P87" s="122">
        <f t="shared" si="8"/>
        <v>0</v>
      </c>
      <c r="Q87" s="123">
        <f t="shared" si="9"/>
        <v>0</v>
      </c>
      <c r="R87" s="116"/>
      <c r="S87" s="116">
        <f t="shared" si="10"/>
        <v>2829680</v>
      </c>
    </row>
    <row r="88">
      <c r="A88" s="105">
        <f t="shared" si="1"/>
        <v>3</v>
      </c>
      <c r="B88" s="106">
        <v>44032.0</v>
      </c>
      <c r="C88" s="21" t="s">
        <v>113</v>
      </c>
      <c r="D88" s="107" t="str">
        <f t="shared" si="2"/>
        <v> MAXWELL AGRO3</v>
      </c>
      <c r="E88" s="80"/>
      <c r="F88" s="80"/>
      <c r="G88" s="80"/>
      <c r="H88" s="80"/>
      <c r="I88" s="108"/>
      <c r="J88" s="109" t="str">
        <f t="shared" si="3"/>
        <v/>
      </c>
      <c r="K88" s="119">
        <v>140000.0</v>
      </c>
      <c r="L88" s="120">
        <f t="shared" si="4"/>
        <v>140000</v>
      </c>
      <c r="M88" s="112" t="str">
        <f t="shared" si="5"/>
        <v/>
      </c>
      <c r="N88" s="121">
        <f t="shared" si="6"/>
        <v>0</v>
      </c>
      <c r="O88" s="121">
        <f t="shared" si="7"/>
        <v>0</v>
      </c>
      <c r="P88" s="122">
        <f t="shared" si="8"/>
        <v>0</v>
      </c>
      <c r="Q88" s="123">
        <f t="shared" si="9"/>
        <v>0</v>
      </c>
      <c r="R88" s="116"/>
      <c r="S88" s="116">
        <f t="shared" si="10"/>
        <v>540000</v>
      </c>
    </row>
    <row r="89">
      <c r="A89" s="20">
        <f t="shared" si="1"/>
        <v>4</v>
      </c>
      <c r="B89" s="106">
        <v>44033.0</v>
      </c>
      <c r="C89" s="21" t="s">
        <v>150</v>
      </c>
      <c r="D89" s="124" t="str">
        <f t="shared" si="2"/>
        <v>LIVINUS4</v>
      </c>
      <c r="E89" s="93">
        <v>1166.0</v>
      </c>
      <c r="F89" s="93">
        <v>173.0</v>
      </c>
      <c r="G89" s="80"/>
      <c r="H89" s="93">
        <v>19.0</v>
      </c>
      <c r="I89" s="108"/>
      <c r="J89" s="126">
        <f t="shared" si="3"/>
        <v>780</v>
      </c>
      <c r="K89" s="110"/>
      <c r="L89" s="120">
        <f t="shared" si="4"/>
        <v>-884520</v>
      </c>
      <c r="M89" s="127">
        <f t="shared" si="5"/>
        <v>9.11</v>
      </c>
      <c r="N89" s="113">
        <f t="shared" si="6"/>
        <v>13</v>
      </c>
      <c r="O89" s="113">
        <f t="shared" si="7"/>
        <v>18</v>
      </c>
      <c r="P89" s="114">
        <f t="shared" si="8"/>
        <v>0</v>
      </c>
      <c r="Q89" s="115">
        <f t="shared" si="9"/>
        <v>1134</v>
      </c>
      <c r="R89" s="117">
        <v>884520.0</v>
      </c>
      <c r="S89" s="116">
        <f t="shared" si="10"/>
        <v>-996600</v>
      </c>
    </row>
    <row r="90">
      <c r="A90" s="20">
        <f t="shared" si="1"/>
        <v>4</v>
      </c>
      <c r="B90" s="106">
        <v>44030.0</v>
      </c>
      <c r="C90" s="21" t="s">
        <v>113</v>
      </c>
      <c r="D90" s="124" t="str">
        <f t="shared" si="2"/>
        <v> MAXWELL AGRO4</v>
      </c>
      <c r="E90" s="93">
        <v>387.0</v>
      </c>
      <c r="F90" s="93">
        <v>48.0</v>
      </c>
      <c r="G90" s="80"/>
      <c r="H90" s="93">
        <v>6.0</v>
      </c>
      <c r="I90" s="108"/>
      <c r="J90" s="126">
        <f t="shared" si="3"/>
        <v>780</v>
      </c>
      <c r="K90" s="110"/>
      <c r="L90" s="120">
        <f t="shared" si="4"/>
        <v>-297180</v>
      </c>
      <c r="M90" s="127">
        <f t="shared" si="5"/>
        <v>8</v>
      </c>
      <c r="N90" s="113">
        <f t="shared" si="6"/>
        <v>0</v>
      </c>
      <c r="O90" s="113">
        <f t="shared" si="7"/>
        <v>6</v>
      </c>
      <c r="P90" s="114">
        <f t="shared" si="8"/>
        <v>2</v>
      </c>
      <c r="Q90" s="115">
        <f t="shared" si="9"/>
        <v>381</v>
      </c>
      <c r="R90" s="117">
        <v>297180.0</v>
      </c>
      <c r="S90" s="116">
        <f t="shared" si="10"/>
        <v>242820</v>
      </c>
    </row>
    <row r="91">
      <c r="A91" s="20">
        <f t="shared" si="1"/>
        <v>6</v>
      </c>
      <c r="B91" s="106">
        <v>44033.0</v>
      </c>
      <c r="C91" s="21" t="s">
        <v>117</v>
      </c>
      <c r="D91" s="124" t="str">
        <f t="shared" si="2"/>
        <v>LYDIA HNSON 6</v>
      </c>
      <c r="E91" s="93"/>
      <c r="F91" s="93"/>
      <c r="G91" s="80"/>
      <c r="H91" s="93"/>
      <c r="I91" s="108"/>
      <c r="J91" s="126" t="str">
        <f t="shared" si="3"/>
        <v/>
      </c>
      <c r="K91" s="119">
        <v>50000.0</v>
      </c>
      <c r="L91" s="111">
        <f t="shared" si="4"/>
        <v>50000</v>
      </c>
      <c r="M91" s="127" t="str">
        <f t="shared" si="5"/>
        <v/>
      </c>
      <c r="N91" s="113">
        <f t="shared" si="6"/>
        <v>0</v>
      </c>
      <c r="O91" s="113">
        <f t="shared" si="7"/>
        <v>0</v>
      </c>
      <c r="P91" s="114">
        <f t="shared" si="8"/>
        <v>0</v>
      </c>
      <c r="Q91" s="115">
        <f t="shared" si="9"/>
        <v>0</v>
      </c>
      <c r="R91" s="117"/>
      <c r="S91" s="117">
        <f t="shared" si="10"/>
        <v>2879680</v>
      </c>
    </row>
    <row r="92">
      <c r="A92" s="20">
        <f t="shared" si="1"/>
        <v>2</v>
      </c>
      <c r="B92" s="106">
        <v>44033.0</v>
      </c>
      <c r="C92" s="21" t="s">
        <v>109</v>
      </c>
      <c r="D92" s="124" t="str">
        <f t="shared" si="2"/>
        <v>OTU KOKO KEIBO2</v>
      </c>
      <c r="E92" s="93"/>
      <c r="F92" s="93"/>
      <c r="G92" s="80"/>
      <c r="H92" s="93"/>
      <c r="I92" s="108"/>
      <c r="J92" s="126" t="str">
        <f t="shared" si="3"/>
        <v/>
      </c>
      <c r="K92" s="119">
        <v>2.3E7</v>
      </c>
      <c r="L92" s="111">
        <f t="shared" si="4"/>
        <v>23000000</v>
      </c>
      <c r="M92" s="127" t="str">
        <f t="shared" si="5"/>
        <v/>
      </c>
      <c r="N92" s="113">
        <f t="shared" si="6"/>
        <v>0</v>
      </c>
      <c r="O92" s="113">
        <f t="shared" si="7"/>
        <v>0</v>
      </c>
      <c r="P92" s="114">
        <f t="shared" si="8"/>
        <v>0</v>
      </c>
      <c r="Q92" s="115">
        <f t="shared" si="9"/>
        <v>0</v>
      </c>
      <c r="R92" s="117"/>
      <c r="S92" s="117">
        <f t="shared" si="10"/>
        <v>25399925</v>
      </c>
    </row>
    <row r="93">
      <c r="A93" s="20">
        <f t="shared" si="1"/>
        <v>5</v>
      </c>
      <c r="B93" s="106">
        <v>44033.0</v>
      </c>
      <c r="C93" s="21" t="s">
        <v>150</v>
      </c>
      <c r="D93" s="124" t="str">
        <f t="shared" si="2"/>
        <v>LIVINUS5</v>
      </c>
      <c r="E93" s="93"/>
      <c r="F93" s="93"/>
      <c r="G93" s="80"/>
      <c r="H93" s="93"/>
      <c r="I93" s="108"/>
      <c r="J93" s="126" t="str">
        <f t="shared" si="3"/>
        <v/>
      </c>
      <c r="K93" s="119">
        <v>1680000.0</v>
      </c>
      <c r="L93" s="111">
        <f t="shared" si="4"/>
        <v>1680000</v>
      </c>
      <c r="M93" s="127" t="str">
        <f t="shared" si="5"/>
        <v/>
      </c>
      <c r="N93" s="113">
        <f t="shared" si="6"/>
        <v>0</v>
      </c>
      <c r="O93" s="113">
        <f t="shared" si="7"/>
        <v>0</v>
      </c>
      <c r="P93" s="114">
        <f t="shared" si="8"/>
        <v>0</v>
      </c>
      <c r="Q93" s="115">
        <f t="shared" si="9"/>
        <v>0</v>
      </c>
      <c r="R93" s="117"/>
      <c r="S93" s="117">
        <f t="shared" si="10"/>
        <v>683400</v>
      </c>
    </row>
    <row r="94">
      <c r="A94" s="20">
        <f t="shared" si="1"/>
        <v>1</v>
      </c>
      <c r="B94" s="106">
        <v>44033.0</v>
      </c>
      <c r="C94" s="21" t="s">
        <v>156</v>
      </c>
      <c r="D94" s="124" t="str">
        <f t="shared" si="2"/>
        <v>NDOMA PETER1</v>
      </c>
      <c r="E94" s="93"/>
      <c r="F94" s="93"/>
      <c r="G94" s="80"/>
      <c r="H94" s="93"/>
      <c r="I94" s="108"/>
      <c r="J94" s="126" t="str">
        <f t="shared" si="3"/>
        <v/>
      </c>
      <c r="K94" s="119">
        <v>400000.0</v>
      </c>
      <c r="L94" s="111">
        <f t="shared" si="4"/>
        <v>400000</v>
      </c>
      <c r="M94" s="127" t="str">
        <f t="shared" si="5"/>
        <v/>
      </c>
      <c r="N94" s="113">
        <f t="shared" si="6"/>
        <v>0</v>
      </c>
      <c r="O94" s="113">
        <f t="shared" si="7"/>
        <v>0</v>
      </c>
      <c r="P94" s="114">
        <f t="shared" si="8"/>
        <v>0</v>
      </c>
      <c r="Q94" s="115">
        <f t="shared" si="9"/>
        <v>0</v>
      </c>
      <c r="R94" s="117"/>
      <c r="S94" s="117">
        <f t="shared" si="10"/>
        <v>400000</v>
      </c>
    </row>
    <row r="95">
      <c r="A95" s="20">
        <f t="shared" si="1"/>
        <v>3</v>
      </c>
      <c r="B95" s="106">
        <v>44032.0</v>
      </c>
      <c r="C95" s="21" t="s">
        <v>151</v>
      </c>
      <c r="D95" s="124" t="str">
        <f t="shared" si="2"/>
        <v>JAMES AKAN3</v>
      </c>
      <c r="E95" s="93"/>
      <c r="F95" s="93"/>
      <c r="G95" s="80"/>
      <c r="H95" s="93"/>
      <c r="I95" s="108"/>
      <c r="J95" s="126" t="str">
        <f t="shared" si="3"/>
        <v/>
      </c>
      <c r="K95" s="119">
        <v>-145000.0</v>
      </c>
      <c r="L95" s="111">
        <f t="shared" si="4"/>
        <v>-145000</v>
      </c>
      <c r="M95" s="127" t="str">
        <f t="shared" si="5"/>
        <v/>
      </c>
      <c r="N95" s="113">
        <f t="shared" si="6"/>
        <v>0</v>
      </c>
      <c r="O95" s="113">
        <f t="shared" si="7"/>
        <v>0</v>
      </c>
      <c r="P95" s="114">
        <f t="shared" si="8"/>
        <v>0</v>
      </c>
      <c r="Q95" s="115">
        <f t="shared" si="9"/>
        <v>0</v>
      </c>
      <c r="R95" s="117"/>
      <c r="S95" s="117">
        <f t="shared" si="10"/>
        <v>400000</v>
      </c>
    </row>
    <row r="96">
      <c r="A96" s="20">
        <f t="shared" si="1"/>
        <v>2</v>
      </c>
      <c r="B96" s="106">
        <v>44029.0</v>
      </c>
      <c r="C96" s="21" t="s">
        <v>147</v>
      </c>
      <c r="D96" s="124" t="str">
        <f t="shared" si="2"/>
        <v>ZULU &amp; NDOMA2</v>
      </c>
      <c r="E96" s="93"/>
      <c r="F96" s="93"/>
      <c r="G96" s="80"/>
      <c r="H96" s="93"/>
      <c r="I96" s="108"/>
      <c r="J96" s="126" t="str">
        <f t="shared" si="3"/>
        <v/>
      </c>
      <c r="K96" s="119">
        <v>29000.0</v>
      </c>
      <c r="L96" s="111">
        <f t="shared" si="4"/>
        <v>29000</v>
      </c>
      <c r="M96" s="127" t="str">
        <f t="shared" si="5"/>
        <v/>
      </c>
      <c r="N96" s="113">
        <f t="shared" si="6"/>
        <v>0</v>
      </c>
      <c r="O96" s="113">
        <f t="shared" si="7"/>
        <v>0</v>
      </c>
      <c r="P96" s="114">
        <f t="shared" si="8"/>
        <v>0</v>
      </c>
      <c r="Q96" s="115">
        <f t="shared" si="9"/>
        <v>0</v>
      </c>
      <c r="R96" s="117"/>
      <c r="S96" s="117">
        <f t="shared" si="10"/>
        <v>194400</v>
      </c>
    </row>
    <row r="97">
      <c r="A97" s="20">
        <f t="shared" si="1"/>
        <v>6</v>
      </c>
      <c r="B97" s="106">
        <v>44030.0</v>
      </c>
      <c r="C97" s="21" t="s">
        <v>150</v>
      </c>
      <c r="D97" s="124" t="str">
        <f t="shared" si="2"/>
        <v>LIVINUS6</v>
      </c>
      <c r="E97" s="93"/>
      <c r="F97" s="93"/>
      <c r="G97" s="80"/>
      <c r="H97" s="93"/>
      <c r="I97" s="108"/>
      <c r="J97" s="126" t="str">
        <f t="shared" si="3"/>
        <v/>
      </c>
      <c r="K97" s="119">
        <v>112080.0</v>
      </c>
      <c r="L97" s="111">
        <f t="shared" si="4"/>
        <v>112080</v>
      </c>
      <c r="M97" s="127" t="str">
        <f t="shared" si="5"/>
        <v/>
      </c>
      <c r="N97" s="113">
        <f t="shared" si="6"/>
        <v>0</v>
      </c>
      <c r="O97" s="113">
        <f t="shared" si="7"/>
        <v>0</v>
      </c>
      <c r="P97" s="114">
        <f t="shared" si="8"/>
        <v>0</v>
      </c>
      <c r="Q97" s="115">
        <f t="shared" si="9"/>
        <v>0</v>
      </c>
      <c r="R97" s="117"/>
      <c r="S97" s="117">
        <f t="shared" si="10"/>
        <v>795480</v>
      </c>
    </row>
    <row r="98">
      <c r="A98" s="20">
        <f t="shared" si="1"/>
        <v>7</v>
      </c>
      <c r="B98" s="106">
        <v>44033.0</v>
      </c>
      <c r="C98" s="21" t="s">
        <v>150</v>
      </c>
      <c r="D98" s="124" t="str">
        <f t="shared" si="2"/>
        <v>LIVINUS7</v>
      </c>
      <c r="E98" s="93"/>
      <c r="F98" s="93"/>
      <c r="G98" s="80"/>
      <c r="H98" s="93"/>
      <c r="I98" s="108"/>
      <c r="J98" s="126" t="str">
        <f t="shared" si="3"/>
        <v/>
      </c>
      <c r="K98" s="119">
        <v>884520.0</v>
      </c>
      <c r="L98" s="111">
        <f t="shared" si="4"/>
        <v>884520</v>
      </c>
      <c r="M98" s="127" t="str">
        <f t="shared" si="5"/>
        <v/>
      </c>
      <c r="N98" s="113">
        <f t="shared" si="6"/>
        <v>0</v>
      </c>
      <c r="O98" s="113">
        <f t="shared" si="7"/>
        <v>0</v>
      </c>
      <c r="P98" s="114">
        <f t="shared" si="8"/>
        <v>0</v>
      </c>
      <c r="Q98" s="115">
        <f t="shared" si="9"/>
        <v>0</v>
      </c>
      <c r="R98" s="117"/>
      <c r="S98" s="117">
        <f t="shared" si="10"/>
        <v>1680000</v>
      </c>
    </row>
    <row r="99">
      <c r="A99" s="20">
        <f t="shared" si="1"/>
        <v>6</v>
      </c>
      <c r="B99" s="106">
        <v>44030.0</v>
      </c>
      <c r="C99" s="21" t="s">
        <v>146</v>
      </c>
      <c r="D99" s="124" t="str">
        <f t="shared" si="2"/>
        <v>CONNECT6</v>
      </c>
      <c r="E99" s="93"/>
      <c r="F99" s="93"/>
      <c r="G99" s="80"/>
      <c r="H99" s="93"/>
      <c r="I99" s="108"/>
      <c r="J99" s="126" t="str">
        <f t="shared" si="3"/>
        <v/>
      </c>
      <c r="K99" s="119">
        <v>-5000.0</v>
      </c>
      <c r="L99" s="111">
        <f t="shared" si="4"/>
        <v>-5000</v>
      </c>
      <c r="M99" s="127" t="str">
        <f t="shared" si="5"/>
        <v/>
      </c>
      <c r="N99" s="113">
        <f t="shared" si="6"/>
        <v>0</v>
      </c>
      <c r="O99" s="113">
        <f t="shared" si="7"/>
        <v>0</v>
      </c>
      <c r="P99" s="114">
        <f t="shared" si="8"/>
        <v>0</v>
      </c>
      <c r="Q99" s="115">
        <f t="shared" si="9"/>
        <v>0</v>
      </c>
      <c r="R99" s="117"/>
      <c r="S99" s="117">
        <f t="shared" si="10"/>
        <v>823920</v>
      </c>
    </row>
    <row r="100">
      <c r="A100" s="20">
        <f t="shared" si="1"/>
        <v>7</v>
      </c>
      <c r="B100" s="106">
        <v>44030.0</v>
      </c>
      <c r="C100" s="21" t="s">
        <v>146</v>
      </c>
      <c r="D100" s="124" t="str">
        <f t="shared" si="2"/>
        <v>CONNECT7</v>
      </c>
      <c r="E100" s="93"/>
      <c r="F100" s="93"/>
      <c r="G100" s="80"/>
      <c r="H100" s="93"/>
      <c r="I100" s="108"/>
      <c r="J100" s="126" t="str">
        <f t="shared" si="3"/>
        <v/>
      </c>
      <c r="K100" s="119">
        <v>-23920.0</v>
      </c>
      <c r="L100" s="111">
        <f t="shared" si="4"/>
        <v>-23920</v>
      </c>
      <c r="M100" s="127" t="str">
        <f t="shared" si="5"/>
        <v/>
      </c>
      <c r="N100" s="113">
        <f t="shared" si="6"/>
        <v>0</v>
      </c>
      <c r="O100" s="113">
        <f t="shared" si="7"/>
        <v>0</v>
      </c>
      <c r="P100" s="114">
        <f t="shared" si="8"/>
        <v>0</v>
      </c>
      <c r="Q100" s="115">
        <f t="shared" si="9"/>
        <v>0</v>
      </c>
      <c r="R100" s="117"/>
      <c r="S100" s="117">
        <f t="shared" si="10"/>
        <v>800000</v>
      </c>
    </row>
    <row r="101">
      <c r="A101" s="20">
        <f t="shared" si="1"/>
        <v>3</v>
      </c>
      <c r="B101" s="106">
        <v>44034.0</v>
      </c>
      <c r="C101" s="21" t="s">
        <v>147</v>
      </c>
      <c r="D101" s="124" t="str">
        <f t="shared" si="2"/>
        <v>ZULU &amp; NDOMA3</v>
      </c>
      <c r="E101" s="93"/>
      <c r="F101" s="93"/>
      <c r="G101" s="80"/>
      <c r="H101" s="93"/>
      <c r="I101" s="108"/>
      <c r="J101" s="126" t="str">
        <f t="shared" si="3"/>
        <v/>
      </c>
      <c r="K101" s="119">
        <v>9000.0</v>
      </c>
      <c r="L101" s="111">
        <f t="shared" si="4"/>
        <v>9000</v>
      </c>
      <c r="M101" s="127" t="str">
        <f t="shared" si="5"/>
        <v/>
      </c>
      <c r="N101" s="113">
        <f t="shared" si="6"/>
        <v>0</v>
      </c>
      <c r="O101" s="113">
        <f t="shared" si="7"/>
        <v>0</v>
      </c>
      <c r="P101" s="114">
        <f t="shared" si="8"/>
        <v>0</v>
      </c>
      <c r="Q101" s="115">
        <f t="shared" si="9"/>
        <v>0</v>
      </c>
      <c r="R101" s="117"/>
      <c r="S101" s="117">
        <f t="shared" si="10"/>
        <v>203400</v>
      </c>
    </row>
    <row r="102">
      <c r="A102" s="20">
        <f t="shared" si="1"/>
        <v>4</v>
      </c>
      <c r="B102" s="106">
        <v>44034.0</v>
      </c>
      <c r="C102" s="21" t="s">
        <v>141</v>
      </c>
      <c r="D102" s="124" t="str">
        <f t="shared" si="2"/>
        <v>CORNWELL4</v>
      </c>
      <c r="E102" s="93"/>
      <c r="F102" s="93"/>
      <c r="G102" s="80"/>
      <c r="H102" s="93"/>
      <c r="I102" s="108"/>
      <c r="J102" s="126" t="str">
        <f t="shared" si="3"/>
        <v/>
      </c>
      <c r="K102" s="119">
        <v>3725000.0</v>
      </c>
      <c r="L102" s="111">
        <f t="shared" si="4"/>
        <v>3725000</v>
      </c>
      <c r="M102" s="127" t="str">
        <f t="shared" si="5"/>
        <v/>
      </c>
      <c r="N102" s="113">
        <f t="shared" si="6"/>
        <v>0</v>
      </c>
      <c r="O102" s="113">
        <f t="shared" si="7"/>
        <v>0</v>
      </c>
      <c r="P102" s="114">
        <f t="shared" si="8"/>
        <v>0</v>
      </c>
      <c r="Q102" s="115">
        <f t="shared" si="9"/>
        <v>0</v>
      </c>
      <c r="R102" s="117"/>
      <c r="S102" s="117">
        <f t="shared" si="10"/>
        <v>14604440</v>
      </c>
    </row>
    <row r="103">
      <c r="A103" s="20">
        <f t="shared" si="1"/>
        <v>8</v>
      </c>
      <c r="B103" s="106">
        <v>44034.0</v>
      </c>
      <c r="C103" s="21" t="s">
        <v>146</v>
      </c>
      <c r="D103" s="124" t="str">
        <f t="shared" si="2"/>
        <v>CONNECT8</v>
      </c>
      <c r="E103" s="93"/>
      <c r="F103" s="93"/>
      <c r="G103" s="80"/>
      <c r="H103" s="93"/>
      <c r="I103" s="108"/>
      <c r="J103" s="126" t="str">
        <f t="shared" si="3"/>
        <v/>
      </c>
      <c r="K103" s="119">
        <v>700000.0</v>
      </c>
      <c r="L103" s="111">
        <f t="shared" si="4"/>
        <v>700000</v>
      </c>
      <c r="M103" s="127" t="str">
        <f t="shared" si="5"/>
        <v/>
      </c>
      <c r="N103" s="113">
        <f t="shared" si="6"/>
        <v>0</v>
      </c>
      <c r="O103" s="113">
        <f t="shared" si="7"/>
        <v>0</v>
      </c>
      <c r="P103" s="114">
        <f t="shared" si="8"/>
        <v>0</v>
      </c>
      <c r="Q103" s="115">
        <f t="shared" si="9"/>
        <v>0</v>
      </c>
      <c r="R103" s="117"/>
      <c r="S103" s="117">
        <f t="shared" si="10"/>
        <v>1500000</v>
      </c>
    </row>
    <row r="104">
      <c r="A104" s="20">
        <f t="shared" si="1"/>
        <v>4</v>
      </c>
      <c r="B104" s="106">
        <v>44034.0</v>
      </c>
      <c r="C104" s="21" t="s">
        <v>125</v>
      </c>
      <c r="D104" s="124" t="str">
        <f t="shared" si="2"/>
        <v>ANDRDEW GREAT4</v>
      </c>
      <c r="E104" s="93"/>
      <c r="F104" s="93"/>
      <c r="G104" s="80"/>
      <c r="H104" s="93"/>
      <c r="I104" s="108"/>
      <c r="J104" s="126" t="str">
        <f t="shared" si="3"/>
        <v/>
      </c>
      <c r="K104" s="119">
        <v>200000.0</v>
      </c>
      <c r="L104" s="111">
        <f t="shared" si="4"/>
        <v>200000</v>
      </c>
      <c r="M104" s="127" t="str">
        <f t="shared" si="5"/>
        <v/>
      </c>
      <c r="N104" s="113">
        <f t="shared" si="6"/>
        <v>0</v>
      </c>
      <c r="O104" s="113">
        <f t="shared" si="7"/>
        <v>0</v>
      </c>
      <c r="P104" s="114">
        <f t="shared" si="8"/>
        <v>0</v>
      </c>
      <c r="Q104" s="115">
        <f t="shared" si="9"/>
        <v>0</v>
      </c>
      <c r="R104" s="117"/>
      <c r="S104" s="117">
        <f t="shared" si="10"/>
        <v>1526950</v>
      </c>
    </row>
    <row r="105">
      <c r="A105" s="20">
        <f t="shared" si="1"/>
        <v>1</v>
      </c>
      <c r="B105" s="106">
        <v>44034.0</v>
      </c>
      <c r="C105" s="21" t="s">
        <v>157</v>
      </c>
      <c r="D105" s="124" t="str">
        <f t="shared" si="2"/>
        <v>ALFRED ALABI1</v>
      </c>
      <c r="E105" s="93"/>
      <c r="F105" s="93"/>
      <c r="G105" s="80"/>
      <c r="H105" s="93"/>
      <c r="I105" s="108"/>
      <c r="J105" s="126" t="str">
        <f t="shared" si="3"/>
        <v/>
      </c>
      <c r="K105" s="119">
        <v>480000.0</v>
      </c>
      <c r="L105" s="111">
        <f t="shared" si="4"/>
        <v>480000</v>
      </c>
      <c r="M105" s="127" t="str">
        <f t="shared" si="5"/>
        <v/>
      </c>
      <c r="N105" s="113">
        <f t="shared" si="6"/>
        <v>0</v>
      </c>
      <c r="O105" s="113">
        <f t="shared" si="7"/>
        <v>0</v>
      </c>
      <c r="P105" s="114">
        <f t="shared" si="8"/>
        <v>0</v>
      </c>
      <c r="Q105" s="115">
        <f t="shared" si="9"/>
        <v>0</v>
      </c>
      <c r="R105" s="117"/>
      <c r="S105" s="117">
        <f t="shared" si="10"/>
        <v>480000</v>
      </c>
    </row>
    <row r="106">
      <c r="A106" s="20">
        <f t="shared" si="1"/>
        <v>2</v>
      </c>
      <c r="B106" s="106">
        <v>44034.0</v>
      </c>
      <c r="C106" s="21" t="s">
        <v>98</v>
      </c>
      <c r="D106" s="124" t="str">
        <f t="shared" si="2"/>
        <v>EDWARD OKO2</v>
      </c>
      <c r="E106" s="93"/>
      <c r="F106" s="93"/>
      <c r="G106" s="80"/>
      <c r="H106" s="93"/>
      <c r="I106" s="108"/>
      <c r="J106" s="126" t="str">
        <f t="shared" si="3"/>
        <v/>
      </c>
      <c r="K106" s="119">
        <v>1000000.0</v>
      </c>
      <c r="L106" s="111">
        <f t="shared" si="4"/>
        <v>1000000</v>
      </c>
      <c r="M106" s="127" t="str">
        <f t="shared" si="5"/>
        <v/>
      </c>
      <c r="N106" s="113">
        <f t="shared" si="6"/>
        <v>0</v>
      </c>
      <c r="O106" s="113">
        <f t="shared" si="7"/>
        <v>0</v>
      </c>
      <c r="P106" s="114">
        <f t="shared" si="8"/>
        <v>0</v>
      </c>
      <c r="Q106" s="115">
        <f t="shared" si="9"/>
        <v>0</v>
      </c>
      <c r="R106" s="117"/>
      <c r="S106" s="117">
        <f t="shared" si="10"/>
        <v>1521000</v>
      </c>
    </row>
    <row r="107">
      <c r="A107" s="20">
        <f t="shared" si="1"/>
        <v>6</v>
      </c>
      <c r="B107" s="106">
        <v>44034.0</v>
      </c>
      <c r="C107" s="21" t="s">
        <v>152</v>
      </c>
      <c r="D107" s="124" t="str">
        <f t="shared" si="2"/>
        <v>RECTOR W.6</v>
      </c>
      <c r="E107" s="93"/>
      <c r="F107" s="93"/>
      <c r="G107" s="80"/>
      <c r="H107" s="93"/>
      <c r="I107" s="108"/>
      <c r="J107" s="126" t="str">
        <f t="shared" si="3"/>
        <v/>
      </c>
      <c r="K107" s="119">
        <v>2500000.0</v>
      </c>
      <c r="L107" s="111">
        <f t="shared" si="4"/>
        <v>2500000</v>
      </c>
      <c r="M107" s="127" t="str">
        <f t="shared" si="5"/>
        <v/>
      </c>
      <c r="N107" s="113">
        <f t="shared" si="6"/>
        <v>0</v>
      </c>
      <c r="O107" s="113">
        <f t="shared" si="7"/>
        <v>0</v>
      </c>
      <c r="P107" s="114">
        <f t="shared" si="8"/>
        <v>0</v>
      </c>
      <c r="Q107" s="115">
        <f t="shared" si="9"/>
        <v>0</v>
      </c>
      <c r="R107" s="117"/>
      <c r="S107" s="117">
        <f t="shared" si="10"/>
        <v>2141120</v>
      </c>
    </row>
    <row r="108">
      <c r="A108" s="20">
        <f t="shared" si="1"/>
        <v>5</v>
      </c>
      <c r="B108" s="106">
        <v>44034.0</v>
      </c>
      <c r="C108" s="21" t="s">
        <v>126</v>
      </c>
      <c r="D108" s="124" t="str">
        <f t="shared" si="2"/>
        <v>NDOMA BODE I.D5</v>
      </c>
      <c r="E108" s="93"/>
      <c r="F108" s="93"/>
      <c r="G108" s="80"/>
      <c r="H108" s="93"/>
      <c r="I108" s="108"/>
      <c r="J108" s="126" t="str">
        <f t="shared" si="3"/>
        <v/>
      </c>
      <c r="K108" s="119">
        <v>500000.0</v>
      </c>
      <c r="L108" s="111">
        <f t="shared" si="4"/>
        <v>500000</v>
      </c>
      <c r="M108" s="127" t="str">
        <f t="shared" si="5"/>
        <v/>
      </c>
      <c r="N108" s="113">
        <f t="shared" si="6"/>
        <v>0</v>
      </c>
      <c r="O108" s="113">
        <f t="shared" si="7"/>
        <v>0</v>
      </c>
      <c r="P108" s="114">
        <f t="shared" si="8"/>
        <v>0</v>
      </c>
      <c r="Q108" s="115">
        <f t="shared" si="9"/>
        <v>0</v>
      </c>
      <c r="R108" s="117"/>
      <c r="S108" s="117">
        <f t="shared" si="10"/>
        <v>700000</v>
      </c>
    </row>
    <row r="109">
      <c r="A109" s="20">
        <f t="shared" si="1"/>
        <v>1</v>
      </c>
      <c r="B109" s="106">
        <v>44034.0</v>
      </c>
      <c r="C109" s="21" t="s">
        <v>158</v>
      </c>
      <c r="D109" s="124" t="str">
        <f t="shared" si="2"/>
        <v>OBINNA CHIELO1</v>
      </c>
      <c r="E109" s="93"/>
      <c r="F109" s="93"/>
      <c r="G109" s="80"/>
      <c r="H109" s="93"/>
      <c r="I109" s="108"/>
      <c r="J109" s="126" t="str">
        <f t="shared" si="3"/>
        <v/>
      </c>
      <c r="K109" s="119">
        <v>480000.0</v>
      </c>
      <c r="L109" s="111">
        <f t="shared" si="4"/>
        <v>480000</v>
      </c>
      <c r="M109" s="127" t="str">
        <f t="shared" si="5"/>
        <v/>
      </c>
      <c r="N109" s="113">
        <f t="shared" si="6"/>
        <v>0</v>
      </c>
      <c r="O109" s="113">
        <f t="shared" si="7"/>
        <v>0</v>
      </c>
      <c r="P109" s="114">
        <f t="shared" si="8"/>
        <v>0</v>
      </c>
      <c r="Q109" s="115">
        <f t="shared" si="9"/>
        <v>0</v>
      </c>
      <c r="R109" s="117"/>
      <c r="S109" s="117">
        <f t="shared" si="10"/>
        <v>480000</v>
      </c>
    </row>
    <row r="110">
      <c r="A110" s="20">
        <f t="shared" si="1"/>
        <v>5</v>
      </c>
      <c r="B110" s="106">
        <v>44034.0</v>
      </c>
      <c r="C110" s="21" t="s">
        <v>113</v>
      </c>
      <c r="D110" s="124" t="str">
        <f t="shared" si="2"/>
        <v> MAXWELL AGRO5</v>
      </c>
      <c r="E110" s="93"/>
      <c r="F110" s="93"/>
      <c r="G110" s="80"/>
      <c r="H110" s="93"/>
      <c r="I110" s="108"/>
      <c r="J110" s="126" t="str">
        <f t="shared" si="3"/>
        <v/>
      </c>
      <c r="K110" s="119">
        <v>240000.0</v>
      </c>
      <c r="L110" s="111">
        <f t="shared" si="4"/>
        <v>240000</v>
      </c>
      <c r="M110" s="127" t="str">
        <f t="shared" si="5"/>
        <v/>
      </c>
      <c r="N110" s="113">
        <f t="shared" si="6"/>
        <v>0</v>
      </c>
      <c r="O110" s="113">
        <f t="shared" si="7"/>
        <v>0</v>
      </c>
      <c r="P110" s="114">
        <f t="shared" si="8"/>
        <v>0</v>
      </c>
      <c r="Q110" s="115">
        <f t="shared" si="9"/>
        <v>0</v>
      </c>
      <c r="R110" s="117"/>
      <c r="S110" s="117">
        <f t="shared" si="10"/>
        <v>482820</v>
      </c>
    </row>
    <row r="111">
      <c r="A111" s="20">
        <f t="shared" si="1"/>
        <v>1</v>
      </c>
      <c r="B111" s="106">
        <v>44034.0</v>
      </c>
      <c r="C111" s="21" t="s">
        <v>159</v>
      </c>
      <c r="D111" s="124" t="str">
        <f t="shared" si="2"/>
        <v>EMMANUEL OKO 1</v>
      </c>
      <c r="E111" s="93"/>
      <c r="F111" s="93"/>
      <c r="G111" s="80"/>
      <c r="H111" s="93"/>
      <c r="I111" s="108"/>
      <c r="J111" s="126" t="str">
        <f t="shared" si="3"/>
        <v/>
      </c>
      <c r="K111" s="119">
        <v>235000.0</v>
      </c>
      <c r="L111" s="111">
        <f t="shared" si="4"/>
        <v>235000</v>
      </c>
      <c r="M111" s="127" t="str">
        <f t="shared" si="5"/>
        <v/>
      </c>
      <c r="N111" s="113">
        <f t="shared" si="6"/>
        <v>0</v>
      </c>
      <c r="O111" s="113">
        <f t="shared" si="7"/>
        <v>0</v>
      </c>
      <c r="P111" s="114">
        <f t="shared" si="8"/>
        <v>0</v>
      </c>
      <c r="Q111" s="115">
        <f t="shared" si="9"/>
        <v>0</v>
      </c>
      <c r="R111" s="117"/>
      <c r="S111" s="117">
        <f t="shared" si="10"/>
        <v>235000</v>
      </c>
    </row>
    <row r="112">
      <c r="A112" s="20">
        <f t="shared" si="1"/>
        <v>2</v>
      </c>
      <c r="B112" s="106">
        <v>44034.0</v>
      </c>
      <c r="C112" s="21" t="s">
        <v>46</v>
      </c>
      <c r="D112" s="124" t="str">
        <f t="shared" si="2"/>
        <v>ETUK EFFI2</v>
      </c>
      <c r="E112" s="93"/>
      <c r="F112" s="93"/>
      <c r="G112" s="80"/>
      <c r="H112" s="93"/>
      <c r="I112" s="108"/>
      <c r="J112" s="126" t="str">
        <f t="shared" si="3"/>
        <v/>
      </c>
      <c r="K112" s="119">
        <v>500000.0</v>
      </c>
      <c r="L112" s="111">
        <f t="shared" si="4"/>
        <v>500000</v>
      </c>
      <c r="M112" s="127" t="str">
        <f t="shared" si="5"/>
        <v/>
      </c>
      <c r="N112" s="113">
        <f t="shared" si="6"/>
        <v>0</v>
      </c>
      <c r="O112" s="113">
        <f t="shared" si="7"/>
        <v>0</v>
      </c>
      <c r="P112" s="114">
        <f t="shared" si="8"/>
        <v>0</v>
      </c>
      <c r="Q112" s="115">
        <f t="shared" si="9"/>
        <v>0</v>
      </c>
      <c r="R112" s="117"/>
      <c r="S112" s="117">
        <f t="shared" si="10"/>
        <v>1200000</v>
      </c>
    </row>
    <row r="113">
      <c r="A113" s="20">
        <f t="shared" si="1"/>
        <v>7</v>
      </c>
      <c r="B113" s="106">
        <v>44034.0</v>
      </c>
      <c r="C113" s="21" t="s">
        <v>152</v>
      </c>
      <c r="D113" s="124" t="str">
        <f t="shared" si="2"/>
        <v>RECTOR W.7</v>
      </c>
      <c r="E113" s="93"/>
      <c r="F113" s="93"/>
      <c r="G113" s="80"/>
      <c r="H113" s="93"/>
      <c r="I113" s="108"/>
      <c r="J113" s="126" t="str">
        <f t="shared" si="3"/>
        <v/>
      </c>
      <c r="K113" s="119">
        <v>358880.0</v>
      </c>
      <c r="L113" s="111">
        <f t="shared" si="4"/>
        <v>358880</v>
      </c>
      <c r="M113" s="127" t="str">
        <f t="shared" si="5"/>
        <v/>
      </c>
      <c r="N113" s="113">
        <f t="shared" si="6"/>
        <v>0</v>
      </c>
      <c r="O113" s="113">
        <f t="shared" si="7"/>
        <v>0</v>
      </c>
      <c r="P113" s="114">
        <f t="shared" si="8"/>
        <v>0</v>
      </c>
      <c r="Q113" s="115">
        <f t="shared" si="9"/>
        <v>0</v>
      </c>
      <c r="R113" s="117"/>
      <c r="S113" s="117">
        <f t="shared" si="10"/>
        <v>2500000</v>
      </c>
    </row>
    <row r="114">
      <c r="A114" s="20">
        <f t="shared" si="1"/>
        <v>3</v>
      </c>
      <c r="B114" s="106">
        <v>44035.0</v>
      </c>
      <c r="C114" s="21" t="s">
        <v>109</v>
      </c>
      <c r="D114" s="124" t="str">
        <f t="shared" si="2"/>
        <v>OTU KOKO KEIBO3</v>
      </c>
      <c r="E114" s="93"/>
      <c r="F114" s="93"/>
      <c r="G114" s="80"/>
      <c r="H114" s="93"/>
      <c r="I114" s="108"/>
      <c r="J114" s="126" t="str">
        <f t="shared" si="3"/>
        <v/>
      </c>
      <c r="K114" s="119">
        <v>600000.0</v>
      </c>
      <c r="L114" s="111">
        <f t="shared" si="4"/>
        <v>600000</v>
      </c>
      <c r="M114" s="127" t="str">
        <f t="shared" si="5"/>
        <v/>
      </c>
      <c r="N114" s="113">
        <f t="shared" si="6"/>
        <v>0</v>
      </c>
      <c r="O114" s="113">
        <f t="shared" si="7"/>
        <v>0</v>
      </c>
      <c r="P114" s="114">
        <f t="shared" si="8"/>
        <v>0</v>
      </c>
      <c r="Q114" s="115">
        <f t="shared" si="9"/>
        <v>0</v>
      </c>
      <c r="R114" s="117"/>
      <c r="S114" s="117">
        <f t="shared" si="10"/>
        <v>25999925</v>
      </c>
    </row>
    <row r="115">
      <c r="A115" s="20">
        <f t="shared" si="1"/>
        <v>1</v>
      </c>
      <c r="B115" s="106">
        <v>44035.0</v>
      </c>
      <c r="C115" s="21" t="s">
        <v>160</v>
      </c>
      <c r="D115" s="124" t="str">
        <f t="shared" si="2"/>
        <v>REIMON ALABA1</v>
      </c>
      <c r="E115" s="93"/>
      <c r="F115" s="93"/>
      <c r="G115" s="80"/>
      <c r="H115" s="93"/>
      <c r="I115" s="108"/>
      <c r="J115" s="126" t="str">
        <f t="shared" si="3"/>
        <v/>
      </c>
      <c r="K115" s="119">
        <v>150000.0</v>
      </c>
      <c r="L115" s="111">
        <f t="shared" si="4"/>
        <v>150000</v>
      </c>
      <c r="M115" s="127" t="str">
        <f t="shared" si="5"/>
        <v/>
      </c>
      <c r="N115" s="113">
        <f t="shared" si="6"/>
        <v>0</v>
      </c>
      <c r="O115" s="113">
        <f t="shared" si="7"/>
        <v>0</v>
      </c>
      <c r="P115" s="114">
        <f t="shared" si="8"/>
        <v>0</v>
      </c>
      <c r="Q115" s="115">
        <f t="shared" si="9"/>
        <v>0</v>
      </c>
      <c r="R115" s="117"/>
      <c r="S115" s="117">
        <f t="shared" si="10"/>
        <v>150000</v>
      </c>
    </row>
    <row r="116">
      <c r="A116" s="20">
        <f t="shared" si="1"/>
        <v>7</v>
      </c>
      <c r="B116" s="106">
        <v>44036.0</v>
      </c>
      <c r="C116" s="21" t="s">
        <v>117</v>
      </c>
      <c r="D116" s="124" t="str">
        <f t="shared" si="2"/>
        <v>LYDIA HNSON 7</v>
      </c>
      <c r="E116" s="93"/>
      <c r="F116" s="93"/>
      <c r="G116" s="80"/>
      <c r="H116" s="93"/>
      <c r="I116" s="108"/>
      <c r="J116" s="126" t="str">
        <f t="shared" si="3"/>
        <v/>
      </c>
      <c r="K116" s="119">
        <v>500000.0</v>
      </c>
      <c r="L116" s="111">
        <f t="shared" si="4"/>
        <v>500000</v>
      </c>
      <c r="M116" s="127" t="str">
        <f t="shared" si="5"/>
        <v/>
      </c>
      <c r="N116" s="113">
        <f t="shared" si="6"/>
        <v>0</v>
      </c>
      <c r="O116" s="113">
        <f t="shared" si="7"/>
        <v>0</v>
      </c>
      <c r="P116" s="114">
        <f t="shared" si="8"/>
        <v>0</v>
      </c>
      <c r="Q116" s="115">
        <f t="shared" si="9"/>
        <v>0</v>
      </c>
      <c r="R116" s="117"/>
      <c r="S116" s="117">
        <f t="shared" si="10"/>
        <v>3379680</v>
      </c>
    </row>
    <row r="117">
      <c r="A117" s="20">
        <f t="shared" si="1"/>
        <v>3</v>
      </c>
      <c r="B117" s="106">
        <v>44037.0</v>
      </c>
      <c r="C117" s="21" t="s">
        <v>46</v>
      </c>
      <c r="D117" s="124" t="str">
        <f t="shared" si="2"/>
        <v>ETUK EFFI3</v>
      </c>
      <c r="E117" s="93">
        <v>1372.0</v>
      </c>
      <c r="F117" s="93">
        <v>182.5</v>
      </c>
      <c r="G117" s="93">
        <v>0.0</v>
      </c>
      <c r="H117" s="93">
        <v>21.0</v>
      </c>
      <c r="I117" s="125">
        <v>21.0</v>
      </c>
      <c r="J117" s="126">
        <f t="shared" si="3"/>
        <v>780</v>
      </c>
      <c r="K117" s="119"/>
      <c r="L117" s="111">
        <f t="shared" si="4"/>
        <v>-1063140</v>
      </c>
      <c r="M117" s="127">
        <f t="shared" si="5"/>
        <v>8.69</v>
      </c>
      <c r="N117" s="113">
        <f t="shared" si="6"/>
        <v>9</v>
      </c>
      <c r="O117" s="113">
        <f t="shared" si="7"/>
        <v>21</v>
      </c>
      <c r="P117" s="114">
        <f t="shared" si="8"/>
        <v>40</v>
      </c>
      <c r="Q117" s="115">
        <f t="shared" si="9"/>
        <v>1363</v>
      </c>
      <c r="R117" s="117">
        <v>1063140.0</v>
      </c>
      <c r="S117" s="117">
        <f t="shared" si="10"/>
        <v>136860</v>
      </c>
    </row>
    <row r="118">
      <c r="A118" s="20">
        <f t="shared" si="1"/>
        <v>1</v>
      </c>
      <c r="B118" s="106">
        <v>44039.0</v>
      </c>
      <c r="C118" s="21" t="s">
        <v>161</v>
      </c>
      <c r="D118" s="124" t="str">
        <f t="shared" si="2"/>
        <v>MATIAT LOVE1</v>
      </c>
      <c r="E118" s="93"/>
      <c r="F118" s="93"/>
      <c r="G118" s="93"/>
      <c r="H118" s="93"/>
      <c r="I118" s="125"/>
      <c r="J118" s="126" t="str">
        <f t="shared" si="3"/>
        <v/>
      </c>
      <c r="K118" s="119">
        <v>50000.0</v>
      </c>
      <c r="L118" s="111">
        <f t="shared" si="4"/>
        <v>50000</v>
      </c>
      <c r="M118" s="127" t="str">
        <f t="shared" si="5"/>
        <v/>
      </c>
      <c r="N118" s="113">
        <f t="shared" si="6"/>
        <v>0</v>
      </c>
      <c r="O118" s="113">
        <f t="shared" si="7"/>
        <v>0</v>
      </c>
      <c r="P118" s="114">
        <f t="shared" si="8"/>
        <v>0</v>
      </c>
      <c r="Q118" s="115">
        <f t="shared" si="9"/>
        <v>0</v>
      </c>
      <c r="R118" s="117"/>
      <c r="S118" s="117">
        <f t="shared" si="10"/>
        <v>50000</v>
      </c>
    </row>
    <row r="119">
      <c r="A119" s="20">
        <f t="shared" si="1"/>
        <v>2</v>
      </c>
      <c r="B119" s="106">
        <v>44039.0</v>
      </c>
      <c r="C119" s="21" t="s">
        <v>132</v>
      </c>
      <c r="D119" s="124" t="str">
        <f t="shared" si="2"/>
        <v>CONFIDENCE2</v>
      </c>
      <c r="E119" s="93"/>
      <c r="F119" s="93"/>
      <c r="G119" s="93"/>
      <c r="H119" s="93"/>
      <c r="I119" s="125"/>
      <c r="J119" s="126" t="str">
        <f t="shared" si="3"/>
        <v/>
      </c>
      <c r="K119" s="119">
        <v>20000.0</v>
      </c>
      <c r="L119" s="111">
        <f t="shared" si="4"/>
        <v>20000</v>
      </c>
      <c r="M119" s="127" t="str">
        <f t="shared" si="5"/>
        <v/>
      </c>
      <c r="N119" s="113">
        <f t="shared" si="6"/>
        <v>0</v>
      </c>
      <c r="O119" s="113">
        <f t="shared" si="7"/>
        <v>0</v>
      </c>
      <c r="P119" s="114">
        <f t="shared" si="8"/>
        <v>0</v>
      </c>
      <c r="Q119" s="115">
        <f t="shared" si="9"/>
        <v>0</v>
      </c>
      <c r="R119" s="117"/>
      <c r="S119" s="117">
        <f t="shared" si="10"/>
        <v>320000</v>
      </c>
    </row>
    <row r="120">
      <c r="A120" s="20">
        <f t="shared" si="1"/>
        <v>1</v>
      </c>
      <c r="B120" s="106">
        <v>44039.0</v>
      </c>
      <c r="C120" s="21" t="s">
        <v>162</v>
      </c>
      <c r="D120" s="124" t="str">
        <f t="shared" si="2"/>
        <v>ABANG. EDET1</v>
      </c>
      <c r="E120" s="93"/>
      <c r="F120" s="93"/>
      <c r="G120" s="93"/>
      <c r="H120" s="93"/>
      <c r="I120" s="125"/>
      <c r="J120" s="126" t="str">
        <f t="shared" si="3"/>
        <v/>
      </c>
      <c r="K120" s="119">
        <v>1000.0</v>
      </c>
      <c r="L120" s="111">
        <f t="shared" si="4"/>
        <v>1000</v>
      </c>
      <c r="M120" s="127" t="str">
        <f t="shared" si="5"/>
        <v/>
      </c>
      <c r="N120" s="113">
        <f t="shared" si="6"/>
        <v>0</v>
      </c>
      <c r="O120" s="113">
        <f t="shared" si="7"/>
        <v>0</v>
      </c>
      <c r="P120" s="114">
        <f t="shared" si="8"/>
        <v>0</v>
      </c>
      <c r="Q120" s="115">
        <f t="shared" si="9"/>
        <v>0</v>
      </c>
      <c r="R120" s="117"/>
      <c r="S120" s="117">
        <f t="shared" si="10"/>
        <v>1000</v>
      </c>
    </row>
    <row r="121">
      <c r="A121" s="20">
        <f t="shared" si="1"/>
        <v>8</v>
      </c>
      <c r="B121" s="106">
        <v>44034.0</v>
      </c>
      <c r="C121" s="21" t="s">
        <v>117</v>
      </c>
      <c r="D121" s="124" t="str">
        <f t="shared" si="2"/>
        <v>LYDIA HNSON 8</v>
      </c>
      <c r="E121" s="93">
        <v>795.0</v>
      </c>
      <c r="F121" s="93">
        <v>104.0</v>
      </c>
      <c r="G121" s="93"/>
      <c r="H121" s="93">
        <v>13.0</v>
      </c>
      <c r="I121" s="125"/>
      <c r="J121" s="126">
        <f t="shared" si="3"/>
        <v>795</v>
      </c>
      <c r="K121" s="119"/>
      <c r="L121" s="111">
        <f t="shared" si="4"/>
        <v>-621690</v>
      </c>
      <c r="M121" s="127">
        <f t="shared" si="5"/>
        <v>8</v>
      </c>
      <c r="N121" s="113">
        <f t="shared" si="6"/>
        <v>0</v>
      </c>
      <c r="O121" s="113">
        <f t="shared" si="7"/>
        <v>12</v>
      </c>
      <c r="P121" s="114">
        <f t="shared" si="8"/>
        <v>26</v>
      </c>
      <c r="Q121" s="115">
        <f t="shared" si="9"/>
        <v>782</v>
      </c>
      <c r="R121" s="117">
        <v>621690.0</v>
      </c>
      <c r="S121" s="117">
        <f t="shared" si="10"/>
        <v>2757990</v>
      </c>
    </row>
    <row r="122">
      <c r="A122" s="20">
        <f t="shared" si="1"/>
        <v>9</v>
      </c>
      <c r="B122" s="106">
        <v>44039.0</v>
      </c>
      <c r="C122" s="21" t="s">
        <v>117</v>
      </c>
      <c r="D122" s="124" t="str">
        <f t="shared" si="2"/>
        <v>LYDIA HNSON 9</v>
      </c>
      <c r="E122" s="93">
        <v>982.0</v>
      </c>
      <c r="F122" s="93">
        <v>128.0</v>
      </c>
      <c r="G122" s="93"/>
      <c r="H122" s="93">
        <v>16.0</v>
      </c>
      <c r="I122" s="125"/>
      <c r="J122" s="126">
        <f t="shared" si="3"/>
        <v>795</v>
      </c>
      <c r="K122" s="119"/>
      <c r="L122" s="111">
        <f t="shared" si="4"/>
        <v>-767970</v>
      </c>
      <c r="M122" s="127">
        <f t="shared" si="5"/>
        <v>8</v>
      </c>
      <c r="N122" s="113">
        <f t="shared" si="6"/>
        <v>0</v>
      </c>
      <c r="O122" s="113">
        <f t="shared" si="7"/>
        <v>15</v>
      </c>
      <c r="P122" s="114">
        <f t="shared" si="8"/>
        <v>21</v>
      </c>
      <c r="Q122" s="115">
        <f t="shared" si="9"/>
        <v>966</v>
      </c>
      <c r="R122" s="117">
        <v>767970.0</v>
      </c>
      <c r="S122" s="117">
        <f t="shared" si="10"/>
        <v>1990020</v>
      </c>
    </row>
    <row r="123">
      <c r="A123" s="20">
        <f t="shared" si="1"/>
        <v>10</v>
      </c>
      <c r="B123" s="106">
        <v>44040.0</v>
      </c>
      <c r="C123" s="21" t="s">
        <v>117</v>
      </c>
      <c r="D123" s="124" t="str">
        <f t="shared" si="2"/>
        <v>LYDIA HNSON 10</v>
      </c>
      <c r="E123" s="93">
        <v>272.0</v>
      </c>
      <c r="F123" s="93">
        <v>32.0</v>
      </c>
      <c r="G123" s="93"/>
      <c r="H123" s="93">
        <v>4.0</v>
      </c>
      <c r="I123" s="125"/>
      <c r="J123" s="126">
        <f t="shared" si="3"/>
        <v>795</v>
      </c>
      <c r="K123" s="119"/>
      <c r="L123" s="111">
        <f t="shared" si="4"/>
        <v>-213060</v>
      </c>
      <c r="M123" s="127">
        <f t="shared" si="5"/>
        <v>8</v>
      </c>
      <c r="N123" s="113">
        <f t="shared" si="6"/>
        <v>0</v>
      </c>
      <c r="O123" s="113">
        <f t="shared" si="7"/>
        <v>4</v>
      </c>
      <c r="P123" s="114">
        <f t="shared" si="8"/>
        <v>16</v>
      </c>
      <c r="Q123" s="115">
        <f t="shared" si="9"/>
        <v>268</v>
      </c>
      <c r="R123" s="117">
        <v>213060.0</v>
      </c>
      <c r="S123" s="117">
        <f t="shared" si="10"/>
        <v>1776960</v>
      </c>
    </row>
    <row r="124">
      <c r="A124" s="20">
        <f t="shared" si="1"/>
        <v>3</v>
      </c>
      <c r="B124" s="106">
        <v>44041.0</v>
      </c>
      <c r="C124" s="21" t="s">
        <v>98</v>
      </c>
      <c r="D124" s="124" t="str">
        <f t="shared" si="2"/>
        <v>EDWARD OKO3</v>
      </c>
      <c r="E124" s="93">
        <v>985.0</v>
      </c>
      <c r="F124" s="93">
        <v>122.5</v>
      </c>
      <c r="G124" s="93"/>
      <c r="H124" s="93">
        <v>15.0</v>
      </c>
      <c r="I124" s="125"/>
      <c r="J124" s="126">
        <f t="shared" si="3"/>
        <v>795.87</v>
      </c>
      <c r="K124" s="119"/>
      <c r="L124" s="111">
        <f t="shared" si="4"/>
        <v>-770400</v>
      </c>
      <c r="M124" s="127">
        <f t="shared" si="5"/>
        <v>8.17</v>
      </c>
      <c r="N124" s="113">
        <f t="shared" si="6"/>
        <v>2</v>
      </c>
      <c r="O124" s="113">
        <f t="shared" si="7"/>
        <v>15</v>
      </c>
      <c r="P124" s="114">
        <f t="shared" si="8"/>
        <v>23</v>
      </c>
      <c r="Q124" s="115">
        <f t="shared" si="9"/>
        <v>968</v>
      </c>
      <c r="R124" s="117">
        <v>770400.0</v>
      </c>
      <c r="S124" s="117">
        <f t="shared" si="10"/>
        <v>750600</v>
      </c>
    </row>
    <row r="125">
      <c r="A125" s="20">
        <f t="shared" si="1"/>
        <v>2</v>
      </c>
      <c r="B125" s="106">
        <v>44030.0</v>
      </c>
      <c r="C125" s="21" t="s">
        <v>153</v>
      </c>
      <c r="D125" s="124" t="str">
        <f t="shared" si="2"/>
        <v>EDDY OKO2</v>
      </c>
      <c r="E125" s="93"/>
      <c r="F125" s="93"/>
      <c r="G125" s="93"/>
      <c r="H125" s="93"/>
      <c r="I125" s="125"/>
      <c r="J125" s="126" t="str">
        <f t="shared" si="3"/>
        <v/>
      </c>
      <c r="K125" s="119">
        <v>-200000.0</v>
      </c>
      <c r="L125" s="111">
        <f t="shared" si="4"/>
        <v>-200000</v>
      </c>
      <c r="M125" s="127" t="str">
        <f t="shared" si="5"/>
        <v/>
      </c>
      <c r="N125" s="113">
        <f t="shared" si="6"/>
        <v>0</v>
      </c>
      <c r="O125" s="113">
        <f t="shared" si="7"/>
        <v>0</v>
      </c>
      <c r="P125" s="114">
        <f t="shared" si="8"/>
        <v>0</v>
      </c>
      <c r="Q125" s="115">
        <f t="shared" si="9"/>
        <v>0</v>
      </c>
      <c r="R125" s="117"/>
      <c r="S125" s="117">
        <f t="shared" si="10"/>
        <v>0</v>
      </c>
    </row>
    <row r="126">
      <c r="A126" s="20">
        <f t="shared" si="1"/>
        <v>4</v>
      </c>
      <c r="B126" s="106">
        <v>44030.0</v>
      </c>
      <c r="C126" s="21" t="s">
        <v>98</v>
      </c>
      <c r="D126" s="124" t="str">
        <f t="shared" si="2"/>
        <v>EDWARD OKO4</v>
      </c>
      <c r="E126" s="93"/>
      <c r="F126" s="93"/>
      <c r="G126" s="93"/>
      <c r="H126" s="93"/>
      <c r="I126" s="125"/>
      <c r="J126" s="126" t="str">
        <f t="shared" si="3"/>
        <v/>
      </c>
      <c r="K126" s="119">
        <v>200000.0</v>
      </c>
      <c r="L126" s="111">
        <f t="shared" si="4"/>
        <v>200000</v>
      </c>
      <c r="M126" s="127" t="str">
        <f t="shared" si="5"/>
        <v/>
      </c>
      <c r="N126" s="113">
        <f t="shared" si="6"/>
        <v>0</v>
      </c>
      <c r="O126" s="113">
        <f t="shared" si="7"/>
        <v>0</v>
      </c>
      <c r="P126" s="114">
        <f t="shared" si="8"/>
        <v>0</v>
      </c>
      <c r="Q126" s="115">
        <f t="shared" si="9"/>
        <v>0</v>
      </c>
      <c r="R126" s="117"/>
      <c r="S126" s="117">
        <f t="shared" si="10"/>
        <v>950600</v>
      </c>
    </row>
    <row r="127">
      <c r="A127" s="20">
        <f t="shared" si="1"/>
        <v>4</v>
      </c>
      <c r="B127" s="106">
        <v>44040.0</v>
      </c>
      <c r="C127" s="21" t="s">
        <v>46</v>
      </c>
      <c r="D127" s="124" t="str">
        <f t="shared" si="2"/>
        <v>ETUK EFFI4</v>
      </c>
      <c r="E127" s="93"/>
      <c r="F127" s="93"/>
      <c r="G127" s="93"/>
      <c r="H127" s="93"/>
      <c r="I127" s="125"/>
      <c r="J127" s="126" t="str">
        <f t="shared" si="3"/>
        <v/>
      </c>
      <c r="K127" s="119">
        <v>1000000.0</v>
      </c>
      <c r="L127" s="111">
        <f t="shared" si="4"/>
        <v>1000000</v>
      </c>
      <c r="M127" s="127" t="str">
        <f t="shared" si="5"/>
        <v/>
      </c>
      <c r="N127" s="113">
        <f t="shared" si="6"/>
        <v>0</v>
      </c>
      <c r="O127" s="113">
        <f t="shared" si="7"/>
        <v>0</v>
      </c>
      <c r="P127" s="114">
        <f t="shared" si="8"/>
        <v>0</v>
      </c>
      <c r="Q127" s="115">
        <f t="shared" si="9"/>
        <v>0</v>
      </c>
      <c r="R127" s="117"/>
      <c r="S127" s="117">
        <f t="shared" si="10"/>
        <v>1136860</v>
      </c>
    </row>
    <row r="128">
      <c r="A128" s="20">
        <f t="shared" si="1"/>
        <v>8</v>
      </c>
      <c r="B128" s="106">
        <v>44040.0</v>
      </c>
      <c r="C128" s="21" t="s">
        <v>150</v>
      </c>
      <c r="D128" s="124" t="str">
        <f t="shared" si="2"/>
        <v>LIVINUS8</v>
      </c>
      <c r="E128" s="93"/>
      <c r="F128" s="93"/>
      <c r="G128" s="93"/>
      <c r="H128" s="93"/>
      <c r="I128" s="125"/>
      <c r="J128" s="126" t="str">
        <f t="shared" si="3"/>
        <v/>
      </c>
      <c r="K128" s="119">
        <v>1440000.0</v>
      </c>
      <c r="L128" s="111">
        <f t="shared" si="4"/>
        <v>1440000</v>
      </c>
      <c r="M128" s="127" t="str">
        <f t="shared" si="5"/>
        <v/>
      </c>
      <c r="N128" s="113">
        <f t="shared" si="6"/>
        <v>0</v>
      </c>
      <c r="O128" s="113">
        <f t="shared" si="7"/>
        <v>0</v>
      </c>
      <c r="P128" s="114">
        <f t="shared" si="8"/>
        <v>0</v>
      </c>
      <c r="Q128" s="115">
        <f t="shared" si="9"/>
        <v>0</v>
      </c>
      <c r="R128" s="117"/>
      <c r="S128" s="117">
        <f t="shared" si="10"/>
        <v>3120000</v>
      </c>
    </row>
    <row r="129">
      <c r="A129" s="20">
        <f t="shared" si="1"/>
        <v>11</v>
      </c>
      <c r="B129" s="106">
        <v>44040.0</v>
      </c>
      <c r="C129" s="21" t="s">
        <v>117</v>
      </c>
      <c r="D129" s="124" t="str">
        <f t="shared" si="2"/>
        <v>LYDIA HNSON 11</v>
      </c>
      <c r="E129" s="93"/>
      <c r="F129" s="93"/>
      <c r="G129" s="93"/>
      <c r="H129" s="93"/>
      <c r="I129" s="125"/>
      <c r="J129" s="126" t="str">
        <f t="shared" si="3"/>
        <v/>
      </c>
      <c r="K129" s="119">
        <v>1000000.0</v>
      </c>
      <c r="L129" s="111">
        <f t="shared" si="4"/>
        <v>1000000</v>
      </c>
      <c r="M129" s="127" t="str">
        <f t="shared" si="5"/>
        <v/>
      </c>
      <c r="N129" s="113">
        <f t="shared" si="6"/>
        <v>0</v>
      </c>
      <c r="O129" s="113">
        <f t="shared" si="7"/>
        <v>0</v>
      </c>
      <c r="P129" s="114">
        <f t="shared" si="8"/>
        <v>0</v>
      </c>
      <c r="Q129" s="115">
        <f t="shared" si="9"/>
        <v>0</v>
      </c>
      <c r="R129" s="117"/>
      <c r="S129" s="117">
        <f t="shared" si="10"/>
        <v>2776960</v>
      </c>
    </row>
    <row r="130">
      <c r="A130" s="20">
        <f t="shared" si="1"/>
        <v>1</v>
      </c>
      <c r="B130" s="106">
        <v>44040.0</v>
      </c>
      <c r="C130" s="21" t="s">
        <v>163</v>
      </c>
      <c r="D130" s="124" t="str">
        <f t="shared" si="2"/>
        <v>OBI BESONG1</v>
      </c>
      <c r="E130" s="93"/>
      <c r="F130" s="93"/>
      <c r="G130" s="93"/>
      <c r="H130" s="93"/>
      <c r="I130" s="125"/>
      <c r="J130" s="126" t="str">
        <f t="shared" si="3"/>
        <v/>
      </c>
      <c r="K130" s="119">
        <v>500000.0</v>
      </c>
      <c r="L130" s="111">
        <f t="shared" si="4"/>
        <v>500000</v>
      </c>
      <c r="M130" s="127" t="str">
        <f t="shared" si="5"/>
        <v/>
      </c>
      <c r="N130" s="113">
        <f t="shared" si="6"/>
        <v>0</v>
      </c>
      <c r="O130" s="113">
        <f t="shared" si="7"/>
        <v>0</v>
      </c>
      <c r="P130" s="114">
        <f t="shared" si="8"/>
        <v>0</v>
      </c>
      <c r="Q130" s="115">
        <f t="shared" si="9"/>
        <v>0</v>
      </c>
      <c r="R130" s="117"/>
      <c r="S130" s="117">
        <f t="shared" si="10"/>
        <v>500000</v>
      </c>
    </row>
    <row r="131">
      <c r="A131" s="20">
        <f t="shared" si="1"/>
        <v>3</v>
      </c>
      <c r="B131" s="106">
        <v>44040.0</v>
      </c>
      <c r="C131" s="21" t="s">
        <v>25</v>
      </c>
      <c r="D131" s="124" t="str">
        <f t="shared" si="2"/>
        <v>KARIEN EBAN3</v>
      </c>
      <c r="E131" s="93"/>
      <c r="F131" s="93"/>
      <c r="G131" s="93"/>
      <c r="H131" s="93"/>
      <c r="I131" s="125"/>
      <c r="J131" s="126" t="str">
        <f t="shared" si="3"/>
        <v/>
      </c>
      <c r="K131" s="119">
        <v>500000.0</v>
      </c>
      <c r="L131" s="111">
        <f t="shared" si="4"/>
        <v>500000</v>
      </c>
      <c r="M131" s="127" t="str">
        <f t="shared" si="5"/>
        <v/>
      </c>
      <c r="N131" s="113">
        <f t="shared" si="6"/>
        <v>0</v>
      </c>
      <c r="O131" s="113">
        <f t="shared" si="7"/>
        <v>0</v>
      </c>
      <c r="P131" s="114">
        <f t="shared" si="8"/>
        <v>0</v>
      </c>
      <c r="Q131" s="115">
        <f t="shared" si="9"/>
        <v>0</v>
      </c>
      <c r="R131" s="117"/>
      <c r="S131" s="117">
        <f t="shared" si="10"/>
        <v>2100000</v>
      </c>
    </row>
    <row r="132">
      <c r="A132" s="20">
        <f t="shared" si="1"/>
        <v>9</v>
      </c>
      <c r="B132" s="106">
        <v>44040.0</v>
      </c>
      <c r="C132" s="21" t="s">
        <v>150</v>
      </c>
      <c r="D132" s="124" t="str">
        <f t="shared" si="2"/>
        <v>LIVINUS9</v>
      </c>
      <c r="E132" s="93"/>
      <c r="F132" s="93"/>
      <c r="G132" s="93"/>
      <c r="H132" s="93"/>
      <c r="I132" s="125"/>
      <c r="J132" s="126" t="str">
        <f t="shared" si="3"/>
        <v/>
      </c>
      <c r="K132" s="119">
        <v>75000.0</v>
      </c>
      <c r="L132" s="111">
        <f t="shared" si="4"/>
        <v>75000</v>
      </c>
      <c r="M132" s="127" t="str">
        <f t="shared" si="5"/>
        <v/>
      </c>
      <c r="N132" s="113">
        <f t="shared" si="6"/>
        <v>0</v>
      </c>
      <c r="O132" s="113">
        <f t="shared" si="7"/>
        <v>0</v>
      </c>
      <c r="P132" s="114">
        <f t="shared" si="8"/>
        <v>0</v>
      </c>
      <c r="Q132" s="115">
        <f t="shared" si="9"/>
        <v>0</v>
      </c>
      <c r="R132" s="117"/>
      <c r="S132" s="117">
        <f t="shared" si="10"/>
        <v>3195000</v>
      </c>
    </row>
    <row r="133">
      <c r="A133" s="20">
        <f t="shared" si="1"/>
        <v>5</v>
      </c>
      <c r="B133" s="106">
        <v>44041.0</v>
      </c>
      <c r="C133" s="21" t="s">
        <v>98</v>
      </c>
      <c r="D133" s="124" t="str">
        <f t="shared" si="2"/>
        <v>EDWARD OKO5</v>
      </c>
      <c r="E133" s="93"/>
      <c r="F133" s="93"/>
      <c r="G133" s="93"/>
      <c r="H133" s="93"/>
      <c r="I133" s="125"/>
      <c r="J133" s="126" t="str">
        <f t="shared" si="3"/>
        <v/>
      </c>
      <c r="K133" s="119">
        <v>700000.0</v>
      </c>
      <c r="L133" s="111">
        <f t="shared" si="4"/>
        <v>700000</v>
      </c>
      <c r="M133" s="127" t="str">
        <f t="shared" si="5"/>
        <v/>
      </c>
      <c r="N133" s="113">
        <f t="shared" si="6"/>
        <v>0</v>
      </c>
      <c r="O133" s="113">
        <f t="shared" si="7"/>
        <v>0</v>
      </c>
      <c r="P133" s="114">
        <f t="shared" si="8"/>
        <v>0</v>
      </c>
      <c r="Q133" s="115">
        <f t="shared" si="9"/>
        <v>0</v>
      </c>
      <c r="R133" s="117"/>
      <c r="S133" s="117">
        <f t="shared" si="10"/>
        <v>1650600</v>
      </c>
    </row>
    <row r="134">
      <c r="A134" s="20">
        <f t="shared" si="1"/>
        <v>1</v>
      </c>
      <c r="B134" s="106">
        <v>44041.0</v>
      </c>
      <c r="C134" s="21" t="s">
        <v>164</v>
      </c>
      <c r="D134" s="124" t="str">
        <f t="shared" si="2"/>
        <v>CHINWE CHIDI1</v>
      </c>
      <c r="E134" s="93"/>
      <c r="F134" s="93"/>
      <c r="G134" s="93"/>
      <c r="H134" s="93"/>
      <c r="I134" s="125"/>
      <c r="J134" s="126" t="str">
        <f t="shared" si="3"/>
        <v/>
      </c>
      <c r="K134" s="119">
        <v>100000.0</v>
      </c>
      <c r="L134" s="111">
        <f t="shared" si="4"/>
        <v>100000</v>
      </c>
      <c r="M134" s="127" t="str">
        <f t="shared" si="5"/>
        <v/>
      </c>
      <c r="N134" s="113">
        <f t="shared" si="6"/>
        <v>0</v>
      </c>
      <c r="O134" s="113">
        <f t="shared" si="7"/>
        <v>0</v>
      </c>
      <c r="P134" s="114">
        <f t="shared" si="8"/>
        <v>0</v>
      </c>
      <c r="Q134" s="115">
        <f t="shared" si="9"/>
        <v>0</v>
      </c>
      <c r="R134" s="117"/>
      <c r="S134" s="117">
        <f t="shared" si="10"/>
        <v>100000</v>
      </c>
    </row>
    <row r="135">
      <c r="A135" s="20">
        <f t="shared" si="1"/>
        <v>4</v>
      </c>
      <c r="B135" s="106">
        <v>44041.0</v>
      </c>
      <c r="C135" s="21" t="s">
        <v>151</v>
      </c>
      <c r="D135" s="124" t="str">
        <f t="shared" si="2"/>
        <v>JAMES AKAN4</v>
      </c>
      <c r="E135" s="93"/>
      <c r="F135" s="93"/>
      <c r="G135" s="93"/>
      <c r="H135" s="93"/>
      <c r="I135" s="125"/>
      <c r="J135" s="126" t="str">
        <f t="shared" si="3"/>
        <v/>
      </c>
      <c r="K135" s="119">
        <v>359600.0</v>
      </c>
      <c r="L135" s="111">
        <f t="shared" si="4"/>
        <v>359600</v>
      </c>
      <c r="M135" s="127" t="str">
        <f t="shared" si="5"/>
        <v/>
      </c>
      <c r="N135" s="113">
        <f t="shared" si="6"/>
        <v>0</v>
      </c>
      <c r="O135" s="113">
        <f t="shared" si="7"/>
        <v>0</v>
      </c>
      <c r="P135" s="114">
        <f t="shared" si="8"/>
        <v>0</v>
      </c>
      <c r="Q135" s="115">
        <f t="shared" si="9"/>
        <v>0</v>
      </c>
      <c r="R135" s="117"/>
      <c r="S135" s="117">
        <f t="shared" si="10"/>
        <v>759600</v>
      </c>
    </row>
    <row r="136">
      <c r="A136" s="20">
        <f t="shared" si="1"/>
        <v>6</v>
      </c>
      <c r="B136" s="106">
        <v>44041.0</v>
      </c>
      <c r="C136" s="21" t="s">
        <v>126</v>
      </c>
      <c r="D136" s="124" t="str">
        <f t="shared" si="2"/>
        <v>NDOMA BODE I.D6</v>
      </c>
      <c r="E136" s="93"/>
      <c r="F136" s="93"/>
      <c r="G136" s="93"/>
      <c r="H136" s="93"/>
      <c r="I136" s="125"/>
      <c r="J136" s="126" t="str">
        <f t="shared" si="3"/>
        <v/>
      </c>
      <c r="K136" s="119">
        <v>500000.0</v>
      </c>
      <c r="L136" s="111">
        <f t="shared" si="4"/>
        <v>500000</v>
      </c>
      <c r="M136" s="127" t="str">
        <f t="shared" si="5"/>
        <v/>
      </c>
      <c r="N136" s="113">
        <f t="shared" si="6"/>
        <v>0</v>
      </c>
      <c r="O136" s="113">
        <f t="shared" si="7"/>
        <v>0</v>
      </c>
      <c r="P136" s="114">
        <f t="shared" si="8"/>
        <v>0</v>
      </c>
      <c r="Q136" s="115">
        <f t="shared" si="9"/>
        <v>0</v>
      </c>
      <c r="R136" s="117"/>
      <c r="S136" s="117">
        <f t="shared" si="10"/>
        <v>1200000</v>
      </c>
    </row>
    <row r="137">
      <c r="A137" s="20">
        <f t="shared" si="1"/>
        <v>1</v>
      </c>
      <c r="B137" s="106">
        <v>44041.0</v>
      </c>
      <c r="C137" s="21" t="s">
        <v>165</v>
      </c>
      <c r="D137" s="124" t="str">
        <f t="shared" si="2"/>
        <v>EUGENE1</v>
      </c>
      <c r="E137" s="93"/>
      <c r="F137" s="93"/>
      <c r="G137" s="93"/>
      <c r="H137" s="93"/>
      <c r="I137" s="125"/>
      <c r="J137" s="126" t="str">
        <f t="shared" si="3"/>
        <v/>
      </c>
      <c r="K137" s="119">
        <v>500000.0</v>
      </c>
      <c r="L137" s="111">
        <f t="shared" si="4"/>
        <v>500000</v>
      </c>
      <c r="M137" s="127" t="str">
        <f t="shared" si="5"/>
        <v/>
      </c>
      <c r="N137" s="113">
        <f t="shared" si="6"/>
        <v>0</v>
      </c>
      <c r="O137" s="113">
        <f t="shared" si="7"/>
        <v>0</v>
      </c>
      <c r="P137" s="114">
        <f t="shared" si="8"/>
        <v>0</v>
      </c>
      <c r="Q137" s="115">
        <f t="shared" si="9"/>
        <v>0</v>
      </c>
      <c r="R137" s="117"/>
      <c r="S137" s="117">
        <f t="shared" si="10"/>
        <v>500000</v>
      </c>
    </row>
    <row r="138">
      <c r="A138" s="20">
        <f t="shared" si="1"/>
        <v>8</v>
      </c>
      <c r="B138" s="106">
        <v>44041.0</v>
      </c>
      <c r="C138" s="21" t="s">
        <v>152</v>
      </c>
      <c r="D138" s="124" t="str">
        <f t="shared" si="2"/>
        <v>RECTOR W.8</v>
      </c>
      <c r="E138" s="93"/>
      <c r="F138" s="93"/>
      <c r="G138" s="93"/>
      <c r="H138" s="93"/>
      <c r="I138" s="125"/>
      <c r="J138" s="126" t="str">
        <f t="shared" si="3"/>
        <v/>
      </c>
      <c r="K138" s="119">
        <v>800000.0</v>
      </c>
      <c r="L138" s="111">
        <f t="shared" si="4"/>
        <v>800000</v>
      </c>
      <c r="M138" s="127" t="str">
        <f t="shared" si="5"/>
        <v/>
      </c>
      <c r="N138" s="113">
        <f t="shared" si="6"/>
        <v>0</v>
      </c>
      <c r="O138" s="113">
        <f t="shared" si="7"/>
        <v>0</v>
      </c>
      <c r="P138" s="114">
        <f t="shared" si="8"/>
        <v>0</v>
      </c>
      <c r="Q138" s="115">
        <f t="shared" si="9"/>
        <v>0</v>
      </c>
      <c r="R138" s="117"/>
      <c r="S138" s="117">
        <f t="shared" si="10"/>
        <v>3300000</v>
      </c>
    </row>
    <row r="139">
      <c r="A139" s="20">
        <f t="shared" si="1"/>
        <v>3</v>
      </c>
      <c r="B139" s="106">
        <v>44041.0</v>
      </c>
      <c r="C139" s="21" t="s">
        <v>124</v>
      </c>
      <c r="D139" s="124" t="str">
        <f t="shared" si="2"/>
        <v>REMMY BODES3</v>
      </c>
      <c r="E139" s="93"/>
      <c r="F139" s="93"/>
      <c r="G139" s="93"/>
      <c r="H139" s="93"/>
      <c r="I139" s="125"/>
      <c r="J139" s="126" t="str">
        <f t="shared" si="3"/>
        <v/>
      </c>
      <c r="K139" s="119">
        <v>310000.0</v>
      </c>
      <c r="L139" s="111">
        <f t="shared" si="4"/>
        <v>310000</v>
      </c>
      <c r="M139" s="127" t="str">
        <f t="shared" si="5"/>
        <v/>
      </c>
      <c r="N139" s="113">
        <f t="shared" si="6"/>
        <v>0</v>
      </c>
      <c r="O139" s="113">
        <f t="shared" si="7"/>
        <v>0</v>
      </c>
      <c r="P139" s="114">
        <f t="shared" si="8"/>
        <v>0</v>
      </c>
      <c r="Q139" s="115">
        <f t="shared" si="9"/>
        <v>0</v>
      </c>
      <c r="R139" s="117"/>
      <c r="S139" s="117">
        <f t="shared" si="10"/>
        <v>1020000</v>
      </c>
    </row>
    <row r="140">
      <c r="A140" s="20">
        <f t="shared" si="1"/>
        <v>1</v>
      </c>
      <c r="B140" s="106">
        <v>44041.0</v>
      </c>
      <c r="C140" s="21" t="s">
        <v>166</v>
      </c>
      <c r="D140" s="124" t="str">
        <f t="shared" si="2"/>
        <v>ABANG. DUNLOP1</v>
      </c>
      <c r="E140" s="93"/>
      <c r="F140" s="93"/>
      <c r="G140" s="93"/>
      <c r="H140" s="93"/>
      <c r="I140" s="125"/>
      <c r="J140" s="126" t="str">
        <f t="shared" si="3"/>
        <v/>
      </c>
      <c r="K140" s="119">
        <v>800000.0</v>
      </c>
      <c r="L140" s="111">
        <f t="shared" si="4"/>
        <v>800000</v>
      </c>
      <c r="M140" s="127" t="str">
        <f t="shared" si="5"/>
        <v/>
      </c>
      <c r="N140" s="113">
        <f t="shared" si="6"/>
        <v>0</v>
      </c>
      <c r="O140" s="113">
        <f t="shared" si="7"/>
        <v>0</v>
      </c>
      <c r="P140" s="114">
        <f t="shared" si="8"/>
        <v>0</v>
      </c>
      <c r="Q140" s="115">
        <f t="shared" si="9"/>
        <v>0</v>
      </c>
      <c r="R140" s="117"/>
      <c r="S140" s="117">
        <f t="shared" si="10"/>
        <v>800000</v>
      </c>
    </row>
    <row r="141">
      <c r="A141" s="20">
        <f t="shared" si="1"/>
        <v>2</v>
      </c>
      <c r="B141" s="106">
        <v>44041.0</v>
      </c>
      <c r="C141" s="21" t="s">
        <v>107</v>
      </c>
      <c r="D141" s="124" t="str">
        <f t="shared" si="2"/>
        <v>BOSURU  BOSURU2</v>
      </c>
      <c r="E141" s="93"/>
      <c r="F141" s="93"/>
      <c r="G141" s="93"/>
      <c r="H141" s="93"/>
      <c r="I141" s="125"/>
      <c r="J141" s="126" t="str">
        <f t="shared" si="3"/>
        <v/>
      </c>
      <c r="K141" s="119">
        <v>200000.0</v>
      </c>
      <c r="L141" s="111">
        <f t="shared" si="4"/>
        <v>200000</v>
      </c>
      <c r="M141" s="127" t="str">
        <f t="shared" si="5"/>
        <v/>
      </c>
      <c r="N141" s="113">
        <f t="shared" si="6"/>
        <v>0</v>
      </c>
      <c r="O141" s="113">
        <f t="shared" si="7"/>
        <v>0</v>
      </c>
      <c r="P141" s="114">
        <f t="shared" si="8"/>
        <v>0</v>
      </c>
      <c r="Q141" s="115">
        <f t="shared" si="9"/>
        <v>0</v>
      </c>
      <c r="R141" s="117"/>
      <c r="S141" s="117">
        <f t="shared" si="10"/>
        <v>1200000</v>
      </c>
    </row>
    <row r="142">
      <c r="A142" s="20">
        <f t="shared" si="1"/>
        <v>5</v>
      </c>
      <c r="B142" s="106">
        <v>44041.0</v>
      </c>
      <c r="C142" s="21" t="s">
        <v>141</v>
      </c>
      <c r="D142" s="124" t="str">
        <f t="shared" si="2"/>
        <v>CORNWELL5</v>
      </c>
      <c r="E142" s="93"/>
      <c r="F142" s="93"/>
      <c r="G142" s="93"/>
      <c r="H142" s="93"/>
      <c r="I142" s="125"/>
      <c r="J142" s="126" t="str">
        <f t="shared" si="3"/>
        <v/>
      </c>
      <c r="K142" s="119">
        <v>400000.0</v>
      </c>
      <c r="L142" s="111">
        <f t="shared" si="4"/>
        <v>400000</v>
      </c>
      <c r="M142" s="127" t="str">
        <f t="shared" si="5"/>
        <v/>
      </c>
      <c r="N142" s="113">
        <f t="shared" si="6"/>
        <v>0</v>
      </c>
      <c r="O142" s="113">
        <f t="shared" si="7"/>
        <v>0</v>
      </c>
      <c r="P142" s="114">
        <f t="shared" si="8"/>
        <v>0</v>
      </c>
      <c r="Q142" s="115">
        <f t="shared" si="9"/>
        <v>0</v>
      </c>
      <c r="R142" s="117"/>
      <c r="S142" s="117">
        <f t="shared" si="10"/>
        <v>15004440</v>
      </c>
    </row>
    <row r="143">
      <c r="A143" s="20">
        <f t="shared" si="1"/>
        <v>6</v>
      </c>
      <c r="B143" s="106">
        <v>44042.0</v>
      </c>
      <c r="C143" s="21" t="s">
        <v>141</v>
      </c>
      <c r="D143" s="124" t="str">
        <f t="shared" si="2"/>
        <v>CORNWELL6</v>
      </c>
      <c r="E143" s="93"/>
      <c r="F143" s="93"/>
      <c r="G143" s="93"/>
      <c r="H143" s="93"/>
      <c r="I143" s="125"/>
      <c r="J143" s="126" t="str">
        <f t="shared" si="3"/>
        <v/>
      </c>
      <c r="K143" s="119">
        <v>400000.0</v>
      </c>
      <c r="L143" s="111">
        <f t="shared" si="4"/>
        <v>400000</v>
      </c>
      <c r="M143" s="127" t="str">
        <f t="shared" si="5"/>
        <v/>
      </c>
      <c r="N143" s="113">
        <f t="shared" si="6"/>
        <v>0</v>
      </c>
      <c r="O143" s="113">
        <f t="shared" si="7"/>
        <v>0</v>
      </c>
      <c r="P143" s="114">
        <f t="shared" si="8"/>
        <v>0</v>
      </c>
      <c r="Q143" s="115">
        <f t="shared" si="9"/>
        <v>0</v>
      </c>
      <c r="R143" s="117"/>
      <c r="S143" s="117">
        <f t="shared" si="10"/>
        <v>15404440</v>
      </c>
    </row>
    <row r="144">
      <c r="A144" s="20">
        <f t="shared" si="1"/>
        <v>6</v>
      </c>
      <c r="B144" s="106">
        <v>44047.0</v>
      </c>
      <c r="C144" s="21" t="s">
        <v>113</v>
      </c>
      <c r="D144" s="124" t="str">
        <f t="shared" si="2"/>
        <v> MAXWELL AGRO6</v>
      </c>
      <c r="E144" s="93"/>
      <c r="F144" s="93"/>
      <c r="G144" s="93"/>
      <c r="H144" s="93"/>
      <c r="I144" s="125"/>
      <c r="J144" s="126" t="str">
        <f t="shared" si="3"/>
        <v/>
      </c>
      <c r="K144" s="119">
        <v>500000.0</v>
      </c>
      <c r="L144" s="111">
        <f t="shared" si="4"/>
        <v>500000</v>
      </c>
      <c r="M144" s="127" t="str">
        <f t="shared" si="5"/>
        <v/>
      </c>
      <c r="N144" s="113">
        <f t="shared" si="6"/>
        <v>0</v>
      </c>
      <c r="O144" s="113">
        <f t="shared" si="7"/>
        <v>0</v>
      </c>
      <c r="P144" s="114">
        <f t="shared" si="8"/>
        <v>0</v>
      </c>
      <c r="Q144" s="115">
        <f t="shared" si="9"/>
        <v>0</v>
      </c>
      <c r="R144" s="117"/>
      <c r="S144" s="117">
        <f t="shared" si="10"/>
        <v>982820</v>
      </c>
    </row>
    <row r="145">
      <c r="A145" s="20">
        <f t="shared" si="1"/>
        <v>9</v>
      </c>
      <c r="B145" s="106">
        <v>44047.0</v>
      </c>
      <c r="C145" s="21" t="s">
        <v>146</v>
      </c>
      <c r="D145" s="124" t="str">
        <f t="shared" si="2"/>
        <v>CONNECT9</v>
      </c>
      <c r="E145" s="93"/>
      <c r="F145" s="93"/>
      <c r="G145" s="93"/>
      <c r="H145" s="93"/>
      <c r="I145" s="125"/>
      <c r="J145" s="126" t="str">
        <f t="shared" si="3"/>
        <v/>
      </c>
      <c r="K145" s="119">
        <v>1500000.0</v>
      </c>
      <c r="L145" s="111">
        <f t="shared" si="4"/>
        <v>1500000</v>
      </c>
      <c r="M145" s="127" t="str">
        <f t="shared" si="5"/>
        <v/>
      </c>
      <c r="N145" s="113">
        <f t="shared" si="6"/>
        <v>0</v>
      </c>
      <c r="O145" s="113">
        <f t="shared" si="7"/>
        <v>0</v>
      </c>
      <c r="P145" s="114">
        <f t="shared" si="8"/>
        <v>0</v>
      </c>
      <c r="Q145" s="115">
        <f t="shared" si="9"/>
        <v>0</v>
      </c>
      <c r="R145" s="117"/>
      <c r="S145" s="117">
        <f t="shared" si="10"/>
        <v>3000000</v>
      </c>
    </row>
    <row r="146">
      <c r="A146" s="20">
        <f t="shared" si="1"/>
        <v>2</v>
      </c>
      <c r="B146" s="106">
        <v>44047.0</v>
      </c>
      <c r="C146" s="21" t="s">
        <v>140</v>
      </c>
      <c r="D146" s="124" t="str">
        <f t="shared" si="2"/>
        <v>PRINNESS2</v>
      </c>
      <c r="E146" s="93"/>
      <c r="F146" s="93"/>
      <c r="G146" s="93"/>
      <c r="H146" s="93"/>
      <c r="I146" s="125"/>
      <c r="J146" s="126" t="str">
        <f t="shared" si="3"/>
        <v/>
      </c>
      <c r="K146" s="119">
        <v>300000.0</v>
      </c>
      <c r="L146" s="111">
        <f t="shared" si="4"/>
        <v>300000</v>
      </c>
      <c r="M146" s="127" t="str">
        <f t="shared" si="5"/>
        <v/>
      </c>
      <c r="N146" s="113">
        <f t="shared" si="6"/>
        <v>0</v>
      </c>
      <c r="O146" s="113">
        <f t="shared" si="7"/>
        <v>0</v>
      </c>
      <c r="P146" s="114">
        <f t="shared" si="8"/>
        <v>0</v>
      </c>
      <c r="Q146" s="115">
        <f t="shared" si="9"/>
        <v>0</v>
      </c>
      <c r="R146" s="117"/>
      <c r="S146" s="117">
        <f t="shared" si="10"/>
        <v>500000</v>
      </c>
    </row>
    <row r="147">
      <c r="A147" s="20">
        <f t="shared" si="1"/>
        <v>10</v>
      </c>
      <c r="B147" s="106">
        <v>44047.0</v>
      </c>
      <c r="C147" s="21" t="s">
        <v>150</v>
      </c>
      <c r="D147" s="124" t="str">
        <f t="shared" si="2"/>
        <v>LIVINUS10</v>
      </c>
      <c r="E147" s="93"/>
      <c r="F147" s="93"/>
      <c r="G147" s="93"/>
      <c r="H147" s="93"/>
      <c r="I147" s="125"/>
      <c r="J147" s="126" t="str">
        <f t="shared" si="3"/>
        <v/>
      </c>
      <c r="K147" s="119">
        <v>720000.0</v>
      </c>
      <c r="L147" s="111">
        <f t="shared" si="4"/>
        <v>720000</v>
      </c>
      <c r="M147" s="127" t="str">
        <f t="shared" si="5"/>
        <v/>
      </c>
      <c r="N147" s="113">
        <f t="shared" si="6"/>
        <v>0</v>
      </c>
      <c r="O147" s="113">
        <f t="shared" si="7"/>
        <v>0</v>
      </c>
      <c r="P147" s="114">
        <f t="shared" si="8"/>
        <v>0</v>
      </c>
      <c r="Q147" s="115">
        <f t="shared" si="9"/>
        <v>0</v>
      </c>
      <c r="R147" s="117"/>
      <c r="S147" s="117">
        <f t="shared" si="10"/>
        <v>3915000</v>
      </c>
    </row>
    <row r="148">
      <c r="A148" s="20">
        <f t="shared" si="1"/>
        <v>12</v>
      </c>
      <c r="B148" s="106">
        <v>44048.0</v>
      </c>
      <c r="C148" s="21" t="s">
        <v>117</v>
      </c>
      <c r="D148" s="124" t="str">
        <f t="shared" si="2"/>
        <v>LYDIA HNSON 12</v>
      </c>
      <c r="E148" s="93"/>
      <c r="F148" s="93"/>
      <c r="G148" s="93"/>
      <c r="H148" s="93"/>
      <c r="I148" s="125"/>
      <c r="J148" s="126" t="str">
        <f t="shared" si="3"/>
        <v/>
      </c>
      <c r="K148" s="119">
        <v>500000.0</v>
      </c>
      <c r="L148" s="111">
        <f t="shared" si="4"/>
        <v>500000</v>
      </c>
      <c r="M148" s="127" t="str">
        <f t="shared" si="5"/>
        <v/>
      </c>
      <c r="N148" s="113">
        <f t="shared" si="6"/>
        <v>0</v>
      </c>
      <c r="O148" s="113">
        <f t="shared" si="7"/>
        <v>0</v>
      </c>
      <c r="P148" s="114">
        <f t="shared" si="8"/>
        <v>0</v>
      </c>
      <c r="Q148" s="115">
        <f t="shared" si="9"/>
        <v>0</v>
      </c>
      <c r="R148" s="117"/>
      <c r="S148" s="117">
        <f t="shared" si="10"/>
        <v>3276960</v>
      </c>
    </row>
    <row r="149">
      <c r="A149" s="20">
        <f t="shared" si="1"/>
        <v>2</v>
      </c>
      <c r="B149" s="106">
        <v>44048.0</v>
      </c>
      <c r="C149" s="21" t="s">
        <v>156</v>
      </c>
      <c r="D149" s="124" t="str">
        <f t="shared" si="2"/>
        <v>NDOMA PETER2</v>
      </c>
      <c r="E149" s="93"/>
      <c r="F149" s="93"/>
      <c r="G149" s="93"/>
      <c r="H149" s="93"/>
      <c r="I149" s="125"/>
      <c r="J149" s="126" t="str">
        <f t="shared" si="3"/>
        <v/>
      </c>
      <c r="K149" s="119">
        <v>200000.0</v>
      </c>
      <c r="L149" s="111">
        <f t="shared" si="4"/>
        <v>200000</v>
      </c>
      <c r="M149" s="127" t="str">
        <f t="shared" si="5"/>
        <v/>
      </c>
      <c r="N149" s="113">
        <f t="shared" si="6"/>
        <v>0</v>
      </c>
      <c r="O149" s="113">
        <f t="shared" si="7"/>
        <v>0</v>
      </c>
      <c r="P149" s="114">
        <f t="shared" si="8"/>
        <v>0</v>
      </c>
      <c r="Q149" s="115">
        <f t="shared" si="9"/>
        <v>0</v>
      </c>
      <c r="R149" s="117"/>
      <c r="S149" s="117">
        <f t="shared" si="10"/>
        <v>600000</v>
      </c>
    </row>
    <row r="150">
      <c r="A150" s="20">
        <f t="shared" si="1"/>
        <v>2</v>
      </c>
      <c r="B150" s="106">
        <v>44048.0</v>
      </c>
      <c r="C150" s="21" t="s">
        <v>157</v>
      </c>
      <c r="D150" s="124" t="str">
        <f t="shared" si="2"/>
        <v>ALFRED ALABI2</v>
      </c>
      <c r="E150" s="93"/>
      <c r="F150" s="93"/>
      <c r="G150" s="93"/>
      <c r="H150" s="93"/>
      <c r="I150" s="125"/>
      <c r="J150" s="126" t="str">
        <f t="shared" si="3"/>
        <v/>
      </c>
      <c r="K150" s="119">
        <v>5000.0</v>
      </c>
      <c r="L150" s="111">
        <f t="shared" si="4"/>
        <v>5000</v>
      </c>
      <c r="M150" s="127" t="str">
        <f t="shared" si="5"/>
        <v/>
      </c>
      <c r="N150" s="113">
        <f t="shared" si="6"/>
        <v>0</v>
      </c>
      <c r="O150" s="113">
        <f t="shared" si="7"/>
        <v>0</v>
      </c>
      <c r="P150" s="114">
        <f t="shared" si="8"/>
        <v>0</v>
      </c>
      <c r="Q150" s="115">
        <f t="shared" si="9"/>
        <v>0</v>
      </c>
      <c r="R150" s="117"/>
      <c r="S150" s="117">
        <f t="shared" si="10"/>
        <v>485000</v>
      </c>
    </row>
    <row r="151">
      <c r="A151" s="20">
        <f t="shared" si="1"/>
        <v>10</v>
      </c>
      <c r="B151" s="106">
        <v>44047.0</v>
      </c>
      <c r="C151" s="21" t="s">
        <v>146</v>
      </c>
      <c r="D151" s="124" t="str">
        <f t="shared" si="2"/>
        <v>CONNECT10</v>
      </c>
      <c r="E151" s="93">
        <v>1698.0</v>
      </c>
      <c r="F151" s="93">
        <v>208.0</v>
      </c>
      <c r="G151" s="93"/>
      <c r="H151" s="93">
        <v>26.0</v>
      </c>
      <c r="I151" s="125">
        <v>0.0</v>
      </c>
      <c r="J151" s="126">
        <f t="shared" si="3"/>
        <v>800</v>
      </c>
      <c r="K151" s="119"/>
      <c r="L151" s="111">
        <f t="shared" si="4"/>
        <v>-1337600</v>
      </c>
      <c r="M151" s="127">
        <f t="shared" si="5"/>
        <v>8</v>
      </c>
      <c r="N151" s="113">
        <f t="shared" si="6"/>
        <v>0</v>
      </c>
      <c r="O151" s="113">
        <f t="shared" si="7"/>
        <v>26</v>
      </c>
      <c r="P151" s="114">
        <f t="shared" si="8"/>
        <v>34</v>
      </c>
      <c r="Q151" s="115">
        <f t="shared" si="9"/>
        <v>1672</v>
      </c>
      <c r="R151" s="117">
        <v>1337600.0</v>
      </c>
      <c r="S151" s="117">
        <f t="shared" si="10"/>
        <v>1662400</v>
      </c>
    </row>
    <row r="152">
      <c r="A152" s="20">
        <f t="shared" si="1"/>
        <v>2</v>
      </c>
      <c r="B152" s="106">
        <v>44041.0</v>
      </c>
      <c r="C152" s="21" t="s">
        <v>158</v>
      </c>
      <c r="D152" s="124" t="str">
        <f t="shared" si="2"/>
        <v>OBINNA CHIELO2</v>
      </c>
      <c r="E152" s="93">
        <v>591.0</v>
      </c>
      <c r="F152" s="93">
        <v>72.0</v>
      </c>
      <c r="G152" s="93"/>
      <c r="H152" s="93">
        <v>9.0</v>
      </c>
      <c r="I152" s="125">
        <v>0.0</v>
      </c>
      <c r="J152" s="126">
        <f t="shared" si="3"/>
        <v>761.6</v>
      </c>
      <c r="K152" s="119"/>
      <c r="L152" s="111">
        <f t="shared" si="4"/>
        <v>-443250</v>
      </c>
      <c r="M152" s="127">
        <f t="shared" si="5"/>
        <v>8</v>
      </c>
      <c r="N152" s="113">
        <f t="shared" si="6"/>
        <v>0</v>
      </c>
      <c r="O152" s="113">
        <f t="shared" si="7"/>
        <v>9</v>
      </c>
      <c r="P152" s="114">
        <f t="shared" si="8"/>
        <v>14</v>
      </c>
      <c r="Q152" s="115">
        <f t="shared" si="9"/>
        <v>582</v>
      </c>
      <c r="R152" s="117">
        <v>443250.0</v>
      </c>
      <c r="S152" s="117">
        <f t="shared" si="10"/>
        <v>36750</v>
      </c>
    </row>
    <row r="153">
      <c r="A153" s="20">
        <f t="shared" si="1"/>
        <v>9</v>
      </c>
      <c r="B153" s="106">
        <v>44039.0</v>
      </c>
      <c r="C153" s="21" t="s">
        <v>152</v>
      </c>
      <c r="D153" s="124" t="str">
        <f t="shared" si="2"/>
        <v>RECTOR W.9</v>
      </c>
      <c r="E153" s="93">
        <v>1515.0</v>
      </c>
      <c r="F153" s="93">
        <v>176.0</v>
      </c>
      <c r="G153" s="93"/>
      <c r="H153" s="93">
        <v>22.0</v>
      </c>
      <c r="I153" s="125">
        <v>0.0</v>
      </c>
      <c r="J153" s="126">
        <f t="shared" si="3"/>
        <v>780</v>
      </c>
      <c r="K153" s="119"/>
      <c r="L153" s="111">
        <f t="shared" si="4"/>
        <v>-1164540</v>
      </c>
      <c r="M153" s="127">
        <f t="shared" si="5"/>
        <v>8</v>
      </c>
      <c r="N153" s="113">
        <f t="shared" si="6"/>
        <v>0</v>
      </c>
      <c r="O153" s="113">
        <f t="shared" si="7"/>
        <v>23</v>
      </c>
      <c r="P153" s="114">
        <f t="shared" si="8"/>
        <v>44</v>
      </c>
      <c r="Q153" s="115">
        <f t="shared" si="9"/>
        <v>1493</v>
      </c>
      <c r="R153" s="117">
        <v>1164540.0</v>
      </c>
      <c r="S153" s="117">
        <f t="shared" si="10"/>
        <v>2135460</v>
      </c>
    </row>
    <row r="154">
      <c r="A154" s="20">
        <f t="shared" si="1"/>
        <v>10</v>
      </c>
      <c r="B154" s="106">
        <v>44044.0</v>
      </c>
      <c r="C154" s="21" t="s">
        <v>152</v>
      </c>
      <c r="D154" s="124" t="str">
        <f t="shared" si="2"/>
        <v>RECTOR W.10</v>
      </c>
      <c r="E154" s="93">
        <v>1283.0</v>
      </c>
      <c r="F154" s="93">
        <v>136.0</v>
      </c>
      <c r="G154" s="93"/>
      <c r="H154" s="93">
        <v>17.0</v>
      </c>
      <c r="I154" s="125">
        <v>0.0</v>
      </c>
      <c r="J154" s="126">
        <f t="shared" si="3"/>
        <v>780</v>
      </c>
      <c r="K154" s="119"/>
      <c r="L154" s="111">
        <f t="shared" si="4"/>
        <v>-987480</v>
      </c>
      <c r="M154" s="127">
        <f t="shared" si="5"/>
        <v>8</v>
      </c>
      <c r="N154" s="113">
        <f t="shared" si="6"/>
        <v>0</v>
      </c>
      <c r="O154" s="113">
        <f t="shared" si="7"/>
        <v>20</v>
      </c>
      <c r="P154" s="114">
        <f t="shared" si="8"/>
        <v>5</v>
      </c>
      <c r="Q154" s="115">
        <f t="shared" si="9"/>
        <v>1266</v>
      </c>
      <c r="R154" s="117">
        <v>987480.0</v>
      </c>
      <c r="S154" s="117">
        <f t="shared" si="10"/>
        <v>1147980</v>
      </c>
    </row>
    <row r="155">
      <c r="A155" s="20">
        <f t="shared" si="1"/>
        <v>5</v>
      </c>
      <c r="B155" s="106">
        <v>44046.0</v>
      </c>
      <c r="C155" s="21" t="s">
        <v>46</v>
      </c>
      <c r="D155" s="124" t="str">
        <f t="shared" si="2"/>
        <v>ETUK EFFI5</v>
      </c>
      <c r="E155" s="93">
        <v>1388.0</v>
      </c>
      <c r="F155" s="93">
        <v>176.0</v>
      </c>
      <c r="G155" s="93"/>
      <c r="H155" s="93">
        <v>22.0</v>
      </c>
      <c r="I155" s="125">
        <v>0.0</v>
      </c>
      <c r="J155" s="126">
        <f t="shared" si="3"/>
        <v>790</v>
      </c>
      <c r="K155" s="119"/>
      <c r="L155" s="111">
        <f t="shared" si="4"/>
        <v>-1079140</v>
      </c>
      <c r="M155" s="127">
        <f t="shared" si="5"/>
        <v>8</v>
      </c>
      <c r="N155" s="113">
        <f t="shared" si="6"/>
        <v>0</v>
      </c>
      <c r="O155" s="113">
        <f t="shared" si="7"/>
        <v>21</v>
      </c>
      <c r="P155" s="114">
        <f t="shared" si="8"/>
        <v>43</v>
      </c>
      <c r="Q155" s="115">
        <f t="shared" si="9"/>
        <v>1366</v>
      </c>
      <c r="R155" s="117">
        <v>1079140.0</v>
      </c>
      <c r="S155" s="117">
        <f t="shared" si="10"/>
        <v>57720</v>
      </c>
    </row>
    <row r="156">
      <c r="A156" s="20">
        <f t="shared" si="1"/>
        <v>7</v>
      </c>
      <c r="B156" s="106">
        <v>44047.0</v>
      </c>
      <c r="C156" s="21" t="s">
        <v>113</v>
      </c>
      <c r="D156" s="124" t="str">
        <f t="shared" si="2"/>
        <v> MAXWELL AGRO7</v>
      </c>
      <c r="E156" s="93">
        <v>605.0</v>
      </c>
      <c r="F156" s="93">
        <v>80.0</v>
      </c>
      <c r="G156" s="93"/>
      <c r="H156" s="93">
        <v>10.0</v>
      </c>
      <c r="I156" s="125">
        <v>2.0</v>
      </c>
      <c r="J156" s="126">
        <f t="shared" si="3"/>
        <v>761.31</v>
      </c>
      <c r="K156" s="119"/>
      <c r="L156" s="111">
        <f t="shared" si="4"/>
        <v>-454500</v>
      </c>
      <c r="M156" s="127">
        <f t="shared" si="5"/>
        <v>8</v>
      </c>
      <c r="N156" s="113">
        <f t="shared" si="6"/>
        <v>0</v>
      </c>
      <c r="O156" s="113">
        <f t="shared" si="7"/>
        <v>9</v>
      </c>
      <c r="P156" s="114">
        <f t="shared" si="8"/>
        <v>30</v>
      </c>
      <c r="Q156" s="115">
        <f t="shared" si="9"/>
        <v>597</v>
      </c>
      <c r="R156" s="117">
        <v>454500.0</v>
      </c>
      <c r="S156" s="117">
        <f t="shared" si="10"/>
        <v>528320</v>
      </c>
    </row>
    <row r="157">
      <c r="A157" s="20">
        <f t="shared" si="1"/>
        <v>7</v>
      </c>
      <c r="B157" s="106">
        <v>44034.0</v>
      </c>
      <c r="C157" s="21" t="s">
        <v>126</v>
      </c>
      <c r="D157" s="124" t="str">
        <f t="shared" si="2"/>
        <v>NDOMA BODE I.D7</v>
      </c>
      <c r="E157" s="93">
        <v>256.0</v>
      </c>
      <c r="F157" s="93">
        <v>32.0</v>
      </c>
      <c r="G157" s="93"/>
      <c r="H157" s="93">
        <v>4.0</v>
      </c>
      <c r="I157" s="125">
        <v>0.0</v>
      </c>
      <c r="J157" s="126">
        <f t="shared" si="3"/>
        <v>780</v>
      </c>
      <c r="K157" s="119"/>
      <c r="L157" s="111">
        <f t="shared" si="4"/>
        <v>-196560</v>
      </c>
      <c r="M157" s="127">
        <f t="shared" si="5"/>
        <v>8</v>
      </c>
      <c r="N157" s="113">
        <f t="shared" si="6"/>
        <v>0</v>
      </c>
      <c r="O157" s="113">
        <f t="shared" si="7"/>
        <v>4</v>
      </c>
      <c r="P157" s="114">
        <f t="shared" si="8"/>
        <v>0</v>
      </c>
      <c r="Q157" s="115">
        <f t="shared" si="9"/>
        <v>252</v>
      </c>
      <c r="R157" s="117">
        <v>196560.0</v>
      </c>
      <c r="S157" s="117">
        <f t="shared" si="10"/>
        <v>1003440</v>
      </c>
    </row>
    <row r="158">
      <c r="A158" s="20">
        <f t="shared" si="1"/>
        <v>5</v>
      </c>
      <c r="B158" s="106">
        <v>44036.0</v>
      </c>
      <c r="C158" s="21" t="s">
        <v>151</v>
      </c>
      <c r="D158" s="124" t="str">
        <f t="shared" si="2"/>
        <v>JAMES AKAN5</v>
      </c>
      <c r="E158" s="93">
        <v>198.0</v>
      </c>
      <c r="F158" s="93">
        <v>24.0</v>
      </c>
      <c r="G158" s="93"/>
      <c r="H158" s="93">
        <v>3.0</v>
      </c>
      <c r="I158" s="125">
        <v>0.0</v>
      </c>
      <c r="J158" s="126">
        <f t="shared" si="3"/>
        <v>780</v>
      </c>
      <c r="K158" s="119"/>
      <c r="L158" s="111">
        <f t="shared" si="4"/>
        <v>-152100</v>
      </c>
      <c r="M158" s="127">
        <f t="shared" si="5"/>
        <v>8</v>
      </c>
      <c r="N158" s="113">
        <f t="shared" si="6"/>
        <v>0</v>
      </c>
      <c r="O158" s="113">
        <f t="shared" si="7"/>
        <v>3</v>
      </c>
      <c r="P158" s="114">
        <f t="shared" si="8"/>
        <v>6</v>
      </c>
      <c r="Q158" s="115">
        <f t="shared" si="9"/>
        <v>195</v>
      </c>
      <c r="R158" s="117">
        <v>152100.0</v>
      </c>
      <c r="S158" s="117">
        <f t="shared" si="10"/>
        <v>607500</v>
      </c>
    </row>
    <row r="159">
      <c r="A159" s="20">
        <f t="shared" si="1"/>
        <v>2</v>
      </c>
      <c r="B159" s="106">
        <v>44040.0</v>
      </c>
      <c r="C159" s="21" t="s">
        <v>119</v>
      </c>
      <c r="D159" s="124" t="str">
        <f t="shared" si="2"/>
        <v>MAXWELL AGRO OBI2</v>
      </c>
      <c r="E159" s="93">
        <v>65.0</v>
      </c>
      <c r="F159" s="93">
        <v>8.0</v>
      </c>
      <c r="G159" s="93"/>
      <c r="H159" s="93">
        <v>1.0</v>
      </c>
      <c r="I159" s="125">
        <v>0.0</v>
      </c>
      <c r="J159" s="126">
        <f t="shared" si="3"/>
        <v>780</v>
      </c>
      <c r="K159" s="119"/>
      <c r="L159" s="111">
        <f t="shared" si="4"/>
        <v>-49920</v>
      </c>
      <c r="M159" s="127">
        <f t="shared" si="5"/>
        <v>8</v>
      </c>
      <c r="N159" s="113">
        <f t="shared" si="6"/>
        <v>0</v>
      </c>
      <c r="O159" s="113">
        <f t="shared" si="7"/>
        <v>1</v>
      </c>
      <c r="P159" s="114">
        <f t="shared" si="8"/>
        <v>0</v>
      </c>
      <c r="Q159" s="115">
        <f t="shared" si="9"/>
        <v>64</v>
      </c>
      <c r="R159" s="117">
        <v>49920.0</v>
      </c>
      <c r="S159" s="117">
        <f t="shared" si="10"/>
        <v>450080</v>
      </c>
    </row>
    <row r="160">
      <c r="A160" s="20">
        <f t="shared" si="1"/>
        <v>4</v>
      </c>
      <c r="B160" s="106">
        <v>44037.0</v>
      </c>
      <c r="C160" s="21" t="s">
        <v>124</v>
      </c>
      <c r="D160" s="124" t="str">
        <f t="shared" si="2"/>
        <v>REMMY BODES4</v>
      </c>
      <c r="E160" s="93">
        <v>125.0</v>
      </c>
      <c r="F160" s="93">
        <v>16.0</v>
      </c>
      <c r="G160" s="93"/>
      <c r="H160" s="93">
        <v>2.0</v>
      </c>
      <c r="I160" s="125">
        <v>0.0</v>
      </c>
      <c r="J160" s="126">
        <f t="shared" si="3"/>
        <v>780</v>
      </c>
      <c r="K160" s="119"/>
      <c r="L160" s="111">
        <f t="shared" si="4"/>
        <v>-95940</v>
      </c>
      <c r="M160" s="127">
        <f t="shared" si="5"/>
        <v>8</v>
      </c>
      <c r="N160" s="113">
        <f t="shared" si="6"/>
        <v>0</v>
      </c>
      <c r="O160" s="113">
        <f t="shared" si="7"/>
        <v>1</v>
      </c>
      <c r="P160" s="114">
        <f t="shared" si="8"/>
        <v>60</v>
      </c>
      <c r="Q160" s="115">
        <f t="shared" si="9"/>
        <v>123</v>
      </c>
      <c r="R160" s="117">
        <v>95940.0</v>
      </c>
      <c r="S160" s="117">
        <f t="shared" si="10"/>
        <v>924060</v>
      </c>
    </row>
    <row r="161">
      <c r="A161" s="20">
        <f t="shared" si="1"/>
        <v>8</v>
      </c>
      <c r="B161" s="106">
        <v>44039.0</v>
      </c>
      <c r="C161" s="21" t="s">
        <v>126</v>
      </c>
      <c r="D161" s="124" t="str">
        <f t="shared" si="2"/>
        <v>NDOMA BODE I.D8</v>
      </c>
      <c r="E161" s="93">
        <v>389.0</v>
      </c>
      <c r="F161" s="93">
        <v>41.0</v>
      </c>
      <c r="G161" s="93"/>
      <c r="H161" s="93">
        <v>5.0</v>
      </c>
      <c r="I161" s="125">
        <v>0.0</v>
      </c>
      <c r="J161" s="126">
        <f t="shared" si="3"/>
        <v>780</v>
      </c>
      <c r="K161" s="119"/>
      <c r="L161" s="111">
        <f t="shared" si="4"/>
        <v>-298740</v>
      </c>
      <c r="M161" s="127">
        <f t="shared" si="5"/>
        <v>8.2</v>
      </c>
      <c r="N161" s="113">
        <f t="shared" si="6"/>
        <v>1</v>
      </c>
      <c r="O161" s="113">
        <f t="shared" si="7"/>
        <v>6</v>
      </c>
      <c r="P161" s="114">
        <f t="shared" si="8"/>
        <v>4</v>
      </c>
      <c r="Q161" s="115">
        <f t="shared" si="9"/>
        <v>383</v>
      </c>
      <c r="R161" s="117">
        <v>298740.0</v>
      </c>
      <c r="S161" s="117">
        <f t="shared" si="10"/>
        <v>704700</v>
      </c>
    </row>
    <row r="162">
      <c r="A162" s="20">
        <f t="shared" si="1"/>
        <v>3</v>
      </c>
      <c r="B162" s="106">
        <v>44039.0</v>
      </c>
      <c r="C162" s="21" t="s">
        <v>107</v>
      </c>
      <c r="D162" s="124" t="str">
        <f t="shared" si="2"/>
        <v>BOSURU  BOSURU3</v>
      </c>
      <c r="E162" s="93">
        <v>222.0</v>
      </c>
      <c r="F162" s="93">
        <v>24.0</v>
      </c>
      <c r="G162" s="93"/>
      <c r="H162" s="93">
        <v>3.0</v>
      </c>
      <c r="I162" s="125"/>
      <c r="J162" s="126">
        <f t="shared" si="3"/>
        <v>780</v>
      </c>
      <c r="K162" s="119"/>
      <c r="L162" s="111">
        <f t="shared" si="4"/>
        <v>-170820</v>
      </c>
      <c r="M162" s="127">
        <f t="shared" si="5"/>
        <v>8</v>
      </c>
      <c r="N162" s="113">
        <f t="shared" si="6"/>
        <v>0</v>
      </c>
      <c r="O162" s="113">
        <f t="shared" si="7"/>
        <v>3</v>
      </c>
      <c r="P162" s="114">
        <f t="shared" si="8"/>
        <v>30</v>
      </c>
      <c r="Q162" s="115">
        <f t="shared" si="9"/>
        <v>219</v>
      </c>
      <c r="R162" s="117">
        <v>170820.0</v>
      </c>
      <c r="S162" s="117">
        <f t="shared" si="10"/>
        <v>1029180</v>
      </c>
    </row>
    <row r="163">
      <c r="A163" s="20">
        <f t="shared" si="1"/>
        <v>3</v>
      </c>
      <c r="B163" s="106">
        <v>44039.0</v>
      </c>
      <c r="C163" s="21" t="s">
        <v>140</v>
      </c>
      <c r="D163" s="124" t="str">
        <f t="shared" si="2"/>
        <v>PRINNESS3</v>
      </c>
      <c r="E163" s="93">
        <v>114.0</v>
      </c>
      <c r="F163" s="93">
        <v>21.0</v>
      </c>
      <c r="G163" s="93"/>
      <c r="H163" s="93">
        <v>2.0</v>
      </c>
      <c r="I163" s="125"/>
      <c r="J163" s="126">
        <f t="shared" si="3"/>
        <v>780</v>
      </c>
      <c r="K163" s="119"/>
      <c r="L163" s="111">
        <f t="shared" si="4"/>
        <v>-85020</v>
      </c>
      <c r="M163" s="127">
        <f t="shared" si="5"/>
        <v>10.5</v>
      </c>
      <c r="N163" s="113">
        <f t="shared" si="6"/>
        <v>3</v>
      </c>
      <c r="O163" s="113">
        <f t="shared" si="7"/>
        <v>1</v>
      </c>
      <c r="P163" s="114">
        <f t="shared" si="8"/>
        <v>46</v>
      </c>
      <c r="Q163" s="115">
        <f t="shared" si="9"/>
        <v>109</v>
      </c>
      <c r="R163" s="117">
        <v>85020.0</v>
      </c>
      <c r="S163" s="117">
        <f t="shared" si="10"/>
        <v>414980</v>
      </c>
    </row>
    <row r="164">
      <c r="A164" s="20">
        <f t="shared" si="1"/>
        <v>6</v>
      </c>
      <c r="B164" s="106">
        <v>44041.0</v>
      </c>
      <c r="C164" s="21" t="s">
        <v>151</v>
      </c>
      <c r="D164" s="124" t="str">
        <f t="shared" si="2"/>
        <v>JAMES AKAN6</v>
      </c>
      <c r="E164" s="93">
        <v>193.0</v>
      </c>
      <c r="F164" s="93">
        <v>24.0</v>
      </c>
      <c r="G164" s="93"/>
      <c r="H164" s="93">
        <v>3.0</v>
      </c>
      <c r="I164" s="125"/>
      <c r="J164" s="126">
        <f t="shared" si="3"/>
        <v>780</v>
      </c>
      <c r="K164" s="119"/>
      <c r="L164" s="111">
        <f t="shared" si="4"/>
        <v>-148200</v>
      </c>
      <c r="M164" s="127">
        <f t="shared" si="5"/>
        <v>8</v>
      </c>
      <c r="N164" s="113">
        <f t="shared" si="6"/>
        <v>0</v>
      </c>
      <c r="O164" s="113">
        <f t="shared" si="7"/>
        <v>3</v>
      </c>
      <c r="P164" s="114">
        <f t="shared" si="8"/>
        <v>0</v>
      </c>
      <c r="Q164" s="115">
        <f t="shared" si="9"/>
        <v>190</v>
      </c>
      <c r="R164" s="117">
        <v>148200.0</v>
      </c>
      <c r="S164" s="117">
        <f t="shared" si="10"/>
        <v>459300</v>
      </c>
    </row>
    <row r="165">
      <c r="A165" s="20">
        <f t="shared" si="1"/>
        <v>9</v>
      </c>
      <c r="B165" s="106">
        <v>44045.0</v>
      </c>
      <c r="C165" s="21" t="s">
        <v>126</v>
      </c>
      <c r="D165" s="124" t="str">
        <f t="shared" si="2"/>
        <v>NDOMA BODE I.D9</v>
      </c>
      <c r="E165" s="93">
        <v>192.0</v>
      </c>
      <c r="F165" s="93">
        <v>24.0</v>
      </c>
      <c r="G165" s="93"/>
      <c r="H165" s="93">
        <v>3.0</v>
      </c>
      <c r="I165" s="125"/>
      <c r="J165" s="126">
        <f t="shared" si="3"/>
        <v>780</v>
      </c>
      <c r="K165" s="119"/>
      <c r="L165" s="111">
        <f t="shared" si="4"/>
        <v>-147420</v>
      </c>
      <c r="M165" s="127">
        <f t="shared" si="5"/>
        <v>8</v>
      </c>
      <c r="N165" s="113">
        <f t="shared" si="6"/>
        <v>0</v>
      </c>
      <c r="O165" s="113">
        <f t="shared" si="7"/>
        <v>3</v>
      </c>
      <c r="P165" s="114">
        <f t="shared" si="8"/>
        <v>0</v>
      </c>
      <c r="Q165" s="115">
        <f t="shared" si="9"/>
        <v>189</v>
      </c>
      <c r="R165" s="117">
        <v>147420.0</v>
      </c>
      <c r="S165" s="117">
        <f t="shared" si="10"/>
        <v>557280</v>
      </c>
    </row>
    <row r="166">
      <c r="A166" s="20">
        <f t="shared" si="1"/>
        <v>7</v>
      </c>
      <c r="B166" s="106">
        <v>44078.0</v>
      </c>
      <c r="C166" s="21" t="s">
        <v>151</v>
      </c>
      <c r="D166" s="124" t="str">
        <f t="shared" si="2"/>
        <v>JAMES AKAN7</v>
      </c>
      <c r="E166" s="93">
        <v>367.0</v>
      </c>
      <c r="F166" s="93">
        <v>43.0</v>
      </c>
      <c r="G166" s="93"/>
      <c r="H166" s="93">
        <v>5.0</v>
      </c>
      <c r="I166" s="125">
        <v>0.0</v>
      </c>
      <c r="J166" s="126">
        <f t="shared" si="3"/>
        <v>780</v>
      </c>
      <c r="K166" s="119"/>
      <c r="L166" s="111">
        <f t="shared" si="4"/>
        <v>-280800</v>
      </c>
      <c r="M166" s="127">
        <f t="shared" si="5"/>
        <v>8.6</v>
      </c>
      <c r="N166" s="113">
        <f t="shared" si="6"/>
        <v>2</v>
      </c>
      <c r="O166" s="113">
        <f t="shared" si="7"/>
        <v>5</v>
      </c>
      <c r="P166" s="114">
        <f t="shared" si="8"/>
        <v>45</v>
      </c>
      <c r="Q166" s="115">
        <f t="shared" si="9"/>
        <v>360</v>
      </c>
      <c r="R166" s="117">
        <v>280800.0</v>
      </c>
      <c r="S166" s="117">
        <f t="shared" si="10"/>
        <v>178500</v>
      </c>
    </row>
    <row r="167">
      <c r="A167" s="20">
        <f t="shared" si="1"/>
        <v>3</v>
      </c>
      <c r="B167" s="106">
        <v>44078.0</v>
      </c>
      <c r="C167" s="21" t="s">
        <v>119</v>
      </c>
      <c r="D167" s="124" t="str">
        <f t="shared" si="2"/>
        <v>MAXWELL AGRO OBI3</v>
      </c>
      <c r="E167" s="93">
        <v>263.0</v>
      </c>
      <c r="F167" s="93">
        <v>43.5</v>
      </c>
      <c r="G167" s="93"/>
      <c r="H167" s="93">
        <v>4.0</v>
      </c>
      <c r="I167" s="125"/>
      <c r="J167" s="126">
        <f t="shared" si="3"/>
        <v>780</v>
      </c>
      <c r="K167" s="119"/>
      <c r="L167" s="111">
        <f t="shared" si="4"/>
        <v>-196560</v>
      </c>
      <c r="M167" s="127">
        <f t="shared" si="5"/>
        <v>10.88</v>
      </c>
      <c r="N167" s="113">
        <f t="shared" si="6"/>
        <v>7</v>
      </c>
      <c r="O167" s="113">
        <f t="shared" si="7"/>
        <v>4</v>
      </c>
      <c r="P167" s="114">
        <f t="shared" si="8"/>
        <v>0</v>
      </c>
      <c r="Q167" s="115">
        <f t="shared" si="9"/>
        <v>252</v>
      </c>
      <c r="R167" s="117">
        <v>196560.0</v>
      </c>
      <c r="S167" s="117">
        <f t="shared" si="10"/>
        <v>253520</v>
      </c>
    </row>
    <row r="168">
      <c r="A168" s="20">
        <f t="shared" si="1"/>
        <v>13</v>
      </c>
      <c r="B168" s="106">
        <v>44078.0</v>
      </c>
      <c r="C168" s="21" t="s">
        <v>117</v>
      </c>
      <c r="D168" s="124" t="str">
        <f t="shared" si="2"/>
        <v>LYDIA HNSON 13</v>
      </c>
      <c r="E168" s="93">
        <v>228.0</v>
      </c>
      <c r="F168" s="93">
        <v>32.0</v>
      </c>
      <c r="G168" s="93"/>
      <c r="H168" s="93">
        <v>4.0</v>
      </c>
      <c r="I168" s="125">
        <v>4.0</v>
      </c>
      <c r="J168" s="126">
        <f t="shared" si="3"/>
        <v>800</v>
      </c>
      <c r="K168" s="119"/>
      <c r="L168" s="111">
        <f t="shared" si="4"/>
        <v>-182400</v>
      </c>
      <c r="M168" s="127">
        <f t="shared" si="5"/>
        <v>8</v>
      </c>
      <c r="N168" s="113">
        <f t="shared" si="6"/>
        <v>0</v>
      </c>
      <c r="O168" s="113">
        <f t="shared" si="7"/>
        <v>3</v>
      </c>
      <c r="P168" s="114">
        <f t="shared" si="8"/>
        <v>39</v>
      </c>
      <c r="Q168" s="115">
        <f t="shared" si="9"/>
        <v>228</v>
      </c>
      <c r="R168" s="117">
        <v>182400.0</v>
      </c>
      <c r="S168" s="117">
        <f t="shared" si="10"/>
        <v>3094560</v>
      </c>
    </row>
    <row r="169">
      <c r="A169" s="20">
        <f t="shared" si="1"/>
        <v>2</v>
      </c>
      <c r="B169" s="106">
        <v>44078.0</v>
      </c>
      <c r="C169" s="21" t="s">
        <v>165</v>
      </c>
      <c r="D169" s="124" t="str">
        <f t="shared" si="2"/>
        <v>EUGENE2</v>
      </c>
      <c r="E169" s="93">
        <v>384.0</v>
      </c>
      <c r="F169" s="93">
        <v>18.0</v>
      </c>
      <c r="G169" s="93"/>
      <c r="H169" s="93">
        <v>2.0</v>
      </c>
      <c r="I169" s="125">
        <v>0.0</v>
      </c>
      <c r="J169" s="126">
        <f t="shared" si="3"/>
        <v>800</v>
      </c>
      <c r="K169" s="119"/>
      <c r="L169" s="111">
        <f t="shared" si="4"/>
        <v>-302400</v>
      </c>
      <c r="M169" s="127">
        <f t="shared" si="5"/>
        <v>9</v>
      </c>
      <c r="N169" s="113">
        <f t="shared" si="6"/>
        <v>4</v>
      </c>
      <c r="O169" s="113">
        <f t="shared" si="7"/>
        <v>6</v>
      </c>
      <c r="P169" s="114">
        <f t="shared" si="8"/>
        <v>0</v>
      </c>
      <c r="Q169" s="115">
        <f t="shared" si="9"/>
        <v>378</v>
      </c>
      <c r="R169" s="117">
        <v>302400.0</v>
      </c>
      <c r="S169" s="117">
        <f t="shared" si="10"/>
        <v>197600</v>
      </c>
    </row>
    <row r="170">
      <c r="A170" s="20">
        <f t="shared" si="1"/>
        <v>2</v>
      </c>
      <c r="B170" s="106">
        <v>44079.0</v>
      </c>
      <c r="C170" s="21" t="s">
        <v>159</v>
      </c>
      <c r="D170" s="124" t="str">
        <f t="shared" si="2"/>
        <v>EMMANUEL OKO 2</v>
      </c>
      <c r="E170" s="93">
        <v>189.0</v>
      </c>
      <c r="F170" s="93">
        <v>24.0</v>
      </c>
      <c r="G170" s="93"/>
      <c r="H170" s="93">
        <v>3.0</v>
      </c>
      <c r="I170" s="125">
        <v>3.0</v>
      </c>
      <c r="J170" s="126">
        <f t="shared" si="3"/>
        <v>750</v>
      </c>
      <c r="K170" s="119"/>
      <c r="L170" s="111">
        <f t="shared" si="4"/>
        <v>-141750</v>
      </c>
      <c r="M170" s="127">
        <f t="shared" si="5"/>
        <v>8</v>
      </c>
      <c r="N170" s="113">
        <f t="shared" si="6"/>
        <v>0</v>
      </c>
      <c r="O170" s="113">
        <f t="shared" si="7"/>
        <v>3</v>
      </c>
      <c r="P170" s="114">
        <f t="shared" si="8"/>
        <v>0</v>
      </c>
      <c r="Q170" s="115">
        <f t="shared" si="9"/>
        <v>189</v>
      </c>
      <c r="R170" s="117">
        <v>141750.0</v>
      </c>
      <c r="S170" s="117">
        <f t="shared" si="10"/>
        <v>93250</v>
      </c>
    </row>
    <row r="171">
      <c r="A171" s="20">
        <f t="shared" si="1"/>
        <v>7</v>
      </c>
      <c r="B171" s="106">
        <v>44039.0</v>
      </c>
      <c r="C171" s="21" t="s">
        <v>141</v>
      </c>
      <c r="D171" s="124" t="str">
        <f t="shared" si="2"/>
        <v>CORNWELL7</v>
      </c>
      <c r="E171" s="93">
        <v>17903.0</v>
      </c>
      <c r="F171" s="93">
        <v>1464.0</v>
      </c>
      <c r="G171" s="93"/>
      <c r="H171" s="93">
        <v>183.0</v>
      </c>
      <c r="I171" s="125">
        <v>183.0</v>
      </c>
      <c r="J171" s="126">
        <f t="shared" si="3"/>
        <v>762.44</v>
      </c>
      <c r="K171" s="119"/>
      <c r="L171" s="111">
        <f t="shared" si="4"/>
        <v>-13650000</v>
      </c>
      <c r="M171" s="127">
        <f t="shared" si="5"/>
        <v>8</v>
      </c>
      <c r="N171" s="113">
        <f t="shared" si="6"/>
        <v>0</v>
      </c>
      <c r="O171" s="113">
        <f t="shared" si="7"/>
        <v>284</v>
      </c>
      <c r="P171" s="114">
        <f t="shared" si="8"/>
        <v>11</v>
      </c>
      <c r="Q171" s="115">
        <f t="shared" si="9"/>
        <v>17903</v>
      </c>
      <c r="R171" s="117">
        <v>1.365E7</v>
      </c>
      <c r="S171" s="117">
        <f t="shared" si="10"/>
        <v>1754440</v>
      </c>
    </row>
    <row r="172">
      <c r="A172" s="20">
        <f t="shared" si="1"/>
        <v>3</v>
      </c>
      <c r="B172" s="106">
        <v>44048.0</v>
      </c>
      <c r="C172" s="21" t="s">
        <v>157</v>
      </c>
      <c r="D172" s="124" t="str">
        <f t="shared" si="2"/>
        <v>ALFRED ALABI3</v>
      </c>
      <c r="E172" s="93"/>
      <c r="F172" s="93"/>
      <c r="G172" s="93"/>
      <c r="H172" s="93"/>
      <c r="I172" s="125"/>
      <c r="J172" s="126" t="str">
        <f t="shared" si="3"/>
        <v/>
      </c>
      <c r="K172" s="119">
        <v>5000.0</v>
      </c>
      <c r="L172" s="111">
        <f t="shared" si="4"/>
        <v>5000</v>
      </c>
      <c r="M172" s="127" t="str">
        <f t="shared" si="5"/>
        <v/>
      </c>
      <c r="N172" s="113">
        <f t="shared" si="6"/>
        <v>0</v>
      </c>
      <c r="O172" s="113">
        <f t="shared" si="7"/>
        <v>0</v>
      </c>
      <c r="P172" s="114">
        <f t="shared" si="8"/>
        <v>0</v>
      </c>
      <c r="Q172" s="115">
        <f t="shared" si="9"/>
        <v>0</v>
      </c>
      <c r="R172" s="117"/>
      <c r="S172" s="117">
        <f t="shared" si="10"/>
        <v>490000</v>
      </c>
    </row>
    <row r="173">
      <c r="A173" s="20">
        <f t="shared" si="1"/>
        <v>11</v>
      </c>
      <c r="B173" s="106">
        <v>44049.0</v>
      </c>
      <c r="C173" s="21" t="s">
        <v>146</v>
      </c>
      <c r="D173" s="124" t="str">
        <f t="shared" si="2"/>
        <v>CONNECT11</v>
      </c>
      <c r="E173" s="93"/>
      <c r="F173" s="93"/>
      <c r="G173" s="93"/>
      <c r="H173" s="93"/>
      <c r="I173" s="125"/>
      <c r="J173" s="126" t="str">
        <f t="shared" si="3"/>
        <v/>
      </c>
      <c r="K173" s="119">
        <v>500000.0</v>
      </c>
      <c r="L173" s="111">
        <f t="shared" si="4"/>
        <v>500000</v>
      </c>
      <c r="M173" s="127" t="str">
        <f t="shared" si="5"/>
        <v/>
      </c>
      <c r="N173" s="113">
        <f t="shared" si="6"/>
        <v>0</v>
      </c>
      <c r="O173" s="113">
        <f t="shared" si="7"/>
        <v>0</v>
      </c>
      <c r="P173" s="114">
        <f t="shared" si="8"/>
        <v>0</v>
      </c>
      <c r="Q173" s="115">
        <f t="shared" si="9"/>
        <v>0</v>
      </c>
      <c r="R173" s="117"/>
      <c r="S173" s="117">
        <f t="shared" si="10"/>
        <v>2162400</v>
      </c>
    </row>
    <row r="174">
      <c r="A174" s="20">
        <f t="shared" si="1"/>
        <v>12</v>
      </c>
      <c r="B174" s="106">
        <v>44049.0</v>
      </c>
      <c r="C174" s="21" t="s">
        <v>146</v>
      </c>
      <c r="D174" s="124" t="str">
        <f t="shared" si="2"/>
        <v>CONNECT12</v>
      </c>
      <c r="E174" s="93"/>
      <c r="F174" s="93"/>
      <c r="G174" s="93"/>
      <c r="H174" s="93"/>
      <c r="I174" s="125"/>
      <c r="J174" s="126" t="str">
        <f t="shared" si="3"/>
        <v/>
      </c>
      <c r="K174" s="119">
        <v>5000.0</v>
      </c>
      <c r="L174" s="111">
        <f t="shared" si="4"/>
        <v>5000</v>
      </c>
      <c r="M174" s="127" t="str">
        <f t="shared" si="5"/>
        <v/>
      </c>
      <c r="N174" s="113">
        <f t="shared" si="6"/>
        <v>0</v>
      </c>
      <c r="O174" s="113">
        <f t="shared" si="7"/>
        <v>0</v>
      </c>
      <c r="P174" s="114">
        <f t="shared" si="8"/>
        <v>0</v>
      </c>
      <c r="Q174" s="115">
        <f t="shared" si="9"/>
        <v>0</v>
      </c>
      <c r="R174" s="117"/>
      <c r="S174" s="117">
        <f t="shared" si="10"/>
        <v>2167400</v>
      </c>
    </row>
    <row r="175">
      <c r="A175" s="20">
        <f t="shared" si="1"/>
        <v>11</v>
      </c>
      <c r="B175" s="106">
        <v>44049.0</v>
      </c>
      <c r="C175" s="21" t="s">
        <v>152</v>
      </c>
      <c r="D175" s="124" t="str">
        <f t="shared" si="2"/>
        <v>RECTOR W.11</v>
      </c>
      <c r="E175" s="93"/>
      <c r="F175" s="93"/>
      <c r="G175" s="93"/>
      <c r="H175" s="93"/>
      <c r="I175" s="125"/>
      <c r="J175" s="126" t="str">
        <f t="shared" si="3"/>
        <v/>
      </c>
      <c r="K175" s="119">
        <v>111800.0</v>
      </c>
      <c r="L175" s="111">
        <f t="shared" si="4"/>
        <v>111800</v>
      </c>
      <c r="M175" s="127" t="str">
        <f t="shared" si="5"/>
        <v/>
      </c>
      <c r="N175" s="113">
        <f t="shared" si="6"/>
        <v>0</v>
      </c>
      <c r="O175" s="113">
        <f t="shared" si="7"/>
        <v>0</v>
      </c>
      <c r="P175" s="114">
        <f t="shared" si="8"/>
        <v>0</v>
      </c>
      <c r="Q175" s="115">
        <f t="shared" si="9"/>
        <v>0</v>
      </c>
      <c r="R175" s="117"/>
      <c r="S175" s="117">
        <f t="shared" si="10"/>
        <v>1259780</v>
      </c>
    </row>
    <row r="176">
      <c r="A176" s="20">
        <f t="shared" si="1"/>
        <v>8</v>
      </c>
      <c r="B176" s="106">
        <v>44049.0</v>
      </c>
      <c r="C176" s="21" t="s">
        <v>113</v>
      </c>
      <c r="D176" s="124" t="str">
        <f t="shared" si="2"/>
        <v> MAXWELL AGRO8</v>
      </c>
      <c r="E176" s="93"/>
      <c r="F176" s="93"/>
      <c r="G176" s="93"/>
      <c r="H176" s="93"/>
      <c r="I176" s="125"/>
      <c r="J176" s="126" t="str">
        <f t="shared" si="3"/>
        <v/>
      </c>
      <c r="K176" s="119">
        <v>2000.0</v>
      </c>
      <c r="L176" s="111">
        <f t="shared" si="4"/>
        <v>2000</v>
      </c>
      <c r="M176" s="127" t="str">
        <f t="shared" si="5"/>
        <v/>
      </c>
      <c r="N176" s="113">
        <f t="shared" si="6"/>
        <v>0</v>
      </c>
      <c r="O176" s="113">
        <f t="shared" si="7"/>
        <v>0</v>
      </c>
      <c r="P176" s="114">
        <f t="shared" si="8"/>
        <v>0</v>
      </c>
      <c r="Q176" s="115">
        <f t="shared" si="9"/>
        <v>0</v>
      </c>
      <c r="R176" s="117"/>
      <c r="S176" s="117">
        <f t="shared" si="10"/>
        <v>530320</v>
      </c>
    </row>
    <row r="177">
      <c r="A177" s="20">
        <f t="shared" si="1"/>
        <v>1</v>
      </c>
      <c r="B177" s="106">
        <v>44049.0</v>
      </c>
      <c r="C177" s="21" t="s">
        <v>167</v>
      </c>
      <c r="D177" s="124" t="str">
        <f t="shared" si="2"/>
        <v>OBIM TIWA HNSON1</v>
      </c>
      <c r="E177" s="93"/>
      <c r="F177" s="93"/>
      <c r="G177" s="93"/>
      <c r="H177" s="93"/>
      <c r="I177" s="125"/>
      <c r="J177" s="126" t="str">
        <f t="shared" si="3"/>
        <v/>
      </c>
      <c r="K177" s="119">
        <v>90000.0</v>
      </c>
      <c r="L177" s="111">
        <f t="shared" si="4"/>
        <v>90000</v>
      </c>
      <c r="M177" s="127" t="str">
        <f t="shared" si="5"/>
        <v/>
      </c>
      <c r="N177" s="113">
        <f t="shared" si="6"/>
        <v>0</v>
      </c>
      <c r="O177" s="113">
        <f t="shared" si="7"/>
        <v>0</v>
      </c>
      <c r="P177" s="114">
        <f t="shared" si="8"/>
        <v>0</v>
      </c>
      <c r="Q177" s="115">
        <f t="shared" si="9"/>
        <v>0</v>
      </c>
      <c r="R177" s="117"/>
      <c r="S177" s="117">
        <f t="shared" si="10"/>
        <v>90000</v>
      </c>
    </row>
    <row r="178">
      <c r="A178" s="20">
        <f t="shared" si="1"/>
        <v>1</v>
      </c>
      <c r="B178" s="106">
        <v>44049.0</v>
      </c>
      <c r="C178" s="21" t="s">
        <v>168</v>
      </c>
      <c r="D178" s="124" t="str">
        <f t="shared" si="2"/>
        <v>DUN SUNDAY NDOMA (NATION)1</v>
      </c>
      <c r="E178" s="93"/>
      <c r="F178" s="93"/>
      <c r="G178" s="93"/>
      <c r="H178" s="93"/>
      <c r="I178" s="125"/>
      <c r="J178" s="126" t="str">
        <f t="shared" si="3"/>
        <v/>
      </c>
      <c r="K178" s="119">
        <v>100000.0</v>
      </c>
      <c r="L178" s="111">
        <f t="shared" si="4"/>
        <v>100000</v>
      </c>
      <c r="M178" s="127" t="str">
        <f t="shared" si="5"/>
        <v/>
      </c>
      <c r="N178" s="113">
        <f t="shared" si="6"/>
        <v>0</v>
      </c>
      <c r="O178" s="113">
        <f t="shared" si="7"/>
        <v>0</v>
      </c>
      <c r="P178" s="114">
        <f t="shared" si="8"/>
        <v>0</v>
      </c>
      <c r="Q178" s="115">
        <f t="shared" si="9"/>
        <v>0</v>
      </c>
      <c r="R178" s="117"/>
      <c r="S178" s="117">
        <f t="shared" si="10"/>
        <v>100000</v>
      </c>
    </row>
    <row r="179">
      <c r="A179" s="20">
        <f t="shared" si="1"/>
        <v>4</v>
      </c>
      <c r="B179" s="106">
        <v>44049.0</v>
      </c>
      <c r="C179" s="21" t="s">
        <v>157</v>
      </c>
      <c r="D179" s="124" t="str">
        <f t="shared" si="2"/>
        <v>ALFRED ALABI4</v>
      </c>
      <c r="E179" s="93"/>
      <c r="F179" s="93"/>
      <c r="G179" s="93"/>
      <c r="H179" s="93"/>
      <c r="I179" s="125"/>
      <c r="J179" s="126" t="str">
        <f t="shared" si="3"/>
        <v/>
      </c>
      <c r="K179" s="119">
        <v>1000000.0</v>
      </c>
      <c r="L179" s="111">
        <f t="shared" si="4"/>
        <v>1000000</v>
      </c>
      <c r="M179" s="127" t="str">
        <f t="shared" si="5"/>
        <v/>
      </c>
      <c r="N179" s="113">
        <f t="shared" si="6"/>
        <v>0</v>
      </c>
      <c r="O179" s="113">
        <f t="shared" si="7"/>
        <v>0</v>
      </c>
      <c r="P179" s="114">
        <f t="shared" si="8"/>
        <v>0</v>
      </c>
      <c r="Q179" s="115">
        <f t="shared" si="9"/>
        <v>0</v>
      </c>
      <c r="R179" s="117"/>
      <c r="S179" s="117">
        <f t="shared" si="10"/>
        <v>1490000</v>
      </c>
    </row>
    <row r="180">
      <c r="A180" s="20">
        <f t="shared" si="1"/>
        <v>1</v>
      </c>
      <c r="B180" s="106">
        <v>44049.0</v>
      </c>
      <c r="C180" s="21" t="s">
        <v>169</v>
      </c>
      <c r="D180" s="124" t="str">
        <f t="shared" si="2"/>
        <v>A. D. FREDERICK1</v>
      </c>
      <c r="E180" s="93"/>
      <c r="F180" s="93"/>
      <c r="G180" s="93"/>
      <c r="H180" s="93"/>
      <c r="I180" s="125"/>
      <c r="J180" s="126" t="str">
        <f t="shared" si="3"/>
        <v/>
      </c>
      <c r="K180" s="119">
        <v>250000.0</v>
      </c>
      <c r="L180" s="111">
        <f t="shared" si="4"/>
        <v>250000</v>
      </c>
      <c r="M180" s="127" t="str">
        <f t="shared" si="5"/>
        <v/>
      </c>
      <c r="N180" s="113">
        <f t="shared" si="6"/>
        <v>0</v>
      </c>
      <c r="O180" s="113">
        <f t="shared" si="7"/>
        <v>0</v>
      </c>
      <c r="P180" s="114">
        <f t="shared" si="8"/>
        <v>0</v>
      </c>
      <c r="Q180" s="115">
        <f t="shared" si="9"/>
        <v>0</v>
      </c>
      <c r="R180" s="117"/>
      <c r="S180" s="117">
        <f t="shared" si="10"/>
        <v>250000</v>
      </c>
    </row>
    <row r="181">
      <c r="A181" s="20">
        <f t="shared" si="1"/>
        <v>3</v>
      </c>
      <c r="B181" s="106">
        <v>44049.0</v>
      </c>
      <c r="C181" s="21" t="s">
        <v>159</v>
      </c>
      <c r="D181" s="124" t="str">
        <f t="shared" si="2"/>
        <v>EMMANUEL OKO 3</v>
      </c>
      <c r="E181" s="93"/>
      <c r="F181" s="93"/>
      <c r="G181" s="93"/>
      <c r="H181" s="93"/>
      <c r="I181" s="125"/>
      <c r="J181" s="126" t="str">
        <f t="shared" si="3"/>
        <v/>
      </c>
      <c r="K181" s="119">
        <v>245000.0</v>
      </c>
      <c r="L181" s="111">
        <f t="shared" si="4"/>
        <v>245000</v>
      </c>
      <c r="M181" s="127" t="str">
        <f t="shared" si="5"/>
        <v/>
      </c>
      <c r="N181" s="113">
        <f t="shared" si="6"/>
        <v>0</v>
      </c>
      <c r="O181" s="113">
        <f t="shared" si="7"/>
        <v>0</v>
      </c>
      <c r="P181" s="114">
        <f t="shared" si="8"/>
        <v>0</v>
      </c>
      <c r="Q181" s="115">
        <f t="shared" si="9"/>
        <v>0</v>
      </c>
      <c r="R181" s="117"/>
      <c r="S181" s="117">
        <f t="shared" si="10"/>
        <v>338250</v>
      </c>
    </row>
    <row r="182">
      <c r="A182" s="20">
        <f t="shared" si="1"/>
        <v>12</v>
      </c>
      <c r="B182" s="106">
        <v>44049.0</v>
      </c>
      <c r="C182" s="21" t="s">
        <v>152</v>
      </c>
      <c r="D182" s="124" t="str">
        <f t="shared" si="2"/>
        <v>RECTOR W.12</v>
      </c>
      <c r="E182" s="93"/>
      <c r="F182" s="93"/>
      <c r="G182" s="93"/>
      <c r="H182" s="93"/>
      <c r="I182" s="125"/>
      <c r="J182" s="126" t="str">
        <f t="shared" si="3"/>
        <v/>
      </c>
      <c r="K182" s="119">
        <v>3000.0</v>
      </c>
      <c r="L182" s="111">
        <f t="shared" si="4"/>
        <v>3000</v>
      </c>
      <c r="M182" s="127" t="str">
        <f t="shared" si="5"/>
        <v/>
      </c>
      <c r="N182" s="113">
        <f t="shared" si="6"/>
        <v>0</v>
      </c>
      <c r="O182" s="113">
        <f t="shared" si="7"/>
        <v>0</v>
      </c>
      <c r="P182" s="114">
        <f t="shared" si="8"/>
        <v>0</v>
      </c>
      <c r="Q182" s="115">
        <f t="shared" si="9"/>
        <v>0</v>
      </c>
      <c r="R182" s="117"/>
      <c r="S182" s="117">
        <f t="shared" si="10"/>
        <v>1262780</v>
      </c>
    </row>
    <row r="183">
      <c r="A183" s="20">
        <f t="shared" si="1"/>
        <v>8</v>
      </c>
      <c r="B183" s="106">
        <v>44049.0</v>
      </c>
      <c r="C183" s="21" t="s">
        <v>141</v>
      </c>
      <c r="D183" s="124" t="str">
        <f t="shared" si="2"/>
        <v>CORNWELL8</v>
      </c>
      <c r="E183" s="93"/>
      <c r="F183" s="93"/>
      <c r="G183" s="93"/>
      <c r="H183" s="93"/>
      <c r="I183" s="125"/>
      <c r="J183" s="126" t="str">
        <f t="shared" si="3"/>
        <v/>
      </c>
      <c r="K183" s="119">
        <v>3.642825E7</v>
      </c>
      <c r="L183" s="111">
        <f t="shared" si="4"/>
        <v>36428250</v>
      </c>
      <c r="M183" s="127" t="str">
        <f t="shared" si="5"/>
        <v/>
      </c>
      <c r="N183" s="113">
        <f t="shared" si="6"/>
        <v>0</v>
      </c>
      <c r="O183" s="113">
        <f t="shared" si="7"/>
        <v>0</v>
      </c>
      <c r="P183" s="114">
        <f t="shared" si="8"/>
        <v>0</v>
      </c>
      <c r="Q183" s="115">
        <f t="shared" si="9"/>
        <v>0</v>
      </c>
      <c r="R183" s="117"/>
      <c r="S183" s="117">
        <f t="shared" si="10"/>
        <v>38182690</v>
      </c>
    </row>
    <row r="184">
      <c r="A184" s="20">
        <f t="shared" si="1"/>
        <v>13</v>
      </c>
      <c r="B184" s="106">
        <v>44050.0</v>
      </c>
      <c r="C184" s="21" t="s">
        <v>152</v>
      </c>
      <c r="D184" s="124" t="str">
        <f t="shared" si="2"/>
        <v>RECTOR W.13</v>
      </c>
      <c r="E184" s="93"/>
      <c r="F184" s="93"/>
      <c r="G184" s="93"/>
      <c r="H184" s="93"/>
      <c r="I184" s="125"/>
      <c r="J184" s="126" t="str">
        <f t="shared" si="3"/>
        <v/>
      </c>
      <c r="K184" s="119">
        <v>2500000.0</v>
      </c>
      <c r="L184" s="111">
        <f t="shared" si="4"/>
        <v>2500000</v>
      </c>
      <c r="M184" s="127" t="str">
        <f t="shared" si="5"/>
        <v/>
      </c>
      <c r="N184" s="113">
        <f t="shared" si="6"/>
        <v>0</v>
      </c>
      <c r="O184" s="113">
        <f t="shared" si="7"/>
        <v>0</v>
      </c>
      <c r="P184" s="114">
        <f t="shared" si="8"/>
        <v>0</v>
      </c>
      <c r="Q184" s="115">
        <f t="shared" si="9"/>
        <v>0</v>
      </c>
      <c r="R184" s="117"/>
      <c r="S184" s="117">
        <f t="shared" si="10"/>
        <v>3762780</v>
      </c>
    </row>
    <row r="185">
      <c r="A185" s="20">
        <f t="shared" si="1"/>
        <v>4</v>
      </c>
      <c r="B185" s="106">
        <v>44050.0</v>
      </c>
      <c r="C185" s="21" t="s">
        <v>147</v>
      </c>
      <c r="D185" s="124" t="str">
        <f t="shared" si="2"/>
        <v>ZULU &amp; NDOMA4</v>
      </c>
      <c r="E185" s="93"/>
      <c r="F185" s="93"/>
      <c r="G185" s="93"/>
      <c r="H185" s="93"/>
      <c r="I185" s="125"/>
      <c r="J185" s="126" t="str">
        <f t="shared" si="3"/>
        <v/>
      </c>
      <c r="K185" s="119">
        <v>5000.0</v>
      </c>
      <c r="L185" s="111">
        <f t="shared" si="4"/>
        <v>5000</v>
      </c>
      <c r="M185" s="127" t="str">
        <f t="shared" si="5"/>
        <v/>
      </c>
      <c r="N185" s="113">
        <f t="shared" si="6"/>
        <v>0</v>
      </c>
      <c r="O185" s="113">
        <f t="shared" si="7"/>
        <v>0</v>
      </c>
      <c r="P185" s="114">
        <f t="shared" si="8"/>
        <v>0</v>
      </c>
      <c r="Q185" s="115">
        <f t="shared" si="9"/>
        <v>0</v>
      </c>
      <c r="R185" s="117"/>
      <c r="S185" s="117">
        <f t="shared" si="10"/>
        <v>208400</v>
      </c>
    </row>
    <row r="186">
      <c r="A186" s="20">
        <f t="shared" si="1"/>
        <v>14</v>
      </c>
      <c r="B186" s="106">
        <v>44050.0</v>
      </c>
      <c r="C186" s="21" t="s">
        <v>152</v>
      </c>
      <c r="D186" s="124" t="str">
        <f t="shared" si="2"/>
        <v>RECTOR W.14</v>
      </c>
      <c r="E186" s="93"/>
      <c r="F186" s="93"/>
      <c r="G186" s="93"/>
      <c r="H186" s="93"/>
      <c r="I186" s="125"/>
      <c r="J186" s="126" t="str">
        <f t="shared" si="3"/>
        <v/>
      </c>
      <c r="K186" s="119">
        <v>1530000.0</v>
      </c>
      <c r="L186" s="111">
        <f t="shared" si="4"/>
        <v>1530000</v>
      </c>
      <c r="M186" s="127" t="str">
        <f t="shared" si="5"/>
        <v/>
      </c>
      <c r="N186" s="113">
        <f t="shared" si="6"/>
        <v>0</v>
      </c>
      <c r="O186" s="113">
        <f t="shared" si="7"/>
        <v>0</v>
      </c>
      <c r="P186" s="114">
        <f t="shared" si="8"/>
        <v>0</v>
      </c>
      <c r="Q186" s="115">
        <f t="shared" si="9"/>
        <v>0</v>
      </c>
      <c r="R186" s="117"/>
      <c r="S186" s="117">
        <f t="shared" si="10"/>
        <v>5292780</v>
      </c>
    </row>
    <row r="187">
      <c r="A187" s="20">
        <f t="shared" si="1"/>
        <v>6</v>
      </c>
      <c r="B187" s="106">
        <v>44051.0</v>
      </c>
      <c r="C187" s="21" t="s">
        <v>46</v>
      </c>
      <c r="D187" s="124" t="str">
        <f t="shared" si="2"/>
        <v>ETUK EFFI6</v>
      </c>
      <c r="E187" s="93"/>
      <c r="F187" s="93"/>
      <c r="G187" s="93"/>
      <c r="H187" s="93"/>
      <c r="I187" s="125"/>
      <c r="J187" s="126" t="str">
        <f t="shared" si="3"/>
        <v/>
      </c>
      <c r="K187" s="119">
        <v>1379140.0</v>
      </c>
      <c r="L187" s="111">
        <f t="shared" si="4"/>
        <v>1379140</v>
      </c>
      <c r="M187" s="127" t="str">
        <f t="shared" si="5"/>
        <v/>
      </c>
      <c r="N187" s="113">
        <f t="shared" si="6"/>
        <v>0</v>
      </c>
      <c r="O187" s="113">
        <f t="shared" si="7"/>
        <v>0</v>
      </c>
      <c r="P187" s="114">
        <f t="shared" si="8"/>
        <v>0</v>
      </c>
      <c r="Q187" s="115">
        <f t="shared" si="9"/>
        <v>0</v>
      </c>
      <c r="R187" s="117"/>
      <c r="S187" s="117">
        <f t="shared" si="10"/>
        <v>1436860</v>
      </c>
    </row>
    <row r="188">
      <c r="A188" s="20">
        <f t="shared" si="1"/>
        <v>15</v>
      </c>
      <c r="B188" s="106">
        <v>44051.0</v>
      </c>
      <c r="C188" s="21" t="s">
        <v>152</v>
      </c>
      <c r="D188" s="124" t="str">
        <f t="shared" si="2"/>
        <v>RECTOR W.15</v>
      </c>
      <c r="E188" s="93"/>
      <c r="F188" s="93"/>
      <c r="G188" s="93"/>
      <c r="H188" s="93"/>
      <c r="I188" s="125"/>
      <c r="J188" s="126" t="str">
        <f t="shared" si="3"/>
        <v/>
      </c>
      <c r="K188" s="119">
        <v>75000.0</v>
      </c>
      <c r="L188" s="111">
        <f t="shared" si="4"/>
        <v>75000</v>
      </c>
      <c r="M188" s="127" t="str">
        <f t="shared" si="5"/>
        <v/>
      </c>
      <c r="N188" s="113">
        <f t="shared" si="6"/>
        <v>0</v>
      </c>
      <c r="O188" s="113">
        <f t="shared" si="7"/>
        <v>0</v>
      </c>
      <c r="P188" s="114">
        <f t="shared" si="8"/>
        <v>0</v>
      </c>
      <c r="Q188" s="115">
        <f t="shared" si="9"/>
        <v>0</v>
      </c>
      <c r="R188" s="117"/>
      <c r="S188" s="117">
        <f t="shared" si="10"/>
        <v>5367780</v>
      </c>
    </row>
    <row r="189">
      <c r="A189" s="20">
        <f t="shared" si="1"/>
        <v>4</v>
      </c>
      <c r="B189" s="106">
        <v>44051.0</v>
      </c>
      <c r="C189" s="21" t="s">
        <v>107</v>
      </c>
      <c r="D189" s="124" t="str">
        <f t="shared" si="2"/>
        <v>BOSURU  BOSURU4</v>
      </c>
      <c r="E189" s="93"/>
      <c r="F189" s="93"/>
      <c r="G189" s="93"/>
      <c r="H189" s="93"/>
      <c r="I189" s="125"/>
      <c r="J189" s="126" t="str">
        <f t="shared" si="3"/>
        <v/>
      </c>
      <c r="K189" s="119">
        <v>200000.0</v>
      </c>
      <c r="L189" s="111">
        <f t="shared" si="4"/>
        <v>200000</v>
      </c>
      <c r="M189" s="127" t="str">
        <f t="shared" si="5"/>
        <v/>
      </c>
      <c r="N189" s="113">
        <f t="shared" si="6"/>
        <v>0</v>
      </c>
      <c r="O189" s="113">
        <f t="shared" si="7"/>
        <v>0</v>
      </c>
      <c r="P189" s="114">
        <f t="shared" si="8"/>
        <v>0</v>
      </c>
      <c r="Q189" s="115">
        <f t="shared" si="9"/>
        <v>0</v>
      </c>
      <c r="R189" s="117"/>
      <c r="S189" s="117">
        <f t="shared" si="10"/>
        <v>1229180</v>
      </c>
    </row>
    <row r="190">
      <c r="A190" s="20">
        <f t="shared" si="1"/>
        <v>10</v>
      </c>
      <c r="B190" s="106">
        <v>44052.0</v>
      </c>
      <c r="C190" s="21" t="s">
        <v>126</v>
      </c>
      <c r="D190" s="124" t="str">
        <f t="shared" si="2"/>
        <v>NDOMA BODE I.D10</v>
      </c>
      <c r="E190" s="93">
        <v>908.0</v>
      </c>
      <c r="F190" s="93">
        <v>129.0</v>
      </c>
      <c r="G190" s="93"/>
      <c r="H190" s="93">
        <v>14.0</v>
      </c>
      <c r="I190" s="125">
        <v>0.0</v>
      </c>
      <c r="J190" s="126">
        <f t="shared" si="3"/>
        <v>647.43</v>
      </c>
      <c r="K190" s="119"/>
      <c r="L190" s="111">
        <f t="shared" si="4"/>
        <v>-571680</v>
      </c>
      <c r="M190" s="127">
        <f t="shared" si="5"/>
        <v>9.21</v>
      </c>
      <c r="N190" s="113">
        <f t="shared" si="6"/>
        <v>11</v>
      </c>
      <c r="O190" s="113">
        <f t="shared" si="7"/>
        <v>14</v>
      </c>
      <c r="P190" s="114">
        <f t="shared" si="8"/>
        <v>0</v>
      </c>
      <c r="Q190" s="115">
        <f t="shared" si="9"/>
        <v>883</v>
      </c>
      <c r="R190" s="117">
        <v>571680.0</v>
      </c>
      <c r="S190" s="117">
        <f t="shared" si="10"/>
        <v>-14400</v>
      </c>
    </row>
    <row r="191">
      <c r="A191" s="20">
        <f t="shared" si="1"/>
        <v>3</v>
      </c>
      <c r="B191" s="106">
        <v>44053.0</v>
      </c>
      <c r="C191" s="21" t="s">
        <v>156</v>
      </c>
      <c r="D191" s="124" t="str">
        <f t="shared" si="2"/>
        <v>NDOMA PETER3</v>
      </c>
      <c r="E191" s="93">
        <v>1397.0</v>
      </c>
      <c r="F191" s="93">
        <v>198.0</v>
      </c>
      <c r="G191" s="93"/>
      <c r="H191" s="93">
        <v>21.0</v>
      </c>
      <c r="I191" s="125"/>
      <c r="J191" s="126">
        <f t="shared" si="3"/>
        <v>800</v>
      </c>
      <c r="K191" s="119"/>
      <c r="L191" s="111">
        <f t="shared" si="4"/>
        <v>-1084800</v>
      </c>
      <c r="M191" s="127">
        <f t="shared" si="5"/>
        <v>9.43</v>
      </c>
      <c r="N191" s="113">
        <f t="shared" si="6"/>
        <v>20</v>
      </c>
      <c r="O191" s="113">
        <f t="shared" si="7"/>
        <v>21</v>
      </c>
      <c r="P191" s="114">
        <f t="shared" si="8"/>
        <v>33</v>
      </c>
      <c r="Q191" s="115">
        <f t="shared" si="9"/>
        <v>1356</v>
      </c>
      <c r="R191" s="117">
        <v>1084800.0</v>
      </c>
      <c r="S191" s="117">
        <f t="shared" si="10"/>
        <v>-484800</v>
      </c>
    </row>
    <row r="192">
      <c r="A192" s="20">
        <f t="shared" si="1"/>
        <v>6</v>
      </c>
      <c r="B192" s="106">
        <v>44051.0</v>
      </c>
      <c r="C192" s="21" t="s">
        <v>98</v>
      </c>
      <c r="D192" s="124" t="str">
        <f t="shared" si="2"/>
        <v>EDWARD OKO6</v>
      </c>
      <c r="E192" s="93">
        <v>1596.0</v>
      </c>
      <c r="F192" s="93">
        <v>211.5</v>
      </c>
      <c r="G192" s="93"/>
      <c r="H192" s="93">
        <v>24.0</v>
      </c>
      <c r="I192" s="125"/>
      <c r="J192" s="126">
        <f t="shared" si="3"/>
        <v>820</v>
      </c>
      <c r="K192" s="119"/>
      <c r="L192" s="111">
        <f t="shared" si="4"/>
        <v>-1278380</v>
      </c>
      <c r="M192" s="127">
        <f t="shared" si="5"/>
        <v>8.81</v>
      </c>
      <c r="N192" s="113">
        <f t="shared" si="6"/>
        <v>13</v>
      </c>
      <c r="O192" s="113">
        <f t="shared" si="7"/>
        <v>24</v>
      </c>
      <c r="P192" s="114">
        <f t="shared" si="8"/>
        <v>47</v>
      </c>
      <c r="Q192" s="115">
        <f t="shared" si="9"/>
        <v>1559</v>
      </c>
      <c r="R192" s="117">
        <v>1278380.0</v>
      </c>
      <c r="S192" s="117">
        <f t="shared" si="10"/>
        <v>372220</v>
      </c>
    </row>
    <row r="193">
      <c r="A193" s="20">
        <f t="shared" si="1"/>
        <v>5</v>
      </c>
      <c r="B193" s="106">
        <v>44048.0</v>
      </c>
      <c r="C193" s="21" t="s">
        <v>157</v>
      </c>
      <c r="D193" s="124" t="str">
        <f t="shared" si="2"/>
        <v>ALFRED ALABI5</v>
      </c>
      <c r="E193" s="93">
        <v>1040.0</v>
      </c>
      <c r="F193" s="93">
        <v>120.0</v>
      </c>
      <c r="G193" s="93"/>
      <c r="H193" s="93">
        <v>15.0</v>
      </c>
      <c r="I193" s="125"/>
      <c r="J193" s="126">
        <f t="shared" si="3"/>
        <v>790</v>
      </c>
      <c r="K193" s="119"/>
      <c r="L193" s="111">
        <f t="shared" si="4"/>
        <v>-809750</v>
      </c>
      <c r="M193" s="127">
        <f t="shared" si="5"/>
        <v>8</v>
      </c>
      <c r="N193" s="113">
        <f t="shared" si="6"/>
        <v>0</v>
      </c>
      <c r="O193" s="113">
        <f t="shared" si="7"/>
        <v>16</v>
      </c>
      <c r="P193" s="114">
        <f t="shared" si="8"/>
        <v>16</v>
      </c>
      <c r="Q193" s="115">
        <f t="shared" si="9"/>
        <v>1025</v>
      </c>
      <c r="R193" s="117">
        <v>809750.0</v>
      </c>
      <c r="S193" s="117">
        <f t="shared" si="10"/>
        <v>680250</v>
      </c>
    </row>
    <row r="194">
      <c r="A194" s="20">
        <f t="shared" si="1"/>
        <v>16</v>
      </c>
      <c r="B194" s="106">
        <v>44053.0</v>
      </c>
      <c r="C194" s="21" t="s">
        <v>152</v>
      </c>
      <c r="D194" s="124" t="str">
        <f t="shared" si="2"/>
        <v>RECTOR W.16</v>
      </c>
      <c r="E194" s="93">
        <v>1420.0</v>
      </c>
      <c r="F194" s="93">
        <v>176.0</v>
      </c>
      <c r="G194" s="93"/>
      <c r="H194" s="93">
        <v>22.0</v>
      </c>
      <c r="I194" s="125"/>
      <c r="J194" s="126">
        <f t="shared" si="3"/>
        <v>780</v>
      </c>
      <c r="K194" s="119"/>
      <c r="L194" s="111">
        <f t="shared" si="4"/>
        <v>-1090440</v>
      </c>
      <c r="M194" s="127">
        <f t="shared" si="5"/>
        <v>8</v>
      </c>
      <c r="N194" s="113">
        <f t="shared" si="6"/>
        <v>0</v>
      </c>
      <c r="O194" s="113">
        <f t="shared" si="7"/>
        <v>22</v>
      </c>
      <c r="P194" s="114">
        <f t="shared" si="8"/>
        <v>12</v>
      </c>
      <c r="Q194" s="115">
        <f t="shared" si="9"/>
        <v>1398</v>
      </c>
      <c r="R194" s="117">
        <v>1090440.0</v>
      </c>
      <c r="S194" s="117">
        <f t="shared" si="10"/>
        <v>4277340</v>
      </c>
    </row>
    <row r="195">
      <c r="A195" s="20">
        <f t="shared" si="1"/>
        <v>5</v>
      </c>
      <c r="B195" s="106">
        <v>44053.0</v>
      </c>
      <c r="C195" s="21" t="s">
        <v>147</v>
      </c>
      <c r="D195" s="124" t="str">
        <f t="shared" si="2"/>
        <v>ZULU &amp; NDOMA5</v>
      </c>
      <c r="E195" s="93">
        <v>129.0</v>
      </c>
      <c r="F195" s="93">
        <v>16.0</v>
      </c>
      <c r="G195" s="93"/>
      <c r="H195" s="93">
        <v>2.0</v>
      </c>
      <c r="I195" s="125"/>
      <c r="J195" s="126">
        <f t="shared" si="3"/>
        <v>800</v>
      </c>
      <c r="K195" s="119"/>
      <c r="L195" s="111">
        <f t="shared" si="4"/>
        <v>-101600</v>
      </c>
      <c r="M195" s="127">
        <f t="shared" si="5"/>
        <v>8</v>
      </c>
      <c r="N195" s="113">
        <f t="shared" si="6"/>
        <v>0</v>
      </c>
      <c r="O195" s="113">
        <f t="shared" si="7"/>
        <v>2</v>
      </c>
      <c r="P195" s="114">
        <f t="shared" si="8"/>
        <v>0</v>
      </c>
      <c r="Q195" s="115">
        <f t="shared" si="9"/>
        <v>127</v>
      </c>
      <c r="R195" s="117">
        <v>101600.0</v>
      </c>
      <c r="S195" s="117">
        <f t="shared" si="10"/>
        <v>106800</v>
      </c>
    </row>
    <row r="196">
      <c r="A196" s="20">
        <f t="shared" si="1"/>
        <v>5</v>
      </c>
      <c r="B196" s="106">
        <v>44051.0</v>
      </c>
      <c r="C196" s="21" t="s">
        <v>107</v>
      </c>
      <c r="D196" s="124" t="str">
        <f t="shared" si="2"/>
        <v>BOSURU  BOSURU5</v>
      </c>
      <c r="E196" s="93">
        <v>232.0</v>
      </c>
      <c r="F196" s="93">
        <v>23.66</v>
      </c>
      <c r="G196" s="93"/>
      <c r="H196" s="93">
        <v>2.0</v>
      </c>
      <c r="I196" s="125"/>
      <c r="J196" s="126">
        <f t="shared" si="3"/>
        <v>800</v>
      </c>
      <c r="K196" s="119"/>
      <c r="L196" s="111">
        <f t="shared" si="4"/>
        <v>-176800</v>
      </c>
      <c r="M196" s="127">
        <f t="shared" si="5"/>
        <v>11.83</v>
      </c>
      <c r="N196" s="113">
        <f t="shared" si="6"/>
        <v>9</v>
      </c>
      <c r="O196" s="113">
        <f t="shared" si="7"/>
        <v>3</v>
      </c>
      <c r="P196" s="114">
        <f t="shared" si="8"/>
        <v>32</v>
      </c>
      <c r="Q196" s="115">
        <f t="shared" si="9"/>
        <v>221</v>
      </c>
      <c r="R196" s="117">
        <v>176800.0</v>
      </c>
      <c r="S196" s="117">
        <f t="shared" si="10"/>
        <v>1052380</v>
      </c>
    </row>
    <row r="197">
      <c r="A197" s="20">
        <f t="shared" si="1"/>
        <v>3</v>
      </c>
      <c r="B197" s="106">
        <v>44052.0</v>
      </c>
      <c r="C197" s="21" t="s">
        <v>165</v>
      </c>
      <c r="D197" s="124" t="str">
        <f t="shared" si="2"/>
        <v>EUGENE3</v>
      </c>
      <c r="E197" s="93">
        <v>212.0</v>
      </c>
      <c r="F197" s="93">
        <v>25.5</v>
      </c>
      <c r="G197" s="93"/>
      <c r="H197" s="93">
        <v>3.0</v>
      </c>
      <c r="I197" s="125"/>
      <c r="J197" s="126">
        <f t="shared" si="3"/>
        <v>800</v>
      </c>
      <c r="K197" s="119"/>
      <c r="L197" s="111">
        <f t="shared" si="4"/>
        <v>-166400</v>
      </c>
      <c r="M197" s="127">
        <f t="shared" si="5"/>
        <v>8.5</v>
      </c>
      <c r="N197" s="113">
        <f t="shared" si="6"/>
        <v>1</v>
      </c>
      <c r="O197" s="113">
        <f t="shared" si="7"/>
        <v>3</v>
      </c>
      <c r="P197" s="114">
        <f t="shared" si="8"/>
        <v>19</v>
      </c>
      <c r="Q197" s="115">
        <f t="shared" si="9"/>
        <v>208</v>
      </c>
      <c r="R197" s="117">
        <v>166400.0</v>
      </c>
      <c r="S197" s="117">
        <f t="shared" si="10"/>
        <v>31200</v>
      </c>
    </row>
    <row r="198">
      <c r="A198" s="20">
        <f t="shared" si="1"/>
        <v>4</v>
      </c>
      <c r="B198" s="106">
        <v>44054.0</v>
      </c>
      <c r="C198" s="21" t="s">
        <v>159</v>
      </c>
      <c r="D198" s="124" t="str">
        <f t="shared" si="2"/>
        <v>EMMANUEL OKO 4</v>
      </c>
      <c r="E198" s="93">
        <v>133.0</v>
      </c>
      <c r="F198" s="93">
        <v>24.0</v>
      </c>
      <c r="G198" s="93"/>
      <c r="H198" s="93">
        <v>3.0</v>
      </c>
      <c r="I198" s="125"/>
      <c r="J198" s="126">
        <f t="shared" si="3"/>
        <v>750</v>
      </c>
      <c r="K198" s="119"/>
      <c r="L198" s="111">
        <f t="shared" si="4"/>
        <v>-97500</v>
      </c>
      <c r="M198" s="127">
        <f t="shared" si="5"/>
        <v>8</v>
      </c>
      <c r="N198" s="113">
        <f t="shared" si="6"/>
        <v>0</v>
      </c>
      <c r="O198" s="113">
        <f t="shared" si="7"/>
        <v>2</v>
      </c>
      <c r="P198" s="114">
        <f t="shared" si="8"/>
        <v>4</v>
      </c>
      <c r="Q198" s="115">
        <f t="shared" si="9"/>
        <v>130</v>
      </c>
      <c r="R198" s="117">
        <v>97500.0</v>
      </c>
      <c r="S198" s="117">
        <f t="shared" si="10"/>
        <v>240750</v>
      </c>
    </row>
    <row r="199">
      <c r="A199" s="20">
        <f t="shared" si="1"/>
        <v>4</v>
      </c>
      <c r="B199" s="106">
        <v>44054.0</v>
      </c>
      <c r="C199" s="21" t="s">
        <v>156</v>
      </c>
      <c r="D199" s="124" t="str">
        <f t="shared" si="2"/>
        <v>NDOMA PETER4</v>
      </c>
      <c r="E199" s="93"/>
      <c r="F199" s="93"/>
      <c r="G199" s="93"/>
      <c r="H199" s="93"/>
      <c r="I199" s="125"/>
      <c r="J199" s="126" t="str">
        <f t="shared" si="3"/>
        <v/>
      </c>
      <c r="K199" s="119">
        <v>484800.0</v>
      </c>
      <c r="L199" s="111">
        <f t="shared" si="4"/>
        <v>484800</v>
      </c>
      <c r="M199" s="127" t="str">
        <f t="shared" si="5"/>
        <v/>
      </c>
      <c r="N199" s="113">
        <f t="shared" si="6"/>
        <v>0</v>
      </c>
      <c r="O199" s="113">
        <f t="shared" si="7"/>
        <v>0</v>
      </c>
      <c r="P199" s="114">
        <f t="shared" si="8"/>
        <v>0</v>
      </c>
      <c r="Q199" s="115">
        <f t="shared" si="9"/>
        <v>0</v>
      </c>
      <c r="R199" s="117"/>
      <c r="S199" s="117">
        <f t="shared" si="10"/>
        <v>0</v>
      </c>
    </row>
    <row r="200">
      <c r="A200" s="20">
        <f t="shared" si="1"/>
        <v>11</v>
      </c>
      <c r="B200" s="106">
        <v>44054.0</v>
      </c>
      <c r="C200" s="21" t="s">
        <v>126</v>
      </c>
      <c r="D200" s="124" t="str">
        <f t="shared" si="2"/>
        <v>NDOMA BODE I.D11</v>
      </c>
      <c r="E200" s="93"/>
      <c r="F200" s="93"/>
      <c r="G200" s="93"/>
      <c r="H200" s="93"/>
      <c r="I200" s="125"/>
      <c r="J200" s="126" t="str">
        <f t="shared" si="3"/>
        <v/>
      </c>
      <c r="K200" s="119">
        <v>14400.0</v>
      </c>
      <c r="L200" s="111">
        <f t="shared" si="4"/>
        <v>14400</v>
      </c>
      <c r="M200" s="127" t="str">
        <f t="shared" si="5"/>
        <v/>
      </c>
      <c r="N200" s="113">
        <f t="shared" si="6"/>
        <v>0</v>
      </c>
      <c r="O200" s="113">
        <f t="shared" si="7"/>
        <v>0</v>
      </c>
      <c r="P200" s="114">
        <f t="shared" si="8"/>
        <v>0</v>
      </c>
      <c r="Q200" s="115">
        <f t="shared" si="9"/>
        <v>0</v>
      </c>
      <c r="R200" s="117"/>
      <c r="S200" s="117">
        <f t="shared" si="10"/>
        <v>0</v>
      </c>
    </row>
    <row r="201">
      <c r="A201" s="20">
        <f t="shared" si="1"/>
        <v>13</v>
      </c>
      <c r="B201" s="106">
        <v>44054.0</v>
      </c>
      <c r="C201" s="21" t="s">
        <v>146</v>
      </c>
      <c r="D201" s="124" t="str">
        <f t="shared" si="2"/>
        <v>CONNECT13</v>
      </c>
      <c r="E201" s="93"/>
      <c r="F201" s="93"/>
      <c r="G201" s="93"/>
      <c r="H201" s="93"/>
      <c r="I201" s="125"/>
      <c r="J201" s="126" t="str">
        <f t="shared" si="3"/>
        <v/>
      </c>
      <c r="K201" s="119">
        <v>3000000.0</v>
      </c>
      <c r="L201" s="111">
        <f t="shared" si="4"/>
        <v>3000000</v>
      </c>
      <c r="M201" s="127" t="str">
        <f t="shared" si="5"/>
        <v/>
      </c>
      <c r="N201" s="113">
        <f t="shared" si="6"/>
        <v>0</v>
      </c>
      <c r="O201" s="113">
        <f t="shared" si="7"/>
        <v>0</v>
      </c>
      <c r="P201" s="114">
        <f t="shared" si="8"/>
        <v>0</v>
      </c>
      <c r="Q201" s="115">
        <f t="shared" si="9"/>
        <v>0</v>
      </c>
      <c r="R201" s="117"/>
      <c r="S201" s="117">
        <f t="shared" si="10"/>
        <v>5167400</v>
      </c>
    </row>
    <row r="202">
      <c r="A202" s="20">
        <f t="shared" si="1"/>
        <v>14</v>
      </c>
      <c r="B202" s="106">
        <v>44054.0</v>
      </c>
      <c r="C202" s="21" t="s">
        <v>146</v>
      </c>
      <c r="D202" s="124" t="str">
        <f t="shared" si="2"/>
        <v>CONNECT14</v>
      </c>
      <c r="E202" s="93"/>
      <c r="F202" s="93"/>
      <c r="G202" s="93"/>
      <c r="H202" s="93"/>
      <c r="I202" s="125"/>
      <c r="J202" s="126" t="str">
        <f t="shared" si="3"/>
        <v/>
      </c>
      <c r="K202" s="119">
        <v>100000.0</v>
      </c>
      <c r="L202" s="111">
        <f t="shared" si="4"/>
        <v>100000</v>
      </c>
      <c r="M202" s="127" t="str">
        <f t="shared" si="5"/>
        <v/>
      </c>
      <c r="N202" s="113">
        <f t="shared" si="6"/>
        <v>0</v>
      </c>
      <c r="O202" s="113">
        <f t="shared" si="7"/>
        <v>0</v>
      </c>
      <c r="P202" s="114">
        <f t="shared" si="8"/>
        <v>0</v>
      </c>
      <c r="Q202" s="115">
        <f t="shared" si="9"/>
        <v>0</v>
      </c>
      <c r="R202" s="117"/>
      <c r="S202" s="117">
        <f t="shared" si="10"/>
        <v>5267400</v>
      </c>
    </row>
    <row r="203">
      <c r="A203" s="20">
        <f t="shared" si="1"/>
        <v>12</v>
      </c>
      <c r="B203" s="106">
        <v>44054.0</v>
      </c>
      <c r="C203" s="21" t="s">
        <v>126</v>
      </c>
      <c r="D203" s="124" t="str">
        <f t="shared" si="2"/>
        <v>NDOMA BODE I.D12</v>
      </c>
      <c r="E203" s="93"/>
      <c r="F203" s="93"/>
      <c r="G203" s="93"/>
      <c r="H203" s="93"/>
      <c r="I203" s="125"/>
      <c r="J203" s="126" t="str">
        <f t="shared" si="3"/>
        <v/>
      </c>
      <c r="K203" s="119">
        <v>1000000.0</v>
      </c>
      <c r="L203" s="111">
        <f t="shared" si="4"/>
        <v>1000000</v>
      </c>
      <c r="M203" s="127" t="str">
        <f t="shared" si="5"/>
        <v/>
      </c>
      <c r="N203" s="113">
        <f t="shared" si="6"/>
        <v>0</v>
      </c>
      <c r="O203" s="113">
        <f t="shared" si="7"/>
        <v>0</v>
      </c>
      <c r="P203" s="114">
        <f t="shared" si="8"/>
        <v>0</v>
      </c>
      <c r="Q203" s="115">
        <f t="shared" si="9"/>
        <v>0</v>
      </c>
      <c r="R203" s="117"/>
      <c r="S203" s="117">
        <f t="shared" si="10"/>
        <v>1000000</v>
      </c>
    </row>
    <row r="204">
      <c r="A204" s="20">
        <f t="shared" si="1"/>
        <v>11</v>
      </c>
      <c r="B204" s="106">
        <v>44054.0</v>
      </c>
      <c r="C204" s="21" t="s">
        <v>150</v>
      </c>
      <c r="D204" s="124" t="str">
        <f t="shared" si="2"/>
        <v>LIVINUS11</v>
      </c>
      <c r="E204" s="93"/>
      <c r="F204" s="93"/>
      <c r="G204" s="93"/>
      <c r="H204" s="93"/>
      <c r="I204" s="125"/>
      <c r="J204" s="126" t="str">
        <f t="shared" si="3"/>
        <v/>
      </c>
      <c r="K204" s="119">
        <v>512000.0</v>
      </c>
      <c r="L204" s="111">
        <f t="shared" si="4"/>
        <v>512000</v>
      </c>
      <c r="M204" s="127" t="str">
        <f t="shared" si="5"/>
        <v/>
      </c>
      <c r="N204" s="113">
        <f t="shared" si="6"/>
        <v>0</v>
      </c>
      <c r="O204" s="113">
        <f t="shared" si="7"/>
        <v>0</v>
      </c>
      <c r="P204" s="114">
        <f t="shared" si="8"/>
        <v>0</v>
      </c>
      <c r="Q204" s="115">
        <f t="shared" si="9"/>
        <v>0</v>
      </c>
      <c r="R204" s="117"/>
      <c r="S204" s="117">
        <f t="shared" si="10"/>
        <v>4427000</v>
      </c>
    </row>
    <row r="205">
      <c r="A205" s="20">
        <f t="shared" si="1"/>
        <v>7</v>
      </c>
      <c r="B205" s="106">
        <v>44054.0</v>
      </c>
      <c r="C205" s="21" t="s">
        <v>46</v>
      </c>
      <c r="D205" s="124" t="str">
        <f t="shared" si="2"/>
        <v>ETUK EFFI7</v>
      </c>
      <c r="E205" s="93"/>
      <c r="F205" s="93"/>
      <c r="G205" s="93"/>
      <c r="H205" s="93"/>
      <c r="I205" s="125"/>
      <c r="J205" s="126" t="str">
        <f t="shared" si="3"/>
        <v/>
      </c>
      <c r="K205" s="119">
        <v>1500000.0</v>
      </c>
      <c r="L205" s="111">
        <f t="shared" si="4"/>
        <v>1500000</v>
      </c>
      <c r="M205" s="127" t="str">
        <f t="shared" si="5"/>
        <v/>
      </c>
      <c r="N205" s="113">
        <f t="shared" si="6"/>
        <v>0</v>
      </c>
      <c r="O205" s="113">
        <f t="shared" si="7"/>
        <v>0</v>
      </c>
      <c r="P205" s="114">
        <f t="shared" si="8"/>
        <v>0</v>
      </c>
      <c r="Q205" s="115">
        <f t="shared" si="9"/>
        <v>0</v>
      </c>
      <c r="R205" s="117"/>
      <c r="S205" s="117">
        <f t="shared" si="10"/>
        <v>2936860</v>
      </c>
    </row>
    <row r="206">
      <c r="A206" s="20">
        <f t="shared" si="1"/>
        <v>2</v>
      </c>
      <c r="B206" s="106">
        <v>44054.0</v>
      </c>
      <c r="C206" s="21" t="s">
        <v>118</v>
      </c>
      <c r="D206" s="124" t="str">
        <f t="shared" si="2"/>
        <v>NAOMI2</v>
      </c>
      <c r="E206" s="93"/>
      <c r="F206" s="93"/>
      <c r="G206" s="93"/>
      <c r="H206" s="93"/>
      <c r="I206" s="125"/>
      <c r="J206" s="126" t="str">
        <f t="shared" si="3"/>
        <v/>
      </c>
      <c r="K206" s="119">
        <v>10000.0</v>
      </c>
      <c r="L206" s="111">
        <f t="shared" si="4"/>
        <v>10000</v>
      </c>
      <c r="M206" s="127" t="str">
        <f t="shared" si="5"/>
        <v/>
      </c>
      <c r="N206" s="113">
        <f t="shared" si="6"/>
        <v>0</v>
      </c>
      <c r="O206" s="113">
        <f t="shared" si="7"/>
        <v>0</v>
      </c>
      <c r="P206" s="114">
        <f t="shared" si="8"/>
        <v>0</v>
      </c>
      <c r="Q206" s="115">
        <f t="shared" si="9"/>
        <v>0</v>
      </c>
      <c r="R206" s="117"/>
      <c r="S206" s="117">
        <f t="shared" si="10"/>
        <v>13100265</v>
      </c>
    </row>
    <row r="207">
      <c r="A207" s="20">
        <f t="shared" si="1"/>
        <v>2</v>
      </c>
      <c r="B207" s="106">
        <v>44054.0</v>
      </c>
      <c r="C207" s="21" t="s">
        <v>123</v>
      </c>
      <c r="D207" s="124" t="str">
        <f t="shared" si="2"/>
        <v>RI SAMP2</v>
      </c>
      <c r="E207" s="93"/>
      <c r="F207" s="93"/>
      <c r="G207" s="93"/>
      <c r="H207" s="93"/>
      <c r="I207" s="125"/>
      <c r="J207" s="126" t="str">
        <f t="shared" si="3"/>
        <v/>
      </c>
      <c r="K207" s="119">
        <v>429600.0</v>
      </c>
      <c r="L207" s="111">
        <f t="shared" si="4"/>
        <v>429600</v>
      </c>
      <c r="M207" s="127" t="str">
        <f t="shared" si="5"/>
        <v/>
      </c>
      <c r="N207" s="113">
        <f t="shared" si="6"/>
        <v>0</v>
      </c>
      <c r="O207" s="113">
        <f t="shared" si="7"/>
        <v>0</v>
      </c>
      <c r="P207" s="114">
        <f t="shared" si="8"/>
        <v>0</v>
      </c>
      <c r="Q207" s="115">
        <f t="shared" si="9"/>
        <v>0</v>
      </c>
      <c r="R207" s="117"/>
      <c r="S207" s="117">
        <f t="shared" si="10"/>
        <v>1429600</v>
      </c>
    </row>
    <row r="208">
      <c r="A208" s="20">
        <f t="shared" si="1"/>
        <v>8</v>
      </c>
      <c r="B208" s="106">
        <v>44054.0</v>
      </c>
      <c r="C208" s="21" t="s">
        <v>151</v>
      </c>
      <c r="D208" s="124" t="str">
        <f t="shared" si="2"/>
        <v>JAMES AKAN8</v>
      </c>
      <c r="E208" s="93"/>
      <c r="F208" s="93"/>
      <c r="G208" s="93"/>
      <c r="H208" s="93"/>
      <c r="I208" s="125"/>
      <c r="J208" s="126" t="str">
        <f t="shared" si="3"/>
        <v/>
      </c>
      <c r="K208" s="119">
        <v>670000.0</v>
      </c>
      <c r="L208" s="111">
        <f t="shared" si="4"/>
        <v>670000</v>
      </c>
      <c r="M208" s="127" t="str">
        <f t="shared" si="5"/>
        <v/>
      </c>
      <c r="N208" s="113">
        <f t="shared" si="6"/>
        <v>0</v>
      </c>
      <c r="O208" s="113">
        <f t="shared" si="7"/>
        <v>0</v>
      </c>
      <c r="P208" s="114">
        <f t="shared" si="8"/>
        <v>0</v>
      </c>
      <c r="Q208" s="115">
        <f t="shared" si="9"/>
        <v>0</v>
      </c>
      <c r="R208" s="117"/>
      <c r="S208" s="117">
        <f t="shared" si="10"/>
        <v>848500</v>
      </c>
    </row>
    <row r="209">
      <c r="A209" s="20">
        <f t="shared" si="1"/>
        <v>5</v>
      </c>
      <c r="B209" s="106">
        <v>44054.0</v>
      </c>
      <c r="C209" s="21" t="s">
        <v>159</v>
      </c>
      <c r="D209" s="124" t="str">
        <f t="shared" si="2"/>
        <v>EMMANUEL OKO 5</v>
      </c>
      <c r="E209" s="93"/>
      <c r="F209" s="93"/>
      <c r="G209" s="93"/>
      <c r="H209" s="93"/>
      <c r="I209" s="125"/>
      <c r="J209" s="126" t="str">
        <f t="shared" si="3"/>
        <v/>
      </c>
      <c r="K209" s="119">
        <v>500000.0</v>
      </c>
      <c r="L209" s="111">
        <f t="shared" si="4"/>
        <v>500000</v>
      </c>
      <c r="M209" s="127" t="str">
        <f t="shared" si="5"/>
        <v/>
      </c>
      <c r="N209" s="113">
        <f t="shared" si="6"/>
        <v>0</v>
      </c>
      <c r="O209" s="113">
        <f t="shared" si="7"/>
        <v>0</v>
      </c>
      <c r="P209" s="114">
        <f t="shared" si="8"/>
        <v>0</v>
      </c>
      <c r="Q209" s="115">
        <f t="shared" si="9"/>
        <v>0</v>
      </c>
      <c r="R209" s="117"/>
      <c r="S209" s="117">
        <f t="shared" si="10"/>
        <v>740750</v>
      </c>
    </row>
    <row r="210">
      <c r="A210" s="20">
        <f t="shared" si="1"/>
        <v>4</v>
      </c>
      <c r="B210" s="106">
        <v>44054.0</v>
      </c>
      <c r="C210" s="21" t="s">
        <v>165</v>
      </c>
      <c r="D210" s="124" t="str">
        <f t="shared" si="2"/>
        <v>EUGENE4</v>
      </c>
      <c r="E210" s="93"/>
      <c r="F210" s="93"/>
      <c r="G210" s="93"/>
      <c r="H210" s="93"/>
      <c r="I210" s="125"/>
      <c r="J210" s="126" t="str">
        <f t="shared" si="3"/>
        <v/>
      </c>
      <c r="K210" s="119">
        <v>300000.0</v>
      </c>
      <c r="L210" s="111">
        <f t="shared" si="4"/>
        <v>300000</v>
      </c>
      <c r="M210" s="127" t="str">
        <f t="shared" si="5"/>
        <v/>
      </c>
      <c r="N210" s="113">
        <f t="shared" si="6"/>
        <v>0</v>
      </c>
      <c r="O210" s="113">
        <f t="shared" si="7"/>
        <v>0</v>
      </c>
      <c r="P210" s="114">
        <f t="shared" si="8"/>
        <v>0</v>
      </c>
      <c r="Q210" s="115">
        <f t="shared" si="9"/>
        <v>0</v>
      </c>
      <c r="R210" s="117"/>
      <c r="S210" s="117">
        <f t="shared" si="10"/>
        <v>331200</v>
      </c>
    </row>
    <row r="211">
      <c r="A211" s="20">
        <f t="shared" si="1"/>
        <v>6</v>
      </c>
      <c r="B211" s="106">
        <v>44054.0</v>
      </c>
      <c r="C211" s="21" t="s">
        <v>107</v>
      </c>
      <c r="D211" s="124" t="str">
        <f t="shared" si="2"/>
        <v>BOSURU  BOSURU6</v>
      </c>
      <c r="E211" s="93"/>
      <c r="F211" s="93"/>
      <c r="G211" s="93"/>
      <c r="H211" s="93"/>
      <c r="I211" s="125"/>
      <c r="J211" s="126" t="str">
        <f t="shared" si="3"/>
        <v/>
      </c>
      <c r="K211" s="119">
        <v>200000.0</v>
      </c>
      <c r="L211" s="111">
        <f t="shared" si="4"/>
        <v>200000</v>
      </c>
      <c r="M211" s="127" t="str">
        <f t="shared" si="5"/>
        <v/>
      </c>
      <c r="N211" s="113">
        <f t="shared" si="6"/>
        <v>0</v>
      </c>
      <c r="O211" s="113">
        <f t="shared" si="7"/>
        <v>0</v>
      </c>
      <c r="P211" s="114">
        <f t="shared" si="8"/>
        <v>0</v>
      </c>
      <c r="Q211" s="115">
        <f t="shared" si="9"/>
        <v>0</v>
      </c>
      <c r="R211" s="117"/>
      <c r="S211" s="117">
        <f t="shared" si="10"/>
        <v>1252380</v>
      </c>
    </row>
    <row r="212">
      <c r="A212" s="20">
        <f t="shared" si="1"/>
        <v>2</v>
      </c>
      <c r="B212" s="106">
        <v>44054.0</v>
      </c>
      <c r="C212" s="21" t="s">
        <v>169</v>
      </c>
      <c r="D212" s="124" t="str">
        <f t="shared" si="2"/>
        <v>A. D. FREDERICK2</v>
      </c>
      <c r="E212" s="93"/>
      <c r="F212" s="93"/>
      <c r="G212" s="93"/>
      <c r="H212" s="93"/>
      <c r="I212" s="125"/>
      <c r="J212" s="126" t="str">
        <f t="shared" si="3"/>
        <v/>
      </c>
      <c r="K212" s="119">
        <v>200000.0</v>
      </c>
      <c r="L212" s="111">
        <f t="shared" si="4"/>
        <v>200000</v>
      </c>
      <c r="M212" s="127" t="str">
        <f t="shared" si="5"/>
        <v/>
      </c>
      <c r="N212" s="113">
        <f t="shared" si="6"/>
        <v>0</v>
      </c>
      <c r="O212" s="113">
        <f t="shared" si="7"/>
        <v>0</v>
      </c>
      <c r="P212" s="114">
        <f t="shared" si="8"/>
        <v>0</v>
      </c>
      <c r="Q212" s="115">
        <f t="shared" si="9"/>
        <v>0</v>
      </c>
      <c r="R212" s="117"/>
      <c r="S212" s="117">
        <f t="shared" si="10"/>
        <v>450000</v>
      </c>
    </row>
    <row r="213">
      <c r="A213" s="20">
        <f t="shared" si="1"/>
        <v>3</v>
      </c>
      <c r="B213" s="106">
        <v>44054.0</v>
      </c>
      <c r="C213" s="21" t="s">
        <v>169</v>
      </c>
      <c r="D213" s="124" t="str">
        <f t="shared" si="2"/>
        <v>A. D. FREDERICK3</v>
      </c>
      <c r="E213" s="93"/>
      <c r="F213" s="93"/>
      <c r="G213" s="93"/>
      <c r="H213" s="93"/>
      <c r="I213" s="125"/>
      <c r="J213" s="126" t="str">
        <f t="shared" si="3"/>
        <v/>
      </c>
      <c r="K213" s="119">
        <v>300000.0</v>
      </c>
      <c r="L213" s="111">
        <f t="shared" si="4"/>
        <v>300000</v>
      </c>
      <c r="M213" s="127" t="str">
        <f t="shared" si="5"/>
        <v/>
      </c>
      <c r="N213" s="113">
        <f t="shared" si="6"/>
        <v>0</v>
      </c>
      <c r="O213" s="113">
        <f t="shared" si="7"/>
        <v>0</v>
      </c>
      <c r="P213" s="114">
        <f t="shared" si="8"/>
        <v>0</v>
      </c>
      <c r="Q213" s="115">
        <f t="shared" si="9"/>
        <v>0</v>
      </c>
      <c r="R213" s="117"/>
      <c r="S213" s="117">
        <f t="shared" si="10"/>
        <v>750000</v>
      </c>
    </row>
    <row r="214">
      <c r="A214" s="20">
        <f t="shared" si="1"/>
        <v>5</v>
      </c>
      <c r="B214" s="106">
        <v>44054.0</v>
      </c>
      <c r="C214" s="21" t="s">
        <v>156</v>
      </c>
      <c r="D214" s="124" t="str">
        <f t="shared" si="2"/>
        <v>NDOMA PETER5</v>
      </c>
      <c r="E214" s="93"/>
      <c r="F214" s="93"/>
      <c r="G214" s="93"/>
      <c r="H214" s="93"/>
      <c r="I214" s="125"/>
      <c r="J214" s="126" t="str">
        <f t="shared" si="3"/>
        <v/>
      </c>
      <c r="K214" s="119">
        <v>600000.0</v>
      </c>
      <c r="L214" s="111">
        <f t="shared" si="4"/>
        <v>600000</v>
      </c>
      <c r="M214" s="127" t="str">
        <f t="shared" si="5"/>
        <v/>
      </c>
      <c r="N214" s="113">
        <f t="shared" si="6"/>
        <v>0</v>
      </c>
      <c r="O214" s="113">
        <f t="shared" si="7"/>
        <v>0</v>
      </c>
      <c r="P214" s="114">
        <f t="shared" si="8"/>
        <v>0</v>
      </c>
      <c r="Q214" s="115">
        <f t="shared" si="9"/>
        <v>0</v>
      </c>
      <c r="R214" s="117"/>
      <c r="S214" s="117">
        <f t="shared" si="10"/>
        <v>600000</v>
      </c>
    </row>
    <row r="215">
      <c r="A215" s="20">
        <f t="shared" si="1"/>
        <v>1</v>
      </c>
      <c r="B215" s="106">
        <v>44054.0</v>
      </c>
      <c r="C215" s="21" t="s">
        <v>36</v>
      </c>
      <c r="D215" s="124" t="str">
        <f t="shared" si="2"/>
        <v>NDOMA NDOMA1</v>
      </c>
      <c r="E215" s="93"/>
      <c r="F215" s="93"/>
      <c r="G215" s="93"/>
      <c r="H215" s="93"/>
      <c r="I215" s="125"/>
      <c r="J215" s="126" t="str">
        <f t="shared" si="3"/>
        <v/>
      </c>
      <c r="K215" s="119">
        <v>200000.0</v>
      </c>
      <c r="L215" s="111">
        <f t="shared" si="4"/>
        <v>200000</v>
      </c>
      <c r="M215" s="127" t="str">
        <f t="shared" si="5"/>
        <v/>
      </c>
      <c r="N215" s="113">
        <f t="shared" si="6"/>
        <v>0</v>
      </c>
      <c r="O215" s="113">
        <f t="shared" si="7"/>
        <v>0</v>
      </c>
      <c r="P215" s="114">
        <f t="shared" si="8"/>
        <v>0</v>
      </c>
      <c r="Q215" s="115">
        <f t="shared" si="9"/>
        <v>0</v>
      </c>
      <c r="R215" s="117"/>
      <c r="S215" s="117">
        <f t="shared" si="10"/>
        <v>200000</v>
      </c>
    </row>
    <row r="216">
      <c r="A216" s="20">
        <f t="shared" si="1"/>
        <v>5</v>
      </c>
      <c r="B216" s="106">
        <v>44054.0</v>
      </c>
      <c r="C216" s="21" t="s">
        <v>124</v>
      </c>
      <c r="D216" s="124" t="str">
        <f t="shared" si="2"/>
        <v>REMMY BODES5</v>
      </c>
      <c r="E216" s="93"/>
      <c r="F216" s="93"/>
      <c r="G216" s="93"/>
      <c r="H216" s="93"/>
      <c r="I216" s="125"/>
      <c r="J216" s="126" t="str">
        <f t="shared" si="3"/>
        <v/>
      </c>
      <c r="K216" s="119">
        <v>500000.0</v>
      </c>
      <c r="L216" s="111">
        <f t="shared" si="4"/>
        <v>500000</v>
      </c>
      <c r="M216" s="127" t="str">
        <f t="shared" si="5"/>
        <v/>
      </c>
      <c r="N216" s="113">
        <f t="shared" si="6"/>
        <v>0</v>
      </c>
      <c r="O216" s="113">
        <f t="shared" si="7"/>
        <v>0</v>
      </c>
      <c r="P216" s="114">
        <f t="shared" si="8"/>
        <v>0</v>
      </c>
      <c r="Q216" s="115">
        <f t="shared" si="9"/>
        <v>0</v>
      </c>
      <c r="R216" s="117"/>
      <c r="S216" s="117">
        <f t="shared" si="10"/>
        <v>1424060</v>
      </c>
    </row>
    <row r="217">
      <c r="A217" s="20">
        <f t="shared" si="1"/>
        <v>6</v>
      </c>
      <c r="B217" s="106">
        <v>44055.0</v>
      </c>
      <c r="C217" s="21" t="s">
        <v>147</v>
      </c>
      <c r="D217" s="124" t="str">
        <f t="shared" si="2"/>
        <v>ZULU &amp; NDOMA6</v>
      </c>
      <c r="E217" s="93"/>
      <c r="F217" s="93"/>
      <c r="G217" s="93"/>
      <c r="H217" s="93"/>
      <c r="I217" s="125"/>
      <c r="J217" s="126" t="str">
        <f t="shared" si="3"/>
        <v/>
      </c>
      <c r="K217" s="119">
        <v>100000.0</v>
      </c>
      <c r="L217" s="111">
        <f t="shared" si="4"/>
        <v>100000</v>
      </c>
      <c r="M217" s="127" t="str">
        <f t="shared" si="5"/>
        <v/>
      </c>
      <c r="N217" s="113">
        <f t="shared" si="6"/>
        <v>0</v>
      </c>
      <c r="O217" s="113">
        <f t="shared" si="7"/>
        <v>0</v>
      </c>
      <c r="P217" s="114">
        <f t="shared" si="8"/>
        <v>0</v>
      </c>
      <c r="Q217" s="115">
        <f t="shared" si="9"/>
        <v>0</v>
      </c>
      <c r="R217" s="117"/>
      <c r="S217" s="117">
        <f t="shared" si="10"/>
        <v>206800</v>
      </c>
    </row>
    <row r="218">
      <c r="A218" s="20">
        <f t="shared" si="1"/>
        <v>12</v>
      </c>
      <c r="B218" s="106">
        <v>44055.0</v>
      </c>
      <c r="C218" s="21" t="s">
        <v>150</v>
      </c>
      <c r="D218" s="124" t="str">
        <f t="shared" si="2"/>
        <v>LIVINUS12</v>
      </c>
      <c r="E218" s="93"/>
      <c r="F218" s="93"/>
      <c r="G218" s="93"/>
      <c r="H218" s="93"/>
      <c r="I218" s="125"/>
      <c r="J218" s="126" t="str">
        <f t="shared" si="3"/>
        <v/>
      </c>
      <c r="K218" s="119">
        <v>1250000.0</v>
      </c>
      <c r="L218" s="111">
        <f t="shared" si="4"/>
        <v>1250000</v>
      </c>
      <c r="M218" s="127" t="str">
        <f t="shared" si="5"/>
        <v/>
      </c>
      <c r="N218" s="113">
        <f t="shared" si="6"/>
        <v>0</v>
      </c>
      <c r="O218" s="113">
        <f t="shared" si="7"/>
        <v>0</v>
      </c>
      <c r="P218" s="114">
        <f t="shared" si="8"/>
        <v>0</v>
      </c>
      <c r="Q218" s="115">
        <f t="shared" si="9"/>
        <v>0</v>
      </c>
      <c r="R218" s="117"/>
      <c r="S218" s="117">
        <f t="shared" si="10"/>
        <v>5677000</v>
      </c>
    </row>
    <row r="219">
      <c r="A219" s="20">
        <f t="shared" si="1"/>
        <v>1</v>
      </c>
      <c r="B219" s="106">
        <v>44055.0</v>
      </c>
      <c r="C219" s="21" t="s">
        <v>170</v>
      </c>
      <c r="D219" s="124" t="str">
        <f t="shared" si="2"/>
        <v>OMODION1</v>
      </c>
      <c r="E219" s="93"/>
      <c r="F219" s="93"/>
      <c r="G219" s="93"/>
      <c r="H219" s="93"/>
      <c r="I219" s="125"/>
      <c r="J219" s="126" t="str">
        <f t="shared" si="3"/>
        <v/>
      </c>
      <c r="K219" s="119">
        <v>500000.0</v>
      </c>
      <c r="L219" s="111">
        <f t="shared" si="4"/>
        <v>500000</v>
      </c>
      <c r="M219" s="127" t="str">
        <f t="shared" si="5"/>
        <v/>
      </c>
      <c r="N219" s="113">
        <f t="shared" si="6"/>
        <v>0</v>
      </c>
      <c r="O219" s="113">
        <f t="shared" si="7"/>
        <v>0</v>
      </c>
      <c r="P219" s="114">
        <f t="shared" si="8"/>
        <v>0</v>
      </c>
      <c r="Q219" s="115">
        <f t="shared" si="9"/>
        <v>0</v>
      </c>
      <c r="R219" s="117"/>
      <c r="S219" s="117">
        <f t="shared" si="10"/>
        <v>500000</v>
      </c>
    </row>
    <row r="220">
      <c r="A220" s="20">
        <f t="shared" si="1"/>
        <v>2</v>
      </c>
      <c r="B220" s="106">
        <v>44056.0</v>
      </c>
      <c r="C220" s="21" t="s">
        <v>110</v>
      </c>
      <c r="D220" s="124" t="str">
        <f t="shared" si="2"/>
        <v>AUGUSTINE IGBA2</v>
      </c>
      <c r="E220" s="93"/>
      <c r="F220" s="93"/>
      <c r="G220" s="93"/>
      <c r="H220" s="93"/>
      <c r="I220" s="125"/>
      <c r="J220" s="126" t="str">
        <f t="shared" si="3"/>
        <v/>
      </c>
      <c r="K220" s="119">
        <v>1000000.0</v>
      </c>
      <c r="L220" s="111">
        <f t="shared" si="4"/>
        <v>1000000</v>
      </c>
      <c r="M220" s="127" t="str">
        <f t="shared" si="5"/>
        <v/>
      </c>
      <c r="N220" s="113">
        <f t="shared" si="6"/>
        <v>0</v>
      </c>
      <c r="O220" s="113">
        <f t="shared" si="7"/>
        <v>0</v>
      </c>
      <c r="P220" s="114">
        <f t="shared" si="8"/>
        <v>0</v>
      </c>
      <c r="Q220" s="115">
        <f t="shared" si="9"/>
        <v>0</v>
      </c>
      <c r="R220" s="117"/>
      <c r="S220" s="117">
        <f t="shared" si="10"/>
        <v>21259620</v>
      </c>
    </row>
    <row r="221">
      <c r="A221" s="20">
        <f t="shared" si="1"/>
        <v>8</v>
      </c>
      <c r="B221" s="106">
        <v>44056.0</v>
      </c>
      <c r="C221" s="21" t="s">
        <v>46</v>
      </c>
      <c r="D221" s="124" t="str">
        <f t="shared" si="2"/>
        <v>ETUK EFFI8</v>
      </c>
      <c r="E221" s="93"/>
      <c r="F221" s="93"/>
      <c r="G221" s="93"/>
      <c r="H221" s="93"/>
      <c r="I221" s="125"/>
      <c r="J221" s="126" t="str">
        <f t="shared" si="3"/>
        <v/>
      </c>
      <c r="K221" s="119">
        <v>500000.0</v>
      </c>
      <c r="L221" s="111">
        <f t="shared" si="4"/>
        <v>500000</v>
      </c>
      <c r="M221" s="127" t="str">
        <f t="shared" si="5"/>
        <v/>
      </c>
      <c r="N221" s="113">
        <f t="shared" si="6"/>
        <v>0</v>
      </c>
      <c r="O221" s="113">
        <f t="shared" si="7"/>
        <v>0</v>
      </c>
      <c r="P221" s="114">
        <f t="shared" si="8"/>
        <v>0</v>
      </c>
      <c r="Q221" s="115">
        <f t="shared" si="9"/>
        <v>0</v>
      </c>
      <c r="R221" s="117"/>
      <c r="S221" s="117">
        <f t="shared" si="10"/>
        <v>3436860</v>
      </c>
    </row>
    <row r="222">
      <c r="A222" s="20">
        <f t="shared" si="1"/>
        <v>14</v>
      </c>
      <c r="B222" s="106">
        <v>44055.0</v>
      </c>
      <c r="C222" s="21" t="s">
        <v>117</v>
      </c>
      <c r="D222" s="124" t="str">
        <f t="shared" si="2"/>
        <v>LYDIA HNSON 14</v>
      </c>
      <c r="E222" s="93">
        <v>798.0</v>
      </c>
      <c r="F222" s="93">
        <v>104.0</v>
      </c>
      <c r="G222" s="93"/>
      <c r="H222" s="93">
        <v>13.0</v>
      </c>
      <c r="I222" s="125"/>
      <c r="J222" s="126">
        <f t="shared" si="3"/>
        <v>800</v>
      </c>
      <c r="K222" s="119">
        <v>1000000.0</v>
      </c>
      <c r="L222" s="111">
        <f t="shared" si="4"/>
        <v>372000</v>
      </c>
      <c r="M222" s="127">
        <f t="shared" si="5"/>
        <v>8</v>
      </c>
      <c r="N222" s="113">
        <f t="shared" si="6"/>
        <v>0</v>
      </c>
      <c r="O222" s="113">
        <f t="shared" si="7"/>
        <v>12</v>
      </c>
      <c r="P222" s="114">
        <f t="shared" si="8"/>
        <v>29</v>
      </c>
      <c r="Q222" s="115">
        <f t="shared" si="9"/>
        <v>785</v>
      </c>
      <c r="R222" s="117">
        <v>628000.0</v>
      </c>
      <c r="S222" s="117">
        <f t="shared" si="10"/>
        <v>3466560</v>
      </c>
    </row>
    <row r="223">
      <c r="A223" s="20">
        <f t="shared" si="1"/>
        <v>13</v>
      </c>
      <c r="B223" s="106">
        <v>44055.0</v>
      </c>
      <c r="C223" s="21" t="s">
        <v>150</v>
      </c>
      <c r="D223" s="124" t="str">
        <f t="shared" si="2"/>
        <v>LIVINUS13</v>
      </c>
      <c r="E223" s="93"/>
      <c r="F223" s="93"/>
      <c r="G223" s="93"/>
      <c r="H223" s="93"/>
      <c r="I223" s="125"/>
      <c r="J223" s="126" t="str">
        <f t="shared" si="3"/>
        <v/>
      </c>
      <c r="K223" s="119">
        <v>-1000000.0</v>
      </c>
      <c r="L223" s="111">
        <f t="shared" si="4"/>
        <v>-1000000</v>
      </c>
      <c r="M223" s="127" t="str">
        <f t="shared" si="5"/>
        <v/>
      </c>
      <c r="N223" s="113">
        <f t="shared" si="6"/>
        <v>0</v>
      </c>
      <c r="O223" s="113">
        <f t="shared" si="7"/>
        <v>0</v>
      </c>
      <c r="P223" s="114">
        <f t="shared" si="8"/>
        <v>0</v>
      </c>
      <c r="Q223" s="115">
        <f t="shared" si="9"/>
        <v>0</v>
      </c>
      <c r="R223" s="117"/>
      <c r="S223" s="117">
        <f t="shared" si="10"/>
        <v>4677000</v>
      </c>
    </row>
    <row r="224">
      <c r="A224" s="20">
        <f t="shared" si="1"/>
        <v>5</v>
      </c>
      <c r="B224" s="106">
        <v>44057.0</v>
      </c>
      <c r="C224" s="21" t="s">
        <v>125</v>
      </c>
      <c r="D224" s="124" t="str">
        <f t="shared" si="2"/>
        <v>ANDRDEW GREAT5</v>
      </c>
      <c r="E224" s="93"/>
      <c r="F224" s="93"/>
      <c r="G224" s="93"/>
      <c r="H224" s="93"/>
      <c r="I224" s="125"/>
      <c r="J224" s="126" t="str">
        <f t="shared" si="3"/>
        <v/>
      </c>
      <c r="K224" s="119">
        <v>30000.0</v>
      </c>
      <c r="L224" s="111">
        <f t="shared" si="4"/>
        <v>30000</v>
      </c>
      <c r="M224" s="127" t="str">
        <f t="shared" si="5"/>
        <v/>
      </c>
      <c r="N224" s="113">
        <f t="shared" si="6"/>
        <v>0</v>
      </c>
      <c r="O224" s="113">
        <f t="shared" si="7"/>
        <v>0</v>
      </c>
      <c r="P224" s="114">
        <f t="shared" si="8"/>
        <v>0</v>
      </c>
      <c r="Q224" s="115">
        <f t="shared" si="9"/>
        <v>0</v>
      </c>
      <c r="R224" s="117"/>
      <c r="S224" s="117">
        <f t="shared" si="10"/>
        <v>1556950</v>
      </c>
    </row>
    <row r="225">
      <c r="A225" s="20">
        <f t="shared" si="1"/>
        <v>2</v>
      </c>
      <c r="B225" s="106">
        <v>44057.0</v>
      </c>
      <c r="C225" s="21" t="s">
        <v>170</v>
      </c>
      <c r="D225" s="124" t="str">
        <f t="shared" si="2"/>
        <v>OMODION2</v>
      </c>
      <c r="E225" s="93"/>
      <c r="F225" s="93"/>
      <c r="G225" s="93"/>
      <c r="H225" s="93"/>
      <c r="I225" s="125"/>
      <c r="J225" s="126" t="str">
        <f t="shared" si="3"/>
        <v/>
      </c>
      <c r="K225" s="119">
        <v>330000.0</v>
      </c>
      <c r="L225" s="111">
        <f t="shared" si="4"/>
        <v>330000</v>
      </c>
      <c r="M225" s="127" t="str">
        <f t="shared" si="5"/>
        <v/>
      </c>
      <c r="N225" s="113">
        <f t="shared" si="6"/>
        <v>0</v>
      </c>
      <c r="O225" s="113">
        <f t="shared" si="7"/>
        <v>0</v>
      </c>
      <c r="P225" s="114">
        <f t="shared" si="8"/>
        <v>0</v>
      </c>
      <c r="Q225" s="115">
        <f t="shared" si="9"/>
        <v>0</v>
      </c>
      <c r="R225" s="117"/>
      <c r="S225" s="117">
        <f t="shared" si="10"/>
        <v>830000</v>
      </c>
    </row>
    <row r="226">
      <c r="A226" s="20">
        <f t="shared" si="1"/>
        <v>2</v>
      </c>
      <c r="B226" s="106">
        <v>44057.0</v>
      </c>
      <c r="C226" s="21" t="s">
        <v>167</v>
      </c>
      <c r="D226" s="124" t="str">
        <f t="shared" si="2"/>
        <v>OBIM TIWA HNSON2</v>
      </c>
      <c r="E226" s="93"/>
      <c r="F226" s="93"/>
      <c r="G226" s="93"/>
      <c r="H226" s="93"/>
      <c r="I226" s="125"/>
      <c r="J226" s="126" t="str">
        <f t="shared" si="3"/>
        <v/>
      </c>
      <c r="K226" s="119">
        <v>500000.0</v>
      </c>
      <c r="L226" s="111">
        <f t="shared" si="4"/>
        <v>500000</v>
      </c>
      <c r="M226" s="127" t="str">
        <f t="shared" si="5"/>
        <v/>
      </c>
      <c r="N226" s="113">
        <f t="shared" si="6"/>
        <v>0</v>
      </c>
      <c r="O226" s="113">
        <f t="shared" si="7"/>
        <v>0</v>
      </c>
      <c r="P226" s="114">
        <f t="shared" si="8"/>
        <v>0</v>
      </c>
      <c r="Q226" s="115">
        <f t="shared" si="9"/>
        <v>0</v>
      </c>
      <c r="R226" s="117"/>
      <c r="S226" s="117">
        <f t="shared" si="10"/>
        <v>590000</v>
      </c>
    </row>
    <row r="227">
      <c r="A227" s="20">
        <f t="shared" si="1"/>
        <v>3</v>
      </c>
      <c r="B227" s="106">
        <v>44057.0</v>
      </c>
      <c r="C227" s="21" t="s">
        <v>167</v>
      </c>
      <c r="D227" s="124" t="str">
        <f t="shared" si="2"/>
        <v>OBIM TIWA HNSON3</v>
      </c>
      <c r="E227" s="93"/>
      <c r="F227" s="93"/>
      <c r="G227" s="93"/>
      <c r="H227" s="93"/>
      <c r="I227" s="125"/>
      <c r="J227" s="126" t="str">
        <f t="shared" si="3"/>
        <v/>
      </c>
      <c r="K227" s="119">
        <v>20000.0</v>
      </c>
      <c r="L227" s="111">
        <f t="shared" si="4"/>
        <v>20000</v>
      </c>
      <c r="M227" s="127" t="str">
        <f t="shared" si="5"/>
        <v/>
      </c>
      <c r="N227" s="113">
        <f t="shared" si="6"/>
        <v>0</v>
      </c>
      <c r="O227" s="113">
        <f t="shared" si="7"/>
        <v>0</v>
      </c>
      <c r="P227" s="114">
        <f t="shared" si="8"/>
        <v>0</v>
      </c>
      <c r="Q227" s="115">
        <f t="shared" si="9"/>
        <v>0</v>
      </c>
      <c r="R227" s="117"/>
      <c r="S227" s="117">
        <f t="shared" si="10"/>
        <v>610000</v>
      </c>
    </row>
    <row r="228">
      <c r="A228" s="20">
        <f t="shared" si="1"/>
        <v>7</v>
      </c>
      <c r="B228" s="106">
        <v>44041.0</v>
      </c>
      <c r="C228" s="21" t="s">
        <v>98</v>
      </c>
      <c r="D228" s="124" t="str">
        <f t="shared" si="2"/>
        <v>EDWARD OKO7</v>
      </c>
      <c r="E228" s="93">
        <v>93.0</v>
      </c>
      <c r="F228" s="93">
        <v>8.0</v>
      </c>
      <c r="G228" s="93"/>
      <c r="H228" s="93">
        <v>1.0</v>
      </c>
      <c r="I228" s="125"/>
      <c r="J228" s="126">
        <f t="shared" si="3"/>
        <v>552.07</v>
      </c>
      <c r="K228" s="119"/>
      <c r="L228" s="111">
        <f t="shared" si="4"/>
        <v>-50790</v>
      </c>
      <c r="M228" s="127">
        <f t="shared" si="5"/>
        <v>8</v>
      </c>
      <c r="N228" s="113">
        <f t="shared" si="6"/>
        <v>0</v>
      </c>
      <c r="O228" s="113">
        <f t="shared" si="7"/>
        <v>1</v>
      </c>
      <c r="P228" s="114">
        <f t="shared" si="8"/>
        <v>29</v>
      </c>
      <c r="Q228" s="115">
        <f t="shared" si="9"/>
        <v>92</v>
      </c>
      <c r="R228" s="117">
        <v>50790.0</v>
      </c>
      <c r="S228" s="117">
        <f t="shared" si="10"/>
        <v>321430</v>
      </c>
    </row>
    <row r="229">
      <c r="A229" s="20">
        <f t="shared" si="1"/>
        <v>4</v>
      </c>
      <c r="B229" s="106">
        <v>44054.0</v>
      </c>
      <c r="C229" s="21" t="s">
        <v>169</v>
      </c>
      <c r="D229" s="124" t="str">
        <f t="shared" si="2"/>
        <v>A. D. FREDERICK4</v>
      </c>
      <c r="E229" s="93">
        <v>321.0</v>
      </c>
      <c r="F229" s="93">
        <v>40.0</v>
      </c>
      <c r="G229" s="93"/>
      <c r="H229" s="93">
        <v>5.0</v>
      </c>
      <c r="I229" s="125"/>
      <c r="J229" s="126">
        <f t="shared" si="3"/>
        <v>800</v>
      </c>
      <c r="K229" s="119"/>
      <c r="L229" s="111">
        <f t="shared" si="4"/>
        <v>-252800</v>
      </c>
      <c r="M229" s="127">
        <f t="shared" si="5"/>
        <v>8</v>
      </c>
      <c r="N229" s="113">
        <f t="shared" si="6"/>
        <v>0</v>
      </c>
      <c r="O229" s="113">
        <f t="shared" si="7"/>
        <v>5</v>
      </c>
      <c r="P229" s="114">
        <f t="shared" si="8"/>
        <v>0</v>
      </c>
      <c r="Q229" s="115">
        <f t="shared" si="9"/>
        <v>316</v>
      </c>
      <c r="R229" s="117">
        <v>252800.0</v>
      </c>
      <c r="S229" s="117">
        <f t="shared" si="10"/>
        <v>497200</v>
      </c>
    </row>
    <row r="230">
      <c r="A230" s="20">
        <f t="shared" si="1"/>
        <v>6</v>
      </c>
      <c r="B230" s="106">
        <v>44057.0</v>
      </c>
      <c r="C230" s="21" t="s">
        <v>125</v>
      </c>
      <c r="D230" s="124" t="str">
        <f t="shared" si="2"/>
        <v>ANDRDEW GREAT6</v>
      </c>
      <c r="E230" s="93">
        <v>447.0</v>
      </c>
      <c r="F230" s="93">
        <v>67.5</v>
      </c>
      <c r="G230" s="93"/>
      <c r="H230" s="93">
        <v>7.0</v>
      </c>
      <c r="I230" s="125">
        <v>1.0</v>
      </c>
      <c r="J230" s="126">
        <f t="shared" si="3"/>
        <v>820</v>
      </c>
      <c r="K230" s="119"/>
      <c r="L230" s="111">
        <f t="shared" si="4"/>
        <v>-355880</v>
      </c>
      <c r="M230" s="127">
        <f t="shared" si="5"/>
        <v>9.64</v>
      </c>
      <c r="N230" s="113">
        <f t="shared" si="6"/>
        <v>7</v>
      </c>
      <c r="O230" s="113">
        <f t="shared" si="7"/>
        <v>6</v>
      </c>
      <c r="P230" s="114">
        <f t="shared" si="8"/>
        <v>56</v>
      </c>
      <c r="Q230" s="115">
        <f t="shared" si="9"/>
        <v>434</v>
      </c>
      <c r="R230" s="117">
        <v>355880.0</v>
      </c>
      <c r="S230" s="117">
        <f t="shared" si="10"/>
        <v>1201070</v>
      </c>
    </row>
    <row r="231">
      <c r="A231" s="20">
        <f t="shared" si="1"/>
        <v>15</v>
      </c>
      <c r="B231" s="106">
        <v>44056.0</v>
      </c>
      <c r="C231" s="21" t="s">
        <v>146</v>
      </c>
      <c r="D231" s="124" t="str">
        <f t="shared" si="2"/>
        <v>CONNECT15</v>
      </c>
      <c r="E231" s="93">
        <v>2652.0</v>
      </c>
      <c r="F231" s="93">
        <v>328.0</v>
      </c>
      <c r="G231" s="93"/>
      <c r="H231" s="93">
        <v>41.0</v>
      </c>
      <c r="I231" s="125">
        <v>4.0</v>
      </c>
      <c r="J231" s="126">
        <f t="shared" si="3"/>
        <v>820</v>
      </c>
      <c r="K231" s="119"/>
      <c r="L231" s="111">
        <f t="shared" si="4"/>
        <v>-2144300</v>
      </c>
      <c r="M231" s="127">
        <f t="shared" si="5"/>
        <v>8</v>
      </c>
      <c r="N231" s="113">
        <f t="shared" si="6"/>
        <v>0</v>
      </c>
      <c r="O231" s="113">
        <f t="shared" si="7"/>
        <v>41</v>
      </c>
      <c r="P231" s="114">
        <f t="shared" si="8"/>
        <v>31</v>
      </c>
      <c r="Q231" s="115">
        <f t="shared" si="9"/>
        <v>2615</v>
      </c>
      <c r="R231" s="117">
        <v>2144300.0</v>
      </c>
      <c r="S231" s="117">
        <f t="shared" si="10"/>
        <v>3123100</v>
      </c>
    </row>
    <row r="232">
      <c r="A232" s="20">
        <f t="shared" si="1"/>
        <v>9</v>
      </c>
      <c r="B232" s="106">
        <v>44055.0</v>
      </c>
      <c r="C232" s="21" t="s">
        <v>46</v>
      </c>
      <c r="D232" s="124" t="str">
        <f t="shared" si="2"/>
        <v>ETUK EFFI9</v>
      </c>
      <c r="E232" s="93">
        <v>1686.0</v>
      </c>
      <c r="F232" s="93">
        <v>208.0</v>
      </c>
      <c r="G232" s="93"/>
      <c r="H232" s="93">
        <v>26.0</v>
      </c>
      <c r="I232" s="125"/>
      <c r="J232" s="126">
        <f t="shared" si="3"/>
        <v>810</v>
      </c>
      <c r="K232" s="119"/>
      <c r="L232" s="111">
        <f t="shared" si="4"/>
        <v>-1344600</v>
      </c>
      <c r="M232" s="127">
        <f t="shared" si="5"/>
        <v>8</v>
      </c>
      <c r="N232" s="113">
        <f t="shared" si="6"/>
        <v>0</v>
      </c>
      <c r="O232" s="113">
        <f t="shared" si="7"/>
        <v>26</v>
      </c>
      <c r="P232" s="114">
        <f t="shared" si="8"/>
        <v>21</v>
      </c>
      <c r="Q232" s="115">
        <f t="shared" si="9"/>
        <v>1660</v>
      </c>
      <c r="R232" s="117">
        <v>1344600.0</v>
      </c>
      <c r="S232" s="117">
        <f t="shared" si="10"/>
        <v>2092260</v>
      </c>
    </row>
    <row r="233">
      <c r="A233" s="20">
        <f t="shared" si="1"/>
        <v>7</v>
      </c>
      <c r="B233" s="106">
        <v>44058.0</v>
      </c>
      <c r="C233" s="21" t="s">
        <v>125</v>
      </c>
      <c r="D233" s="124" t="str">
        <f t="shared" si="2"/>
        <v>ANDRDEW GREAT7</v>
      </c>
      <c r="E233" s="93"/>
      <c r="F233" s="93"/>
      <c r="G233" s="93"/>
      <c r="H233" s="93"/>
      <c r="I233" s="125"/>
      <c r="J233" s="126" t="str">
        <f t="shared" si="3"/>
        <v/>
      </c>
      <c r="K233" s="119">
        <v>355880.0</v>
      </c>
      <c r="L233" s="111">
        <f t="shared" si="4"/>
        <v>355880</v>
      </c>
      <c r="M233" s="127" t="str">
        <f t="shared" si="5"/>
        <v/>
      </c>
      <c r="N233" s="113">
        <f t="shared" si="6"/>
        <v>0</v>
      </c>
      <c r="O233" s="113">
        <f t="shared" si="7"/>
        <v>0</v>
      </c>
      <c r="P233" s="114">
        <f t="shared" si="8"/>
        <v>0</v>
      </c>
      <c r="Q233" s="115">
        <f t="shared" si="9"/>
        <v>0</v>
      </c>
      <c r="R233" s="117"/>
      <c r="S233" s="117">
        <f t="shared" si="10"/>
        <v>1556950</v>
      </c>
    </row>
    <row r="234">
      <c r="A234" s="20">
        <f t="shared" si="1"/>
        <v>17</v>
      </c>
      <c r="B234" s="106">
        <v>44058.0</v>
      </c>
      <c r="C234" s="21" t="s">
        <v>152</v>
      </c>
      <c r="D234" s="124" t="str">
        <f t="shared" si="2"/>
        <v>RECTOR W.17</v>
      </c>
      <c r="E234" s="93"/>
      <c r="F234" s="93"/>
      <c r="G234" s="93"/>
      <c r="H234" s="93"/>
      <c r="I234" s="125"/>
      <c r="J234" s="126" t="str">
        <f t="shared" si="3"/>
        <v/>
      </c>
      <c r="K234" s="119">
        <v>250000.0</v>
      </c>
      <c r="L234" s="111">
        <f t="shared" si="4"/>
        <v>250000</v>
      </c>
      <c r="M234" s="127" t="str">
        <f t="shared" si="5"/>
        <v/>
      </c>
      <c r="N234" s="113">
        <f t="shared" si="6"/>
        <v>0</v>
      </c>
      <c r="O234" s="113">
        <f t="shared" si="7"/>
        <v>0</v>
      </c>
      <c r="P234" s="114">
        <f t="shared" si="8"/>
        <v>0</v>
      </c>
      <c r="Q234" s="115">
        <f t="shared" si="9"/>
        <v>0</v>
      </c>
      <c r="R234" s="117"/>
      <c r="S234" s="117">
        <f t="shared" si="10"/>
        <v>4527340</v>
      </c>
    </row>
    <row r="235">
      <c r="A235" s="20">
        <f t="shared" si="1"/>
        <v>7</v>
      </c>
      <c r="B235" s="106">
        <v>44058.0</v>
      </c>
      <c r="C235" s="21" t="s">
        <v>147</v>
      </c>
      <c r="D235" s="124" t="str">
        <f t="shared" si="2"/>
        <v>ZULU &amp; NDOMA7</v>
      </c>
      <c r="E235" s="93"/>
      <c r="F235" s="93"/>
      <c r="G235" s="93"/>
      <c r="H235" s="93"/>
      <c r="I235" s="125"/>
      <c r="J235" s="126" t="str">
        <f t="shared" si="3"/>
        <v/>
      </c>
      <c r="K235" s="119">
        <v>200000.0</v>
      </c>
      <c r="L235" s="111">
        <f t="shared" si="4"/>
        <v>200000</v>
      </c>
      <c r="M235" s="127" t="str">
        <f t="shared" si="5"/>
        <v/>
      </c>
      <c r="N235" s="113">
        <f t="shared" si="6"/>
        <v>0</v>
      </c>
      <c r="O235" s="113">
        <f t="shared" si="7"/>
        <v>0</v>
      </c>
      <c r="P235" s="114">
        <f t="shared" si="8"/>
        <v>0</v>
      </c>
      <c r="Q235" s="115">
        <f t="shared" si="9"/>
        <v>0</v>
      </c>
      <c r="R235" s="117"/>
      <c r="S235" s="117">
        <f t="shared" si="10"/>
        <v>406800</v>
      </c>
    </row>
    <row r="236">
      <c r="A236" s="20">
        <f t="shared" si="1"/>
        <v>2</v>
      </c>
      <c r="B236" s="106">
        <v>44060.0</v>
      </c>
      <c r="C236" s="21" t="s">
        <v>161</v>
      </c>
      <c r="D236" s="124" t="str">
        <f t="shared" si="2"/>
        <v>MATIAT LOVE2</v>
      </c>
      <c r="E236" s="93">
        <v>120.0</v>
      </c>
      <c r="F236" s="93">
        <v>16.0</v>
      </c>
      <c r="G236" s="93"/>
      <c r="H236" s="93">
        <v>2.0</v>
      </c>
      <c r="I236" s="125"/>
      <c r="J236" s="126">
        <f t="shared" si="3"/>
        <v>810</v>
      </c>
      <c r="K236" s="119"/>
      <c r="L236" s="111">
        <f t="shared" si="4"/>
        <v>-95580</v>
      </c>
      <c r="M236" s="127">
        <f t="shared" si="5"/>
        <v>8</v>
      </c>
      <c r="N236" s="113">
        <f t="shared" si="6"/>
        <v>0</v>
      </c>
      <c r="O236" s="113">
        <f t="shared" si="7"/>
        <v>1</v>
      </c>
      <c r="P236" s="114">
        <f t="shared" si="8"/>
        <v>55</v>
      </c>
      <c r="Q236" s="115">
        <f t="shared" si="9"/>
        <v>118</v>
      </c>
      <c r="R236" s="117">
        <v>95580.0</v>
      </c>
      <c r="S236" s="117">
        <f t="shared" si="10"/>
        <v>-45580</v>
      </c>
    </row>
    <row r="237">
      <c r="A237" s="20">
        <f t="shared" si="1"/>
        <v>4</v>
      </c>
      <c r="B237" s="106">
        <v>44060.0</v>
      </c>
      <c r="C237" s="21" t="s">
        <v>25</v>
      </c>
      <c r="D237" s="124" t="str">
        <f t="shared" si="2"/>
        <v>KARIEN EBAN4</v>
      </c>
      <c r="E237" s="93">
        <v>1643.0</v>
      </c>
      <c r="F237" s="93">
        <v>246.5</v>
      </c>
      <c r="G237" s="93"/>
      <c r="H237" s="93">
        <v>26.0</v>
      </c>
      <c r="I237" s="125"/>
      <c r="J237" s="126">
        <f t="shared" si="3"/>
        <v>830</v>
      </c>
      <c r="K237" s="119"/>
      <c r="L237" s="111">
        <f t="shared" si="4"/>
        <v>-1322190</v>
      </c>
      <c r="M237" s="127">
        <f t="shared" si="5"/>
        <v>9.48</v>
      </c>
      <c r="N237" s="113">
        <f t="shared" si="6"/>
        <v>24</v>
      </c>
      <c r="O237" s="113">
        <f t="shared" si="7"/>
        <v>25</v>
      </c>
      <c r="P237" s="114">
        <f t="shared" si="8"/>
        <v>17</v>
      </c>
      <c r="Q237" s="115">
        <f t="shared" si="9"/>
        <v>1593</v>
      </c>
      <c r="R237" s="117">
        <v>1322190.0</v>
      </c>
      <c r="S237" s="117">
        <f t="shared" si="10"/>
        <v>777810</v>
      </c>
    </row>
    <row r="238">
      <c r="A238" s="20">
        <f t="shared" si="1"/>
        <v>5</v>
      </c>
      <c r="B238" s="106">
        <v>44060.0</v>
      </c>
      <c r="C238" s="21" t="s">
        <v>169</v>
      </c>
      <c r="D238" s="124" t="str">
        <f t="shared" si="2"/>
        <v>A. D. FREDERICK5</v>
      </c>
      <c r="E238" s="93"/>
      <c r="F238" s="93"/>
      <c r="G238" s="93"/>
      <c r="H238" s="93"/>
      <c r="I238" s="125"/>
      <c r="J238" s="126" t="str">
        <f t="shared" si="3"/>
        <v/>
      </c>
      <c r="K238" s="119">
        <v>150000.0</v>
      </c>
      <c r="L238" s="111">
        <f t="shared" si="4"/>
        <v>150000</v>
      </c>
      <c r="M238" s="127" t="str">
        <f t="shared" si="5"/>
        <v/>
      </c>
      <c r="N238" s="113">
        <f t="shared" si="6"/>
        <v>0</v>
      </c>
      <c r="O238" s="113">
        <f t="shared" si="7"/>
        <v>0</v>
      </c>
      <c r="P238" s="114">
        <f t="shared" si="8"/>
        <v>0</v>
      </c>
      <c r="Q238" s="115">
        <f t="shared" si="9"/>
        <v>0</v>
      </c>
      <c r="R238" s="117"/>
      <c r="S238" s="117">
        <f t="shared" si="10"/>
        <v>647200</v>
      </c>
    </row>
    <row r="239">
      <c r="A239" s="20">
        <f t="shared" si="1"/>
        <v>14</v>
      </c>
      <c r="B239" s="106">
        <v>44060.0</v>
      </c>
      <c r="C239" s="21" t="s">
        <v>150</v>
      </c>
      <c r="D239" s="124" t="str">
        <f t="shared" si="2"/>
        <v>LIVINUS14</v>
      </c>
      <c r="E239" s="93"/>
      <c r="F239" s="93"/>
      <c r="G239" s="93"/>
      <c r="H239" s="93"/>
      <c r="I239" s="125"/>
      <c r="J239" s="126" t="str">
        <f t="shared" si="3"/>
        <v/>
      </c>
      <c r="K239" s="119">
        <v>1427500.0</v>
      </c>
      <c r="L239" s="111">
        <f t="shared" si="4"/>
        <v>1427500</v>
      </c>
      <c r="M239" s="127" t="str">
        <f t="shared" si="5"/>
        <v/>
      </c>
      <c r="N239" s="113">
        <f t="shared" si="6"/>
        <v>0</v>
      </c>
      <c r="O239" s="113">
        <f t="shared" si="7"/>
        <v>0</v>
      </c>
      <c r="P239" s="114">
        <f t="shared" si="8"/>
        <v>0</v>
      </c>
      <c r="Q239" s="115">
        <f t="shared" si="9"/>
        <v>0</v>
      </c>
      <c r="R239" s="117"/>
      <c r="S239" s="117">
        <f t="shared" si="10"/>
        <v>6104500</v>
      </c>
    </row>
    <row r="240">
      <c r="A240" s="20">
        <f t="shared" si="1"/>
        <v>5</v>
      </c>
      <c r="B240" s="106">
        <v>44060.0</v>
      </c>
      <c r="C240" s="21" t="s">
        <v>25</v>
      </c>
      <c r="D240" s="124" t="str">
        <f t="shared" si="2"/>
        <v>KARIEN EBAN5</v>
      </c>
      <c r="E240" s="93"/>
      <c r="F240" s="93"/>
      <c r="G240" s="93"/>
      <c r="H240" s="93"/>
      <c r="I240" s="125"/>
      <c r="J240" s="126" t="str">
        <f t="shared" si="3"/>
        <v/>
      </c>
      <c r="K240" s="119">
        <v>2000000.0</v>
      </c>
      <c r="L240" s="111">
        <f t="shared" si="4"/>
        <v>2000000</v>
      </c>
      <c r="M240" s="127" t="str">
        <f t="shared" si="5"/>
        <v/>
      </c>
      <c r="N240" s="113">
        <f t="shared" si="6"/>
        <v>0</v>
      </c>
      <c r="O240" s="113">
        <f t="shared" si="7"/>
        <v>0</v>
      </c>
      <c r="P240" s="114">
        <f t="shared" si="8"/>
        <v>0</v>
      </c>
      <c r="Q240" s="115">
        <f t="shared" si="9"/>
        <v>0</v>
      </c>
      <c r="R240" s="117"/>
      <c r="S240" s="117">
        <f t="shared" si="10"/>
        <v>2777810</v>
      </c>
    </row>
    <row r="241">
      <c r="A241" s="20">
        <f t="shared" si="1"/>
        <v>3</v>
      </c>
      <c r="B241" s="106">
        <v>44060.0</v>
      </c>
      <c r="C241" s="21" t="s">
        <v>161</v>
      </c>
      <c r="D241" s="124" t="str">
        <f t="shared" si="2"/>
        <v>MATIAT LOVE3</v>
      </c>
      <c r="E241" s="93"/>
      <c r="F241" s="93"/>
      <c r="G241" s="93"/>
      <c r="H241" s="93"/>
      <c r="I241" s="125"/>
      <c r="J241" s="126" t="str">
        <f t="shared" si="3"/>
        <v/>
      </c>
      <c r="K241" s="119">
        <v>5000.0</v>
      </c>
      <c r="L241" s="111">
        <f t="shared" si="4"/>
        <v>5000</v>
      </c>
      <c r="M241" s="127" t="str">
        <f t="shared" si="5"/>
        <v/>
      </c>
      <c r="N241" s="113">
        <f t="shared" si="6"/>
        <v>0</v>
      </c>
      <c r="O241" s="113">
        <f t="shared" si="7"/>
        <v>0</v>
      </c>
      <c r="P241" s="114">
        <f t="shared" si="8"/>
        <v>0</v>
      </c>
      <c r="Q241" s="115">
        <f t="shared" si="9"/>
        <v>0</v>
      </c>
      <c r="R241" s="117"/>
      <c r="S241" s="117">
        <f t="shared" si="10"/>
        <v>-40580</v>
      </c>
    </row>
    <row r="242">
      <c r="A242" s="20">
        <f t="shared" si="1"/>
        <v>4</v>
      </c>
      <c r="B242" s="106">
        <v>44061.0</v>
      </c>
      <c r="C242" s="21" t="s">
        <v>161</v>
      </c>
      <c r="D242" s="124" t="str">
        <f t="shared" si="2"/>
        <v>MATIAT LOVE4</v>
      </c>
      <c r="E242" s="93"/>
      <c r="F242" s="93"/>
      <c r="G242" s="93"/>
      <c r="H242" s="93"/>
      <c r="I242" s="125"/>
      <c r="J242" s="126" t="str">
        <f t="shared" si="3"/>
        <v/>
      </c>
      <c r="K242" s="119">
        <v>90500.0</v>
      </c>
      <c r="L242" s="111">
        <f t="shared" si="4"/>
        <v>90500</v>
      </c>
      <c r="M242" s="127" t="str">
        <f t="shared" si="5"/>
        <v/>
      </c>
      <c r="N242" s="113">
        <f t="shared" si="6"/>
        <v>0</v>
      </c>
      <c r="O242" s="113">
        <f t="shared" si="7"/>
        <v>0</v>
      </c>
      <c r="P242" s="114">
        <f t="shared" si="8"/>
        <v>0</v>
      </c>
      <c r="Q242" s="115">
        <f t="shared" si="9"/>
        <v>0</v>
      </c>
      <c r="R242" s="117"/>
      <c r="S242" s="117">
        <f t="shared" si="10"/>
        <v>49920</v>
      </c>
    </row>
    <row r="243">
      <c r="A243" s="20">
        <f t="shared" si="1"/>
        <v>3</v>
      </c>
      <c r="B243" s="106">
        <v>44060.0</v>
      </c>
      <c r="C243" s="21" t="s">
        <v>110</v>
      </c>
      <c r="D243" s="124" t="str">
        <f t="shared" si="2"/>
        <v>AUGUSTINE IGBA3</v>
      </c>
      <c r="E243" s="93">
        <v>1396.0</v>
      </c>
      <c r="F243" s="93">
        <v>194.5</v>
      </c>
      <c r="G243" s="93"/>
      <c r="H243" s="93">
        <v>20.0</v>
      </c>
      <c r="I243" s="125">
        <v>4.0</v>
      </c>
      <c r="J243" s="126">
        <f t="shared" si="3"/>
        <v>830</v>
      </c>
      <c r="K243" s="119"/>
      <c r="L243" s="111">
        <f t="shared" si="4"/>
        <v>-1125480</v>
      </c>
      <c r="M243" s="127">
        <f t="shared" si="5"/>
        <v>9.73</v>
      </c>
      <c r="N243" s="113">
        <f t="shared" si="6"/>
        <v>24</v>
      </c>
      <c r="O243" s="113">
        <f t="shared" si="7"/>
        <v>21</v>
      </c>
      <c r="P243" s="114">
        <f t="shared" si="8"/>
        <v>33</v>
      </c>
      <c r="Q243" s="115">
        <f t="shared" si="9"/>
        <v>1356</v>
      </c>
      <c r="R243" s="117">
        <v>1125480.0</v>
      </c>
      <c r="S243" s="117">
        <f t="shared" si="10"/>
        <v>20134140</v>
      </c>
    </row>
    <row r="244">
      <c r="A244" s="20">
        <f t="shared" si="1"/>
        <v>8</v>
      </c>
      <c r="B244" s="106">
        <v>44060.0</v>
      </c>
      <c r="C244" s="21" t="s">
        <v>98</v>
      </c>
      <c r="D244" s="124" t="str">
        <f t="shared" si="2"/>
        <v>EDWARD OKO8</v>
      </c>
      <c r="E244" s="93">
        <v>390.0</v>
      </c>
      <c r="F244" s="93">
        <v>57.5</v>
      </c>
      <c r="G244" s="93"/>
      <c r="H244" s="93">
        <v>6.0</v>
      </c>
      <c r="I244" s="125"/>
      <c r="J244" s="126">
        <f t="shared" si="3"/>
        <v>830</v>
      </c>
      <c r="K244" s="119"/>
      <c r="L244" s="111">
        <f t="shared" si="4"/>
        <v>-313740</v>
      </c>
      <c r="M244" s="127">
        <f t="shared" si="5"/>
        <v>9.58</v>
      </c>
      <c r="N244" s="113">
        <f t="shared" si="6"/>
        <v>6</v>
      </c>
      <c r="O244" s="113">
        <f t="shared" si="7"/>
        <v>6</v>
      </c>
      <c r="P244" s="114">
        <f t="shared" si="8"/>
        <v>0</v>
      </c>
      <c r="Q244" s="115">
        <f t="shared" si="9"/>
        <v>378</v>
      </c>
      <c r="R244" s="117">
        <v>313740.0</v>
      </c>
      <c r="S244" s="117">
        <f t="shared" si="10"/>
        <v>7690</v>
      </c>
    </row>
    <row r="245">
      <c r="A245" s="20">
        <f t="shared" si="1"/>
        <v>6</v>
      </c>
      <c r="B245" s="106">
        <v>44063.0</v>
      </c>
      <c r="C245" s="21" t="s">
        <v>157</v>
      </c>
      <c r="D245" s="124" t="str">
        <f t="shared" si="2"/>
        <v>ALFRED ALABI6</v>
      </c>
      <c r="E245" s="93">
        <v>1764.0</v>
      </c>
      <c r="F245" s="93">
        <v>256.0</v>
      </c>
      <c r="G245" s="93"/>
      <c r="H245" s="93">
        <v>26.0</v>
      </c>
      <c r="I245" s="125"/>
      <c r="J245" s="126">
        <f t="shared" si="3"/>
        <v>537.65</v>
      </c>
      <c r="K245" s="119"/>
      <c r="L245" s="111">
        <f t="shared" si="4"/>
        <v>-917230</v>
      </c>
      <c r="M245" s="127">
        <f t="shared" si="5"/>
        <v>9.85</v>
      </c>
      <c r="N245" s="113">
        <f t="shared" si="6"/>
        <v>32</v>
      </c>
      <c r="O245" s="113">
        <f t="shared" si="7"/>
        <v>27</v>
      </c>
      <c r="P245" s="114">
        <f t="shared" si="8"/>
        <v>4</v>
      </c>
      <c r="Q245" s="115">
        <f t="shared" si="9"/>
        <v>1706</v>
      </c>
      <c r="R245" s="117">
        <v>917230.0</v>
      </c>
      <c r="S245" s="117">
        <f t="shared" si="10"/>
        <v>-236980</v>
      </c>
    </row>
    <row r="246">
      <c r="A246" s="20">
        <f t="shared" si="1"/>
        <v>7</v>
      </c>
      <c r="B246" s="106">
        <v>44063.0</v>
      </c>
      <c r="C246" s="21" t="s">
        <v>157</v>
      </c>
      <c r="D246" s="124" t="str">
        <f t="shared" si="2"/>
        <v>ALFRED ALABI7</v>
      </c>
      <c r="E246" s="93"/>
      <c r="F246" s="93"/>
      <c r="G246" s="93"/>
      <c r="H246" s="93"/>
      <c r="I246" s="125"/>
      <c r="J246" s="126" t="str">
        <f t="shared" si="3"/>
        <v/>
      </c>
      <c r="K246" s="119">
        <v>600000.0</v>
      </c>
      <c r="L246" s="111">
        <f t="shared" si="4"/>
        <v>600000</v>
      </c>
      <c r="M246" s="127" t="str">
        <f t="shared" si="5"/>
        <v/>
      </c>
      <c r="N246" s="113">
        <f t="shared" si="6"/>
        <v>0</v>
      </c>
      <c r="O246" s="113">
        <f t="shared" si="7"/>
        <v>0</v>
      </c>
      <c r="P246" s="114">
        <f t="shared" si="8"/>
        <v>0</v>
      </c>
      <c r="Q246" s="115">
        <f t="shared" si="9"/>
        <v>0</v>
      </c>
      <c r="R246" s="117"/>
      <c r="S246" s="117">
        <f t="shared" si="10"/>
        <v>363020</v>
      </c>
    </row>
    <row r="247">
      <c r="A247" s="20">
        <f t="shared" si="1"/>
        <v>4</v>
      </c>
      <c r="B247" s="106">
        <v>44063.0</v>
      </c>
      <c r="C247" s="21" t="s">
        <v>110</v>
      </c>
      <c r="D247" s="124" t="str">
        <f t="shared" si="2"/>
        <v>AUGUSTINE IGBA4</v>
      </c>
      <c r="E247" s="93"/>
      <c r="F247" s="93"/>
      <c r="G247" s="93"/>
      <c r="H247" s="93"/>
      <c r="I247" s="125"/>
      <c r="J247" s="126" t="str">
        <f t="shared" si="3"/>
        <v/>
      </c>
      <c r="K247" s="119">
        <v>2000000.0</v>
      </c>
      <c r="L247" s="111">
        <f t="shared" si="4"/>
        <v>2000000</v>
      </c>
      <c r="M247" s="127" t="str">
        <f t="shared" si="5"/>
        <v/>
      </c>
      <c r="N247" s="113">
        <f t="shared" si="6"/>
        <v>0</v>
      </c>
      <c r="O247" s="113">
        <f t="shared" si="7"/>
        <v>0</v>
      </c>
      <c r="P247" s="114">
        <f t="shared" si="8"/>
        <v>0</v>
      </c>
      <c r="Q247" s="115">
        <f t="shared" si="9"/>
        <v>0</v>
      </c>
      <c r="R247" s="117"/>
      <c r="S247" s="117">
        <f t="shared" si="10"/>
        <v>22134140</v>
      </c>
    </row>
    <row r="248">
      <c r="A248" s="20">
        <f t="shared" si="1"/>
        <v>8</v>
      </c>
      <c r="B248" s="106">
        <v>44063.0</v>
      </c>
      <c r="C248" s="21" t="s">
        <v>157</v>
      </c>
      <c r="D248" s="124" t="str">
        <f t="shared" si="2"/>
        <v>ALFRED ALABI8</v>
      </c>
      <c r="E248" s="93"/>
      <c r="F248" s="93"/>
      <c r="G248" s="93"/>
      <c r="H248" s="93"/>
      <c r="I248" s="125"/>
      <c r="J248" s="126" t="str">
        <f t="shared" si="3"/>
        <v/>
      </c>
      <c r="K248" s="119">
        <v>700000.0</v>
      </c>
      <c r="L248" s="111">
        <f t="shared" si="4"/>
        <v>700000</v>
      </c>
      <c r="M248" s="127" t="str">
        <f t="shared" si="5"/>
        <v/>
      </c>
      <c r="N248" s="113">
        <f t="shared" si="6"/>
        <v>0</v>
      </c>
      <c r="O248" s="113">
        <f t="shared" si="7"/>
        <v>0</v>
      </c>
      <c r="P248" s="114">
        <f t="shared" si="8"/>
        <v>0</v>
      </c>
      <c r="Q248" s="115">
        <f t="shared" si="9"/>
        <v>0</v>
      </c>
      <c r="R248" s="117"/>
      <c r="S248" s="117">
        <f t="shared" si="10"/>
        <v>1063020</v>
      </c>
    </row>
    <row r="249">
      <c r="A249" s="20">
        <f t="shared" si="1"/>
        <v>9</v>
      </c>
      <c r="B249" s="106">
        <v>44063.0</v>
      </c>
      <c r="C249" s="21" t="s">
        <v>157</v>
      </c>
      <c r="D249" s="124" t="str">
        <f t="shared" si="2"/>
        <v>ALFRED ALABI9</v>
      </c>
      <c r="E249" s="93"/>
      <c r="F249" s="93"/>
      <c r="G249" s="93"/>
      <c r="H249" s="93"/>
      <c r="I249" s="125"/>
      <c r="J249" s="126" t="str">
        <f t="shared" si="3"/>
        <v/>
      </c>
      <c r="K249" s="119">
        <v>400000.0</v>
      </c>
      <c r="L249" s="111">
        <f t="shared" si="4"/>
        <v>400000</v>
      </c>
      <c r="M249" s="127" t="str">
        <f t="shared" si="5"/>
        <v/>
      </c>
      <c r="N249" s="113">
        <f t="shared" si="6"/>
        <v>0</v>
      </c>
      <c r="O249" s="113">
        <f t="shared" si="7"/>
        <v>0</v>
      </c>
      <c r="P249" s="114">
        <f t="shared" si="8"/>
        <v>0</v>
      </c>
      <c r="Q249" s="115">
        <f t="shared" si="9"/>
        <v>0</v>
      </c>
      <c r="R249" s="117"/>
      <c r="S249" s="117">
        <f t="shared" si="10"/>
        <v>1463020</v>
      </c>
    </row>
    <row r="250">
      <c r="A250" s="20">
        <f t="shared" si="1"/>
        <v>6</v>
      </c>
      <c r="B250" s="106">
        <v>44040.0</v>
      </c>
      <c r="C250" s="21" t="s">
        <v>25</v>
      </c>
      <c r="D250" s="124" t="str">
        <f t="shared" si="2"/>
        <v>KARIEN EBAN6</v>
      </c>
      <c r="E250" s="93"/>
      <c r="F250" s="93"/>
      <c r="G250" s="93"/>
      <c r="H250" s="93"/>
      <c r="I250" s="125"/>
      <c r="J250" s="126" t="str">
        <f t="shared" si="3"/>
        <v/>
      </c>
      <c r="K250" s="119"/>
      <c r="L250" s="111">
        <f t="shared" si="4"/>
        <v>-500000</v>
      </c>
      <c r="M250" s="127" t="str">
        <f t="shared" si="5"/>
        <v/>
      </c>
      <c r="N250" s="113">
        <f t="shared" si="6"/>
        <v>0</v>
      </c>
      <c r="O250" s="113">
        <f t="shared" si="7"/>
        <v>0</v>
      </c>
      <c r="P250" s="114">
        <f t="shared" si="8"/>
        <v>0</v>
      </c>
      <c r="Q250" s="115">
        <f t="shared" si="9"/>
        <v>0</v>
      </c>
      <c r="R250" s="117">
        <v>500000.0</v>
      </c>
      <c r="S250" s="117">
        <f t="shared" si="10"/>
        <v>2277810</v>
      </c>
    </row>
    <row r="251">
      <c r="A251" s="20">
        <f t="shared" si="1"/>
        <v>7</v>
      </c>
      <c r="B251" s="106">
        <v>44064.0</v>
      </c>
      <c r="C251" s="21" t="s">
        <v>25</v>
      </c>
      <c r="D251" s="124" t="str">
        <f t="shared" si="2"/>
        <v>KARIEN EBAN7</v>
      </c>
      <c r="E251" s="93"/>
      <c r="F251" s="93"/>
      <c r="G251" s="93"/>
      <c r="H251" s="93"/>
      <c r="I251" s="125"/>
      <c r="J251" s="126" t="str">
        <f t="shared" si="3"/>
        <v/>
      </c>
      <c r="K251" s="119">
        <v>722000.0</v>
      </c>
      <c r="L251" s="111">
        <f t="shared" si="4"/>
        <v>722000</v>
      </c>
      <c r="M251" s="127" t="str">
        <f t="shared" si="5"/>
        <v/>
      </c>
      <c r="N251" s="113">
        <f t="shared" si="6"/>
        <v>0</v>
      </c>
      <c r="O251" s="113">
        <f t="shared" si="7"/>
        <v>0</v>
      </c>
      <c r="P251" s="114">
        <f t="shared" si="8"/>
        <v>0</v>
      </c>
      <c r="Q251" s="115">
        <f t="shared" si="9"/>
        <v>0</v>
      </c>
      <c r="R251" s="117"/>
      <c r="S251" s="117">
        <f t="shared" si="10"/>
        <v>2999810</v>
      </c>
    </row>
    <row r="252">
      <c r="A252" s="20">
        <f t="shared" si="1"/>
        <v>18</v>
      </c>
      <c r="B252" s="106">
        <v>44065.0</v>
      </c>
      <c r="C252" s="21" t="s">
        <v>152</v>
      </c>
      <c r="D252" s="124" t="str">
        <f t="shared" si="2"/>
        <v>RECTOR W.18</v>
      </c>
      <c r="E252" s="93"/>
      <c r="F252" s="93"/>
      <c r="G252" s="93"/>
      <c r="H252" s="93"/>
      <c r="I252" s="125"/>
      <c r="J252" s="126" t="str">
        <f t="shared" si="3"/>
        <v/>
      </c>
      <c r="K252" s="119">
        <v>140000.0</v>
      </c>
      <c r="L252" s="111">
        <f t="shared" si="4"/>
        <v>140000</v>
      </c>
      <c r="M252" s="127" t="str">
        <f t="shared" si="5"/>
        <v/>
      </c>
      <c r="N252" s="113">
        <f t="shared" si="6"/>
        <v>0</v>
      </c>
      <c r="O252" s="113">
        <f t="shared" si="7"/>
        <v>0</v>
      </c>
      <c r="P252" s="114">
        <f t="shared" si="8"/>
        <v>0</v>
      </c>
      <c r="Q252" s="115">
        <f t="shared" si="9"/>
        <v>0</v>
      </c>
      <c r="R252" s="117"/>
      <c r="S252" s="117">
        <f t="shared" si="10"/>
        <v>4667340</v>
      </c>
    </row>
    <row r="253">
      <c r="A253" s="20">
        <f t="shared" si="1"/>
        <v>15</v>
      </c>
      <c r="B253" s="106">
        <v>44067.0</v>
      </c>
      <c r="C253" s="21" t="s">
        <v>117</v>
      </c>
      <c r="D253" s="124" t="str">
        <f t="shared" si="2"/>
        <v>LYDIA HNSON 15</v>
      </c>
      <c r="E253" s="93"/>
      <c r="F253" s="93"/>
      <c r="G253" s="93"/>
      <c r="H253" s="93"/>
      <c r="I253" s="125"/>
      <c r="J253" s="126" t="str">
        <f t="shared" si="3"/>
        <v/>
      </c>
      <c r="K253" s="119">
        <v>100000.0</v>
      </c>
      <c r="L253" s="111">
        <f t="shared" si="4"/>
        <v>100000</v>
      </c>
      <c r="M253" s="127" t="str">
        <f t="shared" si="5"/>
        <v/>
      </c>
      <c r="N253" s="113">
        <f t="shared" si="6"/>
        <v>0</v>
      </c>
      <c r="O253" s="113">
        <f t="shared" si="7"/>
        <v>0</v>
      </c>
      <c r="P253" s="114">
        <f t="shared" si="8"/>
        <v>0</v>
      </c>
      <c r="Q253" s="115">
        <f t="shared" si="9"/>
        <v>0</v>
      </c>
      <c r="R253" s="117"/>
      <c r="S253" s="117">
        <f t="shared" si="10"/>
        <v>3566560</v>
      </c>
    </row>
    <row r="254">
      <c r="A254" s="20">
        <f t="shared" si="1"/>
        <v>7</v>
      </c>
      <c r="B254" s="106">
        <v>44067.0</v>
      </c>
      <c r="C254" s="21" t="s">
        <v>107</v>
      </c>
      <c r="D254" s="124" t="str">
        <f t="shared" si="2"/>
        <v>BOSURU  BOSURU7</v>
      </c>
      <c r="E254" s="93"/>
      <c r="F254" s="93"/>
      <c r="G254" s="93"/>
      <c r="H254" s="93"/>
      <c r="I254" s="125"/>
      <c r="J254" s="126" t="str">
        <f t="shared" si="3"/>
        <v/>
      </c>
      <c r="K254" s="119">
        <v>100000.0</v>
      </c>
      <c r="L254" s="111">
        <f t="shared" si="4"/>
        <v>100000</v>
      </c>
      <c r="M254" s="127" t="str">
        <f t="shared" si="5"/>
        <v/>
      </c>
      <c r="N254" s="113">
        <f t="shared" si="6"/>
        <v>0</v>
      </c>
      <c r="O254" s="113">
        <f t="shared" si="7"/>
        <v>0</v>
      </c>
      <c r="P254" s="114">
        <f t="shared" si="8"/>
        <v>0</v>
      </c>
      <c r="Q254" s="115">
        <f t="shared" si="9"/>
        <v>0</v>
      </c>
      <c r="R254" s="117"/>
      <c r="S254" s="117">
        <f t="shared" si="10"/>
        <v>1352380</v>
      </c>
    </row>
    <row r="255">
      <c r="A255" s="20">
        <f t="shared" si="1"/>
        <v>2</v>
      </c>
      <c r="B255" s="106">
        <v>44067.0</v>
      </c>
      <c r="C255" s="21" t="s">
        <v>120</v>
      </c>
      <c r="D255" s="124" t="str">
        <f t="shared" si="2"/>
        <v>R.  MAXWELL AGRO2</v>
      </c>
      <c r="E255" s="93"/>
      <c r="F255" s="93"/>
      <c r="G255" s="93"/>
      <c r="H255" s="93"/>
      <c r="I255" s="125"/>
      <c r="J255" s="126" t="str">
        <f t="shared" si="3"/>
        <v/>
      </c>
      <c r="K255" s="119">
        <v>50000.0</v>
      </c>
      <c r="L255" s="111">
        <f t="shared" si="4"/>
        <v>50000</v>
      </c>
      <c r="M255" s="127" t="str">
        <f t="shared" si="5"/>
        <v/>
      </c>
      <c r="N255" s="113">
        <f t="shared" si="6"/>
        <v>0</v>
      </c>
      <c r="O255" s="113">
        <f t="shared" si="7"/>
        <v>0</v>
      </c>
      <c r="P255" s="114">
        <f t="shared" si="8"/>
        <v>0</v>
      </c>
      <c r="Q255" s="115">
        <f t="shared" si="9"/>
        <v>0</v>
      </c>
      <c r="R255" s="117"/>
      <c r="S255" s="117">
        <f t="shared" si="10"/>
        <v>890000</v>
      </c>
    </row>
    <row r="256">
      <c r="A256" s="20">
        <f t="shared" si="1"/>
        <v>9</v>
      </c>
      <c r="B256" s="106">
        <v>44067.0</v>
      </c>
      <c r="C256" s="21" t="s">
        <v>98</v>
      </c>
      <c r="D256" s="124" t="str">
        <f t="shared" si="2"/>
        <v>EDWARD OKO9</v>
      </c>
      <c r="E256" s="93"/>
      <c r="F256" s="93"/>
      <c r="G256" s="93"/>
      <c r="H256" s="93"/>
      <c r="I256" s="125"/>
      <c r="J256" s="126" t="str">
        <f t="shared" si="3"/>
        <v/>
      </c>
      <c r="K256" s="119">
        <v>85000.0</v>
      </c>
      <c r="L256" s="111">
        <f t="shared" si="4"/>
        <v>85000</v>
      </c>
      <c r="M256" s="127" t="str">
        <f t="shared" si="5"/>
        <v/>
      </c>
      <c r="N256" s="113">
        <f t="shared" si="6"/>
        <v>0</v>
      </c>
      <c r="O256" s="113">
        <f t="shared" si="7"/>
        <v>0</v>
      </c>
      <c r="P256" s="114">
        <f t="shared" si="8"/>
        <v>0</v>
      </c>
      <c r="Q256" s="115">
        <f t="shared" si="9"/>
        <v>0</v>
      </c>
      <c r="R256" s="117"/>
      <c r="S256" s="117">
        <f t="shared" si="10"/>
        <v>92690</v>
      </c>
    </row>
    <row r="257">
      <c r="A257" s="20">
        <f t="shared" si="1"/>
        <v>2</v>
      </c>
      <c r="B257" s="106">
        <v>44067.0</v>
      </c>
      <c r="C257" s="21" t="s">
        <v>149</v>
      </c>
      <c r="D257" s="124" t="str">
        <f t="shared" si="2"/>
        <v>PAPA AJASCO BETTE2</v>
      </c>
      <c r="E257" s="93"/>
      <c r="F257" s="93"/>
      <c r="G257" s="93"/>
      <c r="H257" s="93"/>
      <c r="I257" s="125"/>
      <c r="J257" s="126" t="str">
        <f t="shared" si="3"/>
        <v/>
      </c>
      <c r="K257" s="119">
        <v>20000.0</v>
      </c>
      <c r="L257" s="111">
        <f t="shared" si="4"/>
        <v>20000</v>
      </c>
      <c r="M257" s="127" t="str">
        <f t="shared" si="5"/>
        <v/>
      </c>
      <c r="N257" s="113">
        <f t="shared" si="6"/>
        <v>0</v>
      </c>
      <c r="O257" s="113">
        <f t="shared" si="7"/>
        <v>0</v>
      </c>
      <c r="P257" s="114">
        <f t="shared" si="8"/>
        <v>0</v>
      </c>
      <c r="Q257" s="115">
        <f t="shared" si="9"/>
        <v>0</v>
      </c>
      <c r="R257" s="117"/>
      <c r="S257" s="117">
        <f t="shared" si="10"/>
        <v>220000</v>
      </c>
    </row>
    <row r="258">
      <c r="A258" s="20">
        <f t="shared" si="1"/>
        <v>9</v>
      </c>
      <c r="B258" s="106">
        <v>44068.0</v>
      </c>
      <c r="C258" s="21" t="s">
        <v>113</v>
      </c>
      <c r="D258" s="124" t="str">
        <f t="shared" si="2"/>
        <v> MAXWELL AGRO9</v>
      </c>
      <c r="E258" s="93">
        <v>657.0</v>
      </c>
      <c r="F258" s="93">
        <v>93.0</v>
      </c>
      <c r="G258" s="93"/>
      <c r="H258" s="93">
        <v>10.0</v>
      </c>
      <c r="I258" s="125">
        <v>0.0</v>
      </c>
      <c r="J258" s="126">
        <f t="shared" si="3"/>
        <v>825.35</v>
      </c>
      <c r="K258" s="119"/>
      <c r="L258" s="111">
        <f t="shared" si="4"/>
        <v>-527400</v>
      </c>
      <c r="M258" s="127">
        <f t="shared" si="5"/>
        <v>9.3</v>
      </c>
      <c r="N258" s="113">
        <f t="shared" si="6"/>
        <v>8</v>
      </c>
      <c r="O258" s="113">
        <f t="shared" si="7"/>
        <v>10</v>
      </c>
      <c r="P258" s="114">
        <f t="shared" si="8"/>
        <v>8</v>
      </c>
      <c r="Q258" s="115">
        <f t="shared" si="9"/>
        <v>639</v>
      </c>
      <c r="R258" s="117">
        <v>527400.0</v>
      </c>
      <c r="S258" s="117">
        <f t="shared" si="10"/>
        <v>2920</v>
      </c>
    </row>
    <row r="259">
      <c r="A259" s="20">
        <f t="shared" si="1"/>
        <v>10</v>
      </c>
      <c r="B259" s="106">
        <v>44068.0</v>
      </c>
      <c r="C259" s="21" t="s">
        <v>113</v>
      </c>
      <c r="D259" s="124" t="str">
        <f t="shared" si="2"/>
        <v> MAXWELL AGRO10</v>
      </c>
      <c r="E259" s="93"/>
      <c r="F259" s="93"/>
      <c r="G259" s="93"/>
      <c r="H259" s="93"/>
      <c r="I259" s="125"/>
      <c r="J259" s="126" t="str">
        <f t="shared" si="3"/>
        <v/>
      </c>
      <c r="K259" s="119">
        <v>300000.0</v>
      </c>
      <c r="L259" s="111">
        <f t="shared" si="4"/>
        <v>300000</v>
      </c>
      <c r="M259" s="127" t="str">
        <f t="shared" si="5"/>
        <v/>
      </c>
      <c r="N259" s="113">
        <f t="shared" si="6"/>
        <v>0</v>
      </c>
      <c r="O259" s="113">
        <f t="shared" si="7"/>
        <v>0</v>
      </c>
      <c r="P259" s="114">
        <f t="shared" si="8"/>
        <v>0</v>
      </c>
      <c r="Q259" s="115">
        <f t="shared" si="9"/>
        <v>0</v>
      </c>
      <c r="R259" s="117"/>
      <c r="S259" s="117">
        <f t="shared" si="10"/>
        <v>302920</v>
      </c>
    </row>
    <row r="260">
      <c r="A260" s="20">
        <f t="shared" si="1"/>
        <v>11</v>
      </c>
      <c r="B260" s="106">
        <v>44068.0</v>
      </c>
      <c r="C260" s="21" t="s">
        <v>113</v>
      </c>
      <c r="D260" s="124" t="str">
        <f t="shared" si="2"/>
        <v> MAXWELL AGRO11</v>
      </c>
      <c r="E260" s="93"/>
      <c r="F260" s="93"/>
      <c r="G260" s="93"/>
      <c r="H260" s="93"/>
      <c r="I260" s="125"/>
      <c r="J260" s="126" t="str">
        <f t="shared" si="3"/>
        <v/>
      </c>
      <c r="K260" s="119">
        <v>4500.0</v>
      </c>
      <c r="L260" s="111">
        <f t="shared" si="4"/>
        <v>4500</v>
      </c>
      <c r="M260" s="127" t="str">
        <f t="shared" si="5"/>
        <v/>
      </c>
      <c r="N260" s="113">
        <f t="shared" si="6"/>
        <v>0</v>
      </c>
      <c r="O260" s="113">
        <f t="shared" si="7"/>
        <v>0</v>
      </c>
      <c r="P260" s="114">
        <f t="shared" si="8"/>
        <v>0</v>
      </c>
      <c r="Q260" s="115">
        <f t="shared" si="9"/>
        <v>0</v>
      </c>
      <c r="R260" s="117"/>
      <c r="S260" s="117">
        <f t="shared" si="10"/>
        <v>307420</v>
      </c>
    </row>
    <row r="261">
      <c r="A261" s="20">
        <f t="shared" si="1"/>
        <v>2</v>
      </c>
      <c r="B261" s="106">
        <v>44068.0</v>
      </c>
      <c r="C261" s="21" t="s">
        <v>160</v>
      </c>
      <c r="D261" s="124" t="str">
        <f t="shared" si="2"/>
        <v>REIMON ALABA2</v>
      </c>
      <c r="E261" s="93"/>
      <c r="F261" s="93"/>
      <c r="G261" s="93"/>
      <c r="H261" s="93"/>
      <c r="I261" s="125"/>
      <c r="J261" s="126" t="str">
        <f t="shared" si="3"/>
        <v/>
      </c>
      <c r="K261" s="119">
        <v>200000.0</v>
      </c>
      <c r="L261" s="111">
        <f t="shared" si="4"/>
        <v>200000</v>
      </c>
      <c r="M261" s="127" t="str">
        <f t="shared" si="5"/>
        <v/>
      </c>
      <c r="N261" s="113">
        <f t="shared" si="6"/>
        <v>0</v>
      </c>
      <c r="O261" s="113">
        <f t="shared" si="7"/>
        <v>0</v>
      </c>
      <c r="P261" s="114">
        <f t="shared" si="8"/>
        <v>0</v>
      </c>
      <c r="Q261" s="115">
        <f t="shared" si="9"/>
        <v>0</v>
      </c>
      <c r="R261" s="117"/>
      <c r="S261" s="117">
        <f t="shared" si="10"/>
        <v>350000</v>
      </c>
    </row>
    <row r="262">
      <c r="A262" s="20">
        <f t="shared" si="1"/>
        <v>16</v>
      </c>
      <c r="B262" s="106">
        <v>44068.0</v>
      </c>
      <c r="C262" s="21" t="s">
        <v>117</v>
      </c>
      <c r="D262" s="124" t="str">
        <f t="shared" si="2"/>
        <v>LYDIA HNSON 16</v>
      </c>
      <c r="E262" s="93"/>
      <c r="F262" s="93"/>
      <c r="G262" s="93"/>
      <c r="H262" s="93"/>
      <c r="I262" s="125"/>
      <c r="J262" s="126" t="str">
        <f t="shared" si="3"/>
        <v/>
      </c>
      <c r="K262" s="119">
        <v>10000.0</v>
      </c>
      <c r="L262" s="111">
        <f t="shared" si="4"/>
        <v>10000</v>
      </c>
      <c r="M262" s="127" t="str">
        <f t="shared" si="5"/>
        <v/>
      </c>
      <c r="N262" s="113">
        <f t="shared" si="6"/>
        <v>0</v>
      </c>
      <c r="O262" s="113">
        <f t="shared" si="7"/>
        <v>0</v>
      </c>
      <c r="P262" s="114">
        <f t="shared" si="8"/>
        <v>0</v>
      </c>
      <c r="Q262" s="115">
        <f t="shared" si="9"/>
        <v>0</v>
      </c>
      <c r="R262" s="117"/>
      <c r="S262" s="117">
        <f t="shared" si="10"/>
        <v>3576560</v>
      </c>
    </row>
    <row r="263">
      <c r="A263" s="20">
        <f t="shared" si="1"/>
        <v>1</v>
      </c>
      <c r="B263" s="106">
        <v>44068.0</v>
      </c>
      <c r="C263" s="21" t="s">
        <v>171</v>
      </c>
      <c r="D263" s="124" t="str">
        <f t="shared" si="2"/>
        <v>NEIGHBOR1</v>
      </c>
      <c r="E263" s="93"/>
      <c r="F263" s="93"/>
      <c r="G263" s="93"/>
      <c r="H263" s="93"/>
      <c r="I263" s="125"/>
      <c r="J263" s="126" t="str">
        <f t="shared" si="3"/>
        <v/>
      </c>
      <c r="K263" s="119">
        <v>500000.0</v>
      </c>
      <c r="L263" s="111">
        <f t="shared" si="4"/>
        <v>500000</v>
      </c>
      <c r="M263" s="127" t="str">
        <f t="shared" si="5"/>
        <v/>
      </c>
      <c r="N263" s="113">
        <f t="shared" si="6"/>
        <v>0</v>
      </c>
      <c r="O263" s="113">
        <f t="shared" si="7"/>
        <v>0</v>
      </c>
      <c r="P263" s="114">
        <f t="shared" si="8"/>
        <v>0</v>
      </c>
      <c r="Q263" s="115">
        <f t="shared" si="9"/>
        <v>0</v>
      </c>
      <c r="R263" s="117"/>
      <c r="S263" s="117">
        <f t="shared" si="10"/>
        <v>500000</v>
      </c>
    </row>
    <row r="264">
      <c r="A264" s="20">
        <f t="shared" si="1"/>
        <v>2</v>
      </c>
      <c r="B264" s="106">
        <v>44069.0</v>
      </c>
      <c r="C264" s="21" t="s">
        <v>171</v>
      </c>
      <c r="D264" s="124" t="str">
        <f t="shared" si="2"/>
        <v>NEIGHBOR2</v>
      </c>
      <c r="E264" s="93">
        <v>638.0</v>
      </c>
      <c r="F264" s="93">
        <v>102.0</v>
      </c>
      <c r="G264" s="93"/>
      <c r="H264" s="93">
        <v>10.0</v>
      </c>
      <c r="I264" s="125">
        <v>0.0</v>
      </c>
      <c r="J264" s="126">
        <f t="shared" si="3"/>
        <v>850</v>
      </c>
      <c r="K264" s="119"/>
      <c r="L264" s="111">
        <f t="shared" si="4"/>
        <v>-521900</v>
      </c>
      <c r="M264" s="127">
        <f t="shared" si="5"/>
        <v>10.2</v>
      </c>
      <c r="N264" s="113">
        <f t="shared" si="6"/>
        <v>14</v>
      </c>
      <c r="O264" s="113">
        <f t="shared" si="7"/>
        <v>9</v>
      </c>
      <c r="P264" s="114">
        <f t="shared" si="8"/>
        <v>46</v>
      </c>
      <c r="Q264" s="115">
        <f t="shared" si="9"/>
        <v>614</v>
      </c>
      <c r="R264" s="117">
        <v>521900.0</v>
      </c>
      <c r="S264" s="117">
        <f t="shared" si="10"/>
        <v>-21900</v>
      </c>
    </row>
    <row r="265">
      <c r="A265" s="20">
        <f t="shared" si="1"/>
        <v>13</v>
      </c>
      <c r="B265" s="106">
        <v>44069.0</v>
      </c>
      <c r="C265" s="21" t="s">
        <v>126</v>
      </c>
      <c r="D265" s="124" t="str">
        <f t="shared" si="2"/>
        <v>NDOMA BODE I.D13</v>
      </c>
      <c r="E265" s="93">
        <v>1304.0</v>
      </c>
      <c r="F265" s="93">
        <v>168.0</v>
      </c>
      <c r="G265" s="93"/>
      <c r="H265" s="93">
        <v>21.0</v>
      </c>
      <c r="I265" s="125">
        <v>0.0</v>
      </c>
      <c r="J265" s="126">
        <f t="shared" si="3"/>
        <v>820</v>
      </c>
      <c r="K265" s="119"/>
      <c r="L265" s="111">
        <f t="shared" si="4"/>
        <v>-1052060</v>
      </c>
      <c r="M265" s="127">
        <f t="shared" si="5"/>
        <v>8</v>
      </c>
      <c r="N265" s="113">
        <f t="shared" si="6"/>
        <v>0</v>
      </c>
      <c r="O265" s="113">
        <f t="shared" si="7"/>
        <v>20</v>
      </c>
      <c r="P265" s="114">
        <f t="shared" si="8"/>
        <v>22</v>
      </c>
      <c r="Q265" s="115">
        <f t="shared" si="9"/>
        <v>1283</v>
      </c>
      <c r="R265" s="117">
        <v>1052060.0</v>
      </c>
      <c r="S265" s="117">
        <f t="shared" si="10"/>
        <v>-52060</v>
      </c>
    </row>
    <row r="266">
      <c r="A266" s="20">
        <f t="shared" si="1"/>
        <v>8</v>
      </c>
      <c r="B266" s="106">
        <v>44069.0</v>
      </c>
      <c r="C266" s="21" t="s">
        <v>125</v>
      </c>
      <c r="D266" s="124" t="str">
        <f t="shared" si="2"/>
        <v>ANDRDEW GREAT8</v>
      </c>
      <c r="E266" s="93"/>
      <c r="F266" s="93"/>
      <c r="G266" s="93"/>
      <c r="H266" s="93"/>
      <c r="I266" s="125"/>
      <c r="J266" s="126" t="str">
        <f t="shared" si="3"/>
        <v/>
      </c>
      <c r="K266" s="119">
        <v>200000.0</v>
      </c>
      <c r="L266" s="111">
        <f t="shared" si="4"/>
        <v>200000</v>
      </c>
      <c r="M266" s="127" t="str">
        <f t="shared" si="5"/>
        <v/>
      </c>
      <c r="N266" s="113">
        <f t="shared" si="6"/>
        <v>0</v>
      </c>
      <c r="O266" s="113">
        <f t="shared" si="7"/>
        <v>0</v>
      </c>
      <c r="P266" s="114">
        <f t="shared" si="8"/>
        <v>0</v>
      </c>
      <c r="Q266" s="115">
        <f t="shared" si="9"/>
        <v>0</v>
      </c>
      <c r="R266" s="117"/>
      <c r="S266" s="117">
        <f t="shared" si="10"/>
        <v>1756950</v>
      </c>
    </row>
    <row r="267">
      <c r="A267" s="20">
        <f t="shared" si="1"/>
        <v>10</v>
      </c>
      <c r="B267" s="106">
        <v>44069.0</v>
      </c>
      <c r="C267" s="21" t="s">
        <v>98</v>
      </c>
      <c r="D267" s="124" t="str">
        <f t="shared" si="2"/>
        <v>EDWARD OKO10</v>
      </c>
      <c r="E267" s="93"/>
      <c r="F267" s="93"/>
      <c r="G267" s="93"/>
      <c r="H267" s="93"/>
      <c r="I267" s="125"/>
      <c r="J267" s="126" t="str">
        <f t="shared" si="3"/>
        <v/>
      </c>
      <c r="K267" s="119">
        <v>100000.0</v>
      </c>
      <c r="L267" s="111">
        <f t="shared" si="4"/>
        <v>100000</v>
      </c>
      <c r="M267" s="127" t="str">
        <f t="shared" si="5"/>
        <v/>
      </c>
      <c r="N267" s="113">
        <f t="shared" si="6"/>
        <v>0</v>
      </c>
      <c r="O267" s="113">
        <f t="shared" si="7"/>
        <v>0</v>
      </c>
      <c r="P267" s="114">
        <f t="shared" si="8"/>
        <v>0</v>
      </c>
      <c r="Q267" s="115">
        <f t="shared" si="9"/>
        <v>0</v>
      </c>
      <c r="R267" s="117"/>
      <c r="S267" s="117">
        <f t="shared" si="10"/>
        <v>192690</v>
      </c>
    </row>
    <row r="268">
      <c r="A268" s="20">
        <f t="shared" si="1"/>
        <v>17</v>
      </c>
      <c r="B268" s="106">
        <v>44069.0</v>
      </c>
      <c r="C268" s="21" t="s">
        <v>117</v>
      </c>
      <c r="D268" s="124" t="str">
        <f t="shared" si="2"/>
        <v>LYDIA HNSON 17</v>
      </c>
      <c r="E268" s="93"/>
      <c r="F268" s="93"/>
      <c r="G268" s="93"/>
      <c r="H268" s="93"/>
      <c r="I268" s="125"/>
      <c r="J268" s="126" t="str">
        <f t="shared" si="3"/>
        <v/>
      </c>
      <c r="K268" s="119">
        <v>1990000.0</v>
      </c>
      <c r="L268" s="111">
        <f t="shared" si="4"/>
        <v>1990000</v>
      </c>
      <c r="M268" s="127" t="str">
        <f t="shared" si="5"/>
        <v/>
      </c>
      <c r="N268" s="113">
        <f t="shared" si="6"/>
        <v>0</v>
      </c>
      <c r="O268" s="113">
        <f t="shared" si="7"/>
        <v>0</v>
      </c>
      <c r="P268" s="114">
        <f t="shared" si="8"/>
        <v>0</v>
      </c>
      <c r="Q268" s="115">
        <f t="shared" si="9"/>
        <v>0</v>
      </c>
      <c r="R268" s="117"/>
      <c r="S268" s="117">
        <f t="shared" si="10"/>
        <v>5566560</v>
      </c>
    </row>
    <row r="269">
      <c r="A269" s="20">
        <f t="shared" si="1"/>
        <v>15</v>
      </c>
      <c r="B269" s="106">
        <v>44069.0</v>
      </c>
      <c r="C269" s="21" t="s">
        <v>150</v>
      </c>
      <c r="D269" s="124" t="str">
        <f t="shared" si="2"/>
        <v>LIVINUS15</v>
      </c>
      <c r="E269" s="93"/>
      <c r="F269" s="93"/>
      <c r="G269" s="93"/>
      <c r="H269" s="93"/>
      <c r="I269" s="125"/>
      <c r="J269" s="126" t="str">
        <f t="shared" si="3"/>
        <v/>
      </c>
      <c r="K269" s="119">
        <v>2250000.0</v>
      </c>
      <c r="L269" s="111">
        <f t="shared" si="4"/>
        <v>2250000</v>
      </c>
      <c r="M269" s="127" t="str">
        <f t="shared" si="5"/>
        <v/>
      </c>
      <c r="N269" s="113">
        <f t="shared" si="6"/>
        <v>0</v>
      </c>
      <c r="O269" s="113">
        <f t="shared" si="7"/>
        <v>0</v>
      </c>
      <c r="P269" s="114">
        <f t="shared" si="8"/>
        <v>0</v>
      </c>
      <c r="Q269" s="115">
        <f t="shared" si="9"/>
        <v>0</v>
      </c>
      <c r="R269" s="117"/>
      <c r="S269" s="117">
        <f t="shared" si="10"/>
        <v>8354500</v>
      </c>
    </row>
    <row r="270">
      <c r="A270" s="20">
        <f t="shared" si="1"/>
        <v>4</v>
      </c>
      <c r="B270" s="106">
        <v>44069.0</v>
      </c>
      <c r="C270" s="21" t="s">
        <v>119</v>
      </c>
      <c r="D270" s="124" t="str">
        <f t="shared" si="2"/>
        <v>MAXWELL AGRO OBI4</v>
      </c>
      <c r="E270" s="93"/>
      <c r="F270" s="93"/>
      <c r="G270" s="93"/>
      <c r="H270" s="93"/>
      <c r="I270" s="125"/>
      <c r="J270" s="126" t="str">
        <f t="shared" si="3"/>
        <v/>
      </c>
      <c r="K270" s="119">
        <v>500000.0</v>
      </c>
      <c r="L270" s="111">
        <f t="shared" si="4"/>
        <v>500000</v>
      </c>
      <c r="M270" s="127" t="str">
        <f t="shared" si="5"/>
        <v/>
      </c>
      <c r="N270" s="113">
        <f t="shared" si="6"/>
        <v>0</v>
      </c>
      <c r="O270" s="113">
        <f t="shared" si="7"/>
        <v>0</v>
      </c>
      <c r="P270" s="114">
        <f t="shared" si="8"/>
        <v>0</v>
      </c>
      <c r="Q270" s="115">
        <f t="shared" si="9"/>
        <v>0</v>
      </c>
      <c r="R270" s="117"/>
      <c r="S270" s="117">
        <f t="shared" si="10"/>
        <v>753520</v>
      </c>
    </row>
    <row r="271">
      <c r="A271" s="20">
        <f t="shared" si="1"/>
        <v>14</v>
      </c>
      <c r="B271" s="106">
        <v>44069.0</v>
      </c>
      <c r="C271" s="21" t="s">
        <v>126</v>
      </c>
      <c r="D271" s="124" t="str">
        <f t="shared" si="2"/>
        <v>NDOMA BODE I.D14</v>
      </c>
      <c r="E271" s="93"/>
      <c r="F271" s="93"/>
      <c r="G271" s="93"/>
      <c r="H271" s="93"/>
      <c r="I271" s="125"/>
      <c r="J271" s="126" t="str">
        <f t="shared" si="3"/>
        <v/>
      </c>
      <c r="K271" s="119">
        <v>1052000.0</v>
      </c>
      <c r="L271" s="111">
        <f t="shared" si="4"/>
        <v>1052000</v>
      </c>
      <c r="M271" s="127" t="str">
        <f t="shared" si="5"/>
        <v/>
      </c>
      <c r="N271" s="113">
        <f t="shared" si="6"/>
        <v>0</v>
      </c>
      <c r="O271" s="113">
        <f t="shared" si="7"/>
        <v>0</v>
      </c>
      <c r="P271" s="114">
        <f t="shared" si="8"/>
        <v>0</v>
      </c>
      <c r="Q271" s="115">
        <f t="shared" si="9"/>
        <v>0</v>
      </c>
      <c r="R271" s="117"/>
      <c r="S271" s="117">
        <f t="shared" si="10"/>
        <v>999940</v>
      </c>
    </row>
    <row r="272">
      <c r="A272" s="20">
        <f t="shared" si="1"/>
        <v>5</v>
      </c>
      <c r="B272" s="106">
        <v>44069.0</v>
      </c>
      <c r="C272" s="21" t="s">
        <v>165</v>
      </c>
      <c r="D272" s="124" t="str">
        <f t="shared" si="2"/>
        <v>EUGENE5</v>
      </c>
      <c r="E272" s="93"/>
      <c r="F272" s="93"/>
      <c r="G272" s="93"/>
      <c r="H272" s="93"/>
      <c r="I272" s="125"/>
      <c r="J272" s="126" t="str">
        <f t="shared" si="3"/>
        <v/>
      </c>
      <c r="K272" s="119">
        <v>800000.0</v>
      </c>
      <c r="L272" s="111">
        <f t="shared" si="4"/>
        <v>800000</v>
      </c>
      <c r="M272" s="127" t="str">
        <f t="shared" si="5"/>
        <v/>
      </c>
      <c r="N272" s="113">
        <f t="shared" si="6"/>
        <v>0</v>
      </c>
      <c r="O272" s="113">
        <f t="shared" si="7"/>
        <v>0</v>
      </c>
      <c r="P272" s="114">
        <f t="shared" si="8"/>
        <v>0</v>
      </c>
      <c r="Q272" s="115">
        <f t="shared" si="9"/>
        <v>0</v>
      </c>
      <c r="R272" s="117"/>
      <c r="S272" s="117">
        <f t="shared" si="10"/>
        <v>1131200</v>
      </c>
    </row>
    <row r="273">
      <c r="A273" s="20">
        <f t="shared" si="1"/>
        <v>3</v>
      </c>
      <c r="B273" s="106">
        <v>44069.0</v>
      </c>
      <c r="C273" s="21" t="s">
        <v>171</v>
      </c>
      <c r="D273" s="124" t="str">
        <f t="shared" si="2"/>
        <v>NEIGHBOR3</v>
      </c>
      <c r="E273" s="93"/>
      <c r="F273" s="93"/>
      <c r="G273" s="93"/>
      <c r="H273" s="93"/>
      <c r="I273" s="125"/>
      <c r="J273" s="126" t="str">
        <f t="shared" si="3"/>
        <v/>
      </c>
      <c r="K273" s="119">
        <v>20400.0</v>
      </c>
      <c r="L273" s="111">
        <f t="shared" si="4"/>
        <v>20400</v>
      </c>
      <c r="M273" s="127" t="str">
        <f t="shared" si="5"/>
        <v/>
      </c>
      <c r="N273" s="113">
        <f t="shared" si="6"/>
        <v>0</v>
      </c>
      <c r="O273" s="113">
        <f t="shared" si="7"/>
        <v>0</v>
      </c>
      <c r="P273" s="114">
        <f t="shared" si="8"/>
        <v>0</v>
      </c>
      <c r="Q273" s="115">
        <f t="shared" si="9"/>
        <v>0</v>
      </c>
      <c r="R273" s="117"/>
      <c r="S273" s="117">
        <f t="shared" si="10"/>
        <v>-1500</v>
      </c>
    </row>
    <row r="274">
      <c r="A274" s="20">
        <f t="shared" si="1"/>
        <v>18</v>
      </c>
      <c r="B274" s="106">
        <v>44070.0</v>
      </c>
      <c r="C274" s="21" t="s">
        <v>117</v>
      </c>
      <c r="D274" s="124" t="str">
        <f t="shared" si="2"/>
        <v>LYDIA HNSON 18</v>
      </c>
      <c r="E274" s="93">
        <v>2512.0</v>
      </c>
      <c r="F274" s="93">
        <v>320.0</v>
      </c>
      <c r="G274" s="93"/>
      <c r="H274" s="93">
        <v>40.0</v>
      </c>
      <c r="I274" s="125">
        <v>0.0</v>
      </c>
      <c r="J274" s="126">
        <f t="shared" si="3"/>
        <v>840</v>
      </c>
      <c r="K274" s="119"/>
      <c r="L274" s="111">
        <f t="shared" si="4"/>
        <v>-2076480</v>
      </c>
      <c r="M274" s="127">
        <f t="shared" si="5"/>
        <v>8</v>
      </c>
      <c r="N274" s="113">
        <f t="shared" si="6"/>
        <v>0</v>
      </c>
      <c r="O274" s="113">
        <f t="shared" si="7"/>
        <v>39</v>
      </c>
      <c r="P274" s="114">
        <f t="shared" si="8"/>
        <v>15</v>
      </c>
      <c r="Q274" s="115">
        <f t="shared" si="9"/>
        <v>2472</v>
      </c>
      <c r="R274" s="117">
        <v>2076480.0</v>
      </c>
      <c r="S274" s="117">
        <f t="shared" si="10"/>
        <v>3490080</v>
      </c>
    </row>
    <row r="275">
      <c r="A275" s="20">
        <f t="shared" si="1"/>
        <v>6</v>
      </c>
      <c r="B275" s="106">
        <v>44067.0</v>
      </c>
      <c r="C275" s="21" t="s">
        <v>169</v>
      </c>
      <c r="D275" s="124" t="str">
        <f t="shared" si="2"/>
        <v>A. D. FREDERICK6</v>
      </c>
      <c r="E275" s="93">
        <v>623.0</v>
      </c>
      <c r="F275" s="93">
        <v>80.0</v>
      </c>
      <c r="G275" s="93"/>
      <c r="H275" s="93">
        <v>10.0</v>
      </c>
      <c r="I275" s="125">
        <v>0.0</v>
      </c>
      <c r="J275" s="126">
        <f t="shared" si="3"/>
        <v>830</v>
      </c>
      <c r="K275" s="119"/>
      <c r="L275" s="111">
        <f t="shared" si="4"/>
        <v>-508790</v>
      </c>
      <c r="M275" s="127">
        <f t="shared" si="5"/>
        <v>8</v>
      </c>
      <c r="N275" s="113">
        <f t="shared" si="6"/>
        <v>0</v>
      </c>
      <c r="O275" s="113">
        <f t="shared" si="7"/>
        <v>9</v>
      </c>
      <c r="P275" s="114">
        <f t="shared" si="8"/>
        <v>46</v>
      </c>
      <c r="Q275" s="115">
        <f t="shared" si="9"/>
        <v>613</v>
      </c>
      <c r="R275" s="117">
        <v>508790.0</v>
      </c>
      <c r="S275" s="117">
        <f t="shared" si="10"/>
        <v>138410</v>
      </c>
    </row>
    <row r="276">
      <c r="A276" s="20">
        <f t="shared" si="1"/>
        <v>16</v>
      </c>
      <c r="B276" s="106">
        <v>44070.0</v>
      </c>
      <c r="C276" s="21" t="s">
        <v>146</v>
      </c>
      <c r="D276" s="124" t="str">
        <f t="shared" si="2"/>
        <v>CONNECT16</v>
      </c>
      <c r="E276" s="93"/>
      <c r="F276" s="93"/>
      <c r="G276" s="93"/>
      <c r="H276" s="93"/>
      <c r="I276" s="125"/>
      <c r="J276" s="126" t="str">
        <f t="shared" si="3"/>
        <v/>
      </c>
      <c r="K276" s="119">
        <v>2000000.0</v>
      </c>
      <c r="L276" s="111">
        <f t="shared" si="4"/>
        <v>2000000</v>
      </c>
      <c r="M276" s="127" t="str">
        <f t="shared" si="5"/>
        <v/>
      </c>
      <c r="N276" s="113">
        <f t="shared" si="6"/>
        <v>0</v>
      </c>
      <c r="O276" s="113">
        <f t="shared" si="7"/>
        <v>0</v>
      </c>
      <c r="P276" s="114">
        <f t="shared" si="8"/>
        <v>0</v>
      </c>
      <c r="Q276" s="115">
        <f t="shared" si="9"/>
        <v>0</v>
      </c>
      <c r="R276" s="117"/>
      <c r="S276" s="117">
        <f t="shared" si="10"/>
        <v>5123100</v>
      </c>
    </row>
    <row r="277">
      <c r="A277" s="20">
        <f t="shared" si="1"/>
        <v>5</v>
      </c>
      <c r="B277" s="106">
        <v>44070.0</v>
      </c>
      <c r="C277" s="21" t="s">
        <v>110</v>
      </c>
      <c r="D277" s="124" t="str">
        <f t="shared" si="2"/>
        <v>AUGUSTINE IGBA5</v>
      </c>
      <c r="E277" s="93"/>
      <c r="F277" s="93"/>
      <c r="G277" s="93"/>
      <c r="H277" s="93"/>
      <c r="I277" s="125"/>
      <c r="J277" s="126" t="str">
        <f t="shared" si="3"/>
        <v/>
      </c>
      <c r="K277" s="119">
        <v>2000000.0</v>
      </c>
      <c r="L277" s="111">
        <f t="shared" si="4"/>
        <v>2000000</v>
      </c>
      <c r="M277" s="127" t="str">
        <f t="shared" si="5"/>
        <v/>
      </c>
      <c r="N277" s="113">
        <f t="shared" si="6"/>
        <v>0</v>
      </c>
      <c r="O277" s="113">
        <f t="shared" si="7"/>
        <v>0</v>
      </c>
      <c r="P277" s="114">
        <f t="shared" si="8"/>
        <v>0</v>
      </c>
      <c r="Q277" s="115">
        <f t="shared" si="9"/>
        <v>0</v>
      </c>
      <c r="R277" s="117"/>
      <c r="S277" s="117">
        <f t="shared" si="10"/>
        <v>24134140</v>
      </c>
    </row>
    <row r="278">
      <c r="A278" s="20">
        <f t="shared" si="1"/>
        <v>4</v>
      </c>
      <c r="B278" s="106">
        <v>44070.0</v>
      </c>
      <c r="C278" s="21" t="s">
        <v>109</v>
      </c>
      <c r="D278" s="124" t="str">
        <f t="shared" si="2"/>
        <v>OTU KOKO KEIBO4</v>
      </c>
      <c r="E278" s="93"/>
      <c r="F278" s="93"/>
      <c r="G278" s="93"/>
      <c r="H278" s="93"/>
      <c r="I278" s="125"/>
      <c r="J278" s="126" t="str">
        <f t="shared" si="3"/>
        <v/>
      </c>
      <c r="K278" s="119">
        <v>35000.0</v>
      </c>
      <c r="L278" s="111">
        <f t="shared" si="4"/>
        <v>35000</v>
      </c>
      <c r="M278" s="127" t="str">
        <f t="shared" si="5"/>
        <v/>
      </c>
      <c r="N278" s="113">
        <f t="shared" si="6"/>
        <v>0</v>
      </c>
      <c r="O278" s="113">
        <f t="shared" si="7"/>
        <v>0</v>
      </c>
      <c r="P278" s="114">
        <f t="shared" si="8"/>
        <v>0</v>
      </c>
      <c r="Q278" s="115">
        <f t="shared" si="9"/>
        <v>0</v>
      </c>
      <c r="R278" s="117"/>
      <c r="S278" s="117">
        <f t="shared" si="10"/>
        <v>26034925</v>
      </c>
    </row>
    <row r="279">
      <c r="A279" s="20">
        <f t="shared" si="1"/>
        <v>1</v>
      </c>
      <c r="B279" s="106">
        <v>44069.0</v>
      </c>
      <c r="C279" s="21" t="s">
        <v>172</v>
      </c>
      <c r="D279" s="124" t="str">
        <f t="shared" si="2"/>
        <v>NDOMA PRIN1</v>
      </c>
      <c r="E279" s="93">
        <v>135.0</v>
      </c>
      <c r="F279" s="93">
        <v>26.5</v>
      </c>
      <c r="G279" s="93"/>
      <c r="H279" s="93">
        <v>2.0</v>
      </c>
      <c r="I279" s="125"/>
      <c r="J279" s="126">
        <f t="shared" si="3"/>
        <v>800</v>
      </c>
      <c r="K279" s="119"/>
      <c r="L279" s="111">
        <f t="shared" si="4"/>
        <v>-100800</v>
      </c>
      <c r="M279" s="127">
        <f t="shared" si="5"/>
        <v>13.25</v>
      </c>
      <c r="N279" s="113">
        <f t="shared" si="6"/>
        <v>7</v>
      </c>
      <c r="O279" s="113">
        <f t="shared" si="7"/>
        <v>2</v>
      </c>
      <c r="P279" s="114">
        <f t="shared" si="8"/>
        <v>0</v>
      </c>
      <c r="Q279" s="115">
        <f t="shared" si="9"/>
        <v>126</v>
      </c>
      <c r="R279" s="117">
        <v>100800.0</v>
      </c>
      <c r="S279" s="117">
        <f t="shared" si="10"/>
        <v>-100800</v>
      </c>
    </row>
    <row r="280">
      <c r="A280" s="20">
        <f t="shared" si="1"/>
        <v>10</v>
      </c>
      <c r="B280" s="106">
        <v>44071.0</v>
      </c>
      <c r="C280" s="21" t="s">
        <v>46</v>
      </c>
      <c r="D280" s="124" t="str">
        <f t="shared" si="2"/>
        <v>ETUK EFFI10</v>
      </c>
      <c r="E280" s="93"/>
      <c r="F280" s="93"/>
      <c r="G280" s="93"/>
      <c r="H280" s="93"/>
      <c r="I280" s="125"/>
      <c r="J280" s="126" t="str">
        <f t="shared" si="3"/>
        <v/>
      </c>
      <c r="K280" s="119"/>
      <c r="L280" s="111">
        <f t="shared" si="4"/>
        <v>-592260</v>
      </c>
      <c r="M280" s="127" t="str">
        <f t="shared" si="5"/>
        <v/>
      </c>
      <c r="N280" s="113">
        <f t="shared" si="6"/>
        <v>0</v>
      </c>
      <c r="O280" s="113">
        <f t="shared" si="7"/>
        <v>0</v>
      </c>
      <c r="P280" s="114">
        <f t="shared" si="8"/>
        <v>0</v>
      </c>
      <c r="Q280" s="115">
        <f t="shared" si="9"/>
        <v>0</v>
      </c>
      <c r="R280" s="117">
        <v>592260.0</v>
      </c>
      <c r="S280" s="117">
        <f t="shared" si="10"/>
        <v>1500000</v>
      </c>
    </row>
    <row r="281">
      <c r="A281" s="20">
        <f t="shared" si="1"/>
        <v>5</v>
      </c>
      <c r="B281" s="106">
        <v>44071.0</v>
      </c>
      <c r="C281" s="21" t="s">
        <v>109</v>
      </c>
      <c r="D281" s="124" t="str">
        <f t="shared" si="2"/>
        <v>OTU KOKO KEIBO5</v>
      </c>
      <c r="E281" s="93"/>
      <c r="F281" s="93"/>
      <c r="G281" s="93"/>
      <c r="H281" s="93"/>
      <c r="I281" s="125"/>
      <c r="J281" s="126" t="str">
        <f t="shared" si="3"/>
        <v/>
      </c>
      <c r="K281" s="119">
        <v>50000.0</v>
      </c>
      <c r="L281" s="111">
        <f t="shared" si="4"/>
        <v>50000</v>
      </c>
      <c r="M281" s="127" t="str">
        <f t="shared" si="5"/>
        <v/>
      </c>
      <c r="N281" s="113">
        <f t="shared" si="6"/>
        <v>0</v>
      </c>
      <c r="O281" s="113">
        <f t="shared" si="7"/>
        <v>0</v>
      </c>
      <c r="P281" s="114">
        <f t="shared" si="8"/>
        <v>0</v>
      </c>
      <c r="Q281" s="115">
        <f t="shared" si="9"/>
        <v>0</v>
      </c>
      <c r="R281" s="117"/>
      <c r="S281" s="117">
        <f t="shared" si="10"/>
        <v>26084925</v>
      </c>
    </row>
    <row r="282">
      <c r="A282" s="20">
        <f t="shared" si="1"/>
        <v>3</v>
      </c>
      <c r="B282" s="106">
        <v>44071.0</v>
      </c>
      <c r="C282" s="21" t="s">
        <v>118</v>
      </c>
      <c r="D282" s="124" t="str">
        <f t="shared" si="2"/>
        <v>NAOMI3</v>
      </c>
      <c r="E282" s="93"/>
      <c r="F282" s="93"/>
      <c r="G282" s="93"/>
      <c r="H282" s="93"/>
      <c r="I282" s="125"/>
      <c r="J282" s="126" t="str">
        <f t="shared" si="3"/>
        <v/>
      </c>
      <c r="K282" s="119">
        <v>50000.0</v>
      </c>
      <c r="L282" s="111">
        <f t="shared" si="4"/>
        <v>50000</v>
      </c>
      <c r="M282" s="127" t="str">
        <f t="shared" si="5"/>
        <v/>
      </c>
      <c r="N282" s="113">
        <f t="shared" si="6"/>
        <v>0</v>
      </c>
      <c r="O282" s="113">
        <f t="shared" si="7"/>
        <v>0</v>
      </c>
      <c r="P282" s="114">
        <f t="shared" si="8"/>
        <v>0</v>
      </c>
      <c r="Q282" s="115">
        <f t="shared" si="9"/>
        <v>0</v>
      </c>
      <c r="R282" s="117"/>
      <c r="S282" s="117">
        <f t="shared" si="10"/>
        <v>13150265</v>
      </c>
    </row>
    <row r="283">
      <c r="A283" s="20">
        <f t="shared" si="1"/>
        <v>19</v>
      </c>
      <c r="B283" s="106">
        <v>44071.0</v>
      </c>
      <c r="C283" s="21" t="s">
        <v>152</v>
      </c>
      <c r="D283" s="124" t="str">
        <f t="shared" si="2"/>
        <v>RECTOR W.19</v>
      </c>
      <c r="E283" s="93"/>
      <c r="F283" s="93"/>
      <c r="G283" s="93"/>
      <c r="H283" s="93"/>
      <c r="I283" s="125"/>
      <c r="J283" s="126" t="str">
        <f t="shared" si="3"/>
        <v/>
      </c>
      <c r="K283" s="119">
        <v>100000.0</v>
      </c>
      <c r="L283" s="111">
        <f t="shared" si="4"/>
        <v>100000</v>
      </c>
      <c r="M283" s="127" t="str">
        <f t="shared" si="5"/>
        <v/>
      </c>
      <c r="N283" s="113">
        <f t="shared" si="6"/>
        <v>0</v>
      </c>
      <c r="O283" s="113">
        <f t="shared" si="7"/>
        <v>0</v>
      </c>
      <c r="P283" s="114">
        <f t="shared" si="8"/>
        <v>0</v>
      </c>
      <c r="Q283" s="115">
        <f t="shared" si="9"/>
        <v>0</v>
      </c>
      <c r="R283" s="117"/>
      <c r="S283" s="117">
        <f t="shared" si="10"/>
        <v>4767340</v>
      </c>
    </row>
    <row r="284">
      <c r="A284" s="20">
        <f t="shared" si="1"/>
        <v>2</v>
      </c>
      <c r="B284" s="106">
        <v>44071.0</v>
      </c>
      <c r="C284" s="21" t="s">
        <v>172</v>
      </c>
      <c r="D284" s="124" t="str">
        <f t="shared" si="2"/>
        <v>NDOMA PRIN2</v>
      </c>
      <c r="E284" s="93"/>
      <c r="F284" s="93"/>
      <c r="G284" s="93"/>
      <c r="H284" s="93"/>
      <c r="I284" s="125"/>
      <c r="J284" s="126" t="str">
        <f t="shared" si="3"/>
        <v/>
      </c>
      <c r="K284" s="119">
        <v>159000.0</v>
      </c>
      <c r="L284" s="111">
        <f t="shared" si="4"/>
        <v>159000</v>
      </c>
      <c r="M284" s="127" t="str">
        <f t="shared" si="5"/>
        <v/>
      </c>
      <c r="N284" s="113">
        <f t="shared" si="6"/>
        <v>0</v>
      </c>
      <c r="O284" s="113">
        <f t="shared" si="7"/>
        <v>0</v>
      </c>
      <c r="P284" s="114">
        <f t="shared" si="8"/>
        <v>0</v>
      </c>
      <c r="Q284" s="115">
        <f t="shared" si="9"/>
        <v>0</v>
      </c>
      <c r="R284" s="117"/>
      <c r="S284" s="117">
        <f t="shared" si="10"/>
        <v>58200</v>
      </c>
    </row>
    <row r="285">
      <c r="A285" s="20">
        <f t="shared" si="1"/>
        <v>6</v>
      </c>
      <c r="B285" s="106">
        <v>44072.0</v>
      </c>
      <c r="C285" s="21" t="s">
        <v>109</v>
      </c>
      <c r="D285" s="124" t="str">
        <f t="shared" si="2"/>
        <v>OTU KOKO KEIBO6</v>
      </c>
      <c r="E285" s="93"/>
      <c r="F285" s="93"/>
      <c r="G285" s="93"/>
      <c r="H285" s="93"/>
      <c r="I285" s="125"/>
      <c r="J285" s="126" t="str">
        <f t="shared" si="3"/>
        <v/>
      </c>
      <c r="K285" s="119">
        <v>5000.0</v>
      </c>
      <c r="L285" s="111">
        <f t="shared" si="4"/>
        <v>5000</v>
      </c>
      <c r="M285" s="127" t="str">
        <f t="shared" si="5"/>
        <v/>
      </c>
      <c r="N285" s="113">
        <f t="shared" si="6"/>
        <v>0</v>
      </c>
      <c r="O285" s="113">
        <f t="shared" si="7"/>
        <v>0</v>
      </c>
      <c r="P285" s="114">
        <f t="shared" si="8"/>
        <v>0</v>
      </c>
      <c r="Q285" s="115">
        <f t="shared" si="9"/>
        <v>0</v>
      </c>
      <c r="R285" s="117"/>
      <c r="S285" s="117">
        <f t="shared" si="10"/>
        <v>26089925</v>
      </c>
    </row>
    <row r="286">
      <c r="A286" s="20">
        <f t="shared" si="1"/>
        <v>6</v>
      </c>
      <c r="B286" s="106">
        <v>44074.0</v>
      </c>
      <c r="C286" s="21" t="s">
        <v>124</v>
      </c>
      <c r="D286" s="124" t="str">
        <f t="shared" si="2"/>
        <v>REMMY BODES6</v>
      </c>
      <c r="E286" s="93"/>
      <c r="F286" s="93"/>
      <c r="G286" s="93"/>
      <c r="H286" s="93"/>
      <c r="I286" s="125"/>
      <c r="J286" s="126" t="str">
        <f t="shared" si="3"/>
        <v/>
      </c>
      <c r="K286" s="119">
        <v>220000.0</v>
      </c>
      <c r="L286" s="111">
        <f t="shared" si="4"/>
        <v>220000</v>
      </c>
      <c r="M286" s="127" t="str">
        <f t="shared" si="5"/>
        <v/>
      </c>
      <c r="N286" s="113">
        <f t="shared" si="6"/>
        <v>0</v>
      </c>
      <c r="O286" s="113">
        <f t="shared" si="7"/>
        <v>0</v>
      </c>
      <c r="P286" s="114">
        <f t="shared" si="8"/>
        <v>0</v>
      </c>
      <c r="Q286" s="115">
        <f t="shared" si="9"/>
        <v>0</v>
      </c>
      <c r="R286" s="117"/>
      <c r="S286" s="117">
        <f t="shared" si="10"/>
        <v>1644060</v>
      </c>
    </row>
    <row r="287">
      <c r="A287" s="20">
        <f t="shared" si="1"/>
        <v>19</v>
      </c>
      <c r="B287" s="106">
        <v>44074.0</v>
      </c>
      <c r="C287" s="21" t="s">
        <v>117</v>
      </c>
      <c r="D287" s="124" t="str">
        <f t="shared" si="2"/>
        <v>LYDIA HNSON 19</v>
      </c>
      <c r="E287" s="93"/>
      <c r="F287" s="93"/>
      <c r="G287" s="93"/>
      <c r="H287" s="93"/>
      <c r="I287" s="125"/>
      <c r="J287" s="126" t="str">
        <f t="shared" si="3"/>
        <v/>
      </c>
      <c r="K287" s="119">
        <v>35000.0</v>
      </c>
      <c r="L287" s="111">
        <f t="shared" si="4"/>
        <v>35000</v>
      </c>
      <c r="M287" s="127" t="str">
        <f t="shared" si="5"/>
        <v/>
      </c>
      <c r="N287" s="113">
        <f t="shared" si="6"/>
        <v>0</v>
      </c>
      <c r="O287" s="113">
        <f t="shared" si="7"/>
        <v>0</v>
      </c>
      <c r="P287" s="114">
        <f t="shared" si="8"/>
        <v>0</v>
      </c>
      <c r="Q287" s="115">
        <f t="shared" si="9"/>
        <v>0</v>
      </c>
      <c r="R287" s="117"/>
      <c r="S287" s="117">
        <f t="shared" si="10"/>
        <v>3525080</v>
      </c>
    </row>
    <row r="288">
      <c r="A288" s="20">
        <f t="shared" si="1"/>
        <v>1</v>
      </c>
      <c r="B288" s="106">
        <v>44074.0</v>
      </c>
      <c r="C288" s="21" t="s">
        <v>173</v>
      </c>
      <c r="D288" s="124" t="str">
        <f t="shared" si="2"/>
        <v>SEPH LOVE1</v>
      </c>
      <c r="E288" s="93"/>
      <c r="F288" s="93"/>
      <c r="G288" s="93"/>
      <c r="H288" s="93"/>
      <c r="I288" s="125"/>
      <c r="J288" s="126" t="str">
        <f t="shared" si="3"/>
        <v/>
      </c>
      <c r="K288" s="119">
        <v>2500000.0</v>
      </c>
      <c r="L288" s="111">
        <f t="shared" si="4"/>
        <v>2500000</v>
      </c>
      <c r="M288" s="127" t="str">
        <f t="shared" si="5"/>
        <v/>
      </c>
      <c r="N288" s="113">
        <f t="shared" si="6"/>
        <v>0</v>
      </c>
      <c r="O288" s="113">
        <f t="shared" si="7"/>
        <v>0</v>
      </c>
      <c r="P288" s="114">
        <f t="shared" si="8"/>
        <v>0</v>
      </c>
      <c r="Q288" s="115">
        <f t="shared" si="9"/>
        <v>0</v>
      </c>
      <c r="R288" s="117"/>
      <c r="S288" s="117">
        <f t="shared" si="10"/>
        <v>2500000</v>
      </c>
    </row>
    <row r="289">
      <c r="A289" s="20">
        <f t="shared" si="1"/>
        <v>7</v>
      </c>
      <c r="B289" s="106">
        <v>44075.0</v>
      </c>
      <c r="C289" s="21" t="s">
        <v>169</v>
      </c>
      <c r="D289" s="124" t="str">
        <f t="shared" si="2"/>
        <v>A. D. FREDERICK7</v>
      </c>
      <c r="E289" s="93"/>
      <c r="F289" s="93"/>
      <c r="G289" s="93"/>
      <c r="H289" s="93"/>
      <c r="I289" s="125"/>
      <c r="J289" s="126" t="str">
        <f t="shared" si="3"/>
        <v/>
      </c>
      <c r="K289" s="119">
        <v>1105000.0</v>
      </c>
      <c r="L289" s="111">
        <f t="shared" si="4"/>
        <v>1105000</v>
      </c>
      <c r="M289" s="127" t="str">
        <f t="shared" si="5"/>
        <v/>
      </c>
      <c r="N289" s="113">
        <f t="shared" si="6"/>
        <v>0</v>
      </c>
      <c r="O289" s="113">
        <f t="shared" si="7"/>
        <v>0</v>
      </c>
      <c r="P289" s="114">
        <f t="shared" si="8"/>
        <v>0</v>
      </c>
      <c r="Q289" s="115">
        <f t="shared" si="9"/>
        <v>0</v>
      </c>
      <c r="R289" s="117"/>
      <c r="S289" s="117">
        <f t="shared" si="10"/>
        <v>1243410</v>
      </c>
    </row>
    <row r="290">
      <c r="A290" s="20">
        <f t="shared" si="1"/>
        <v>7</v>
      </c>
      <c r="B290" s="106">
        <v>44075.0</v>
      </c>
      <c r="C290" s="21" t="s">
        <v>109</v>
      </c>
      <c r="D290" s="124" t="str">
        <f t="shared" si="2"/>
        <v>OTU KOKO KEIBO7</v>
      </c>
      <c r="E290" s="93"/>
      <c r="F290" s="93"/>
      <c r="G290" s="93"/>
      <c r="H290" s="93"/>
      <c r="I290" s="125"/>
      <c r="J290" s="126" t="str">
        <f t="shared" si="3"/>
        <v/>
      </c>
      <c r="K290" s="119">
        <v>20000.0</v>
      </c>
      <c r="L290" s="111">
        <f t="shared" si="4"/>
        <v>20000</v>
      </c>
      <c r="M290" s="127" t="str">
        <f t="shared" si="5"/>
        <v/>
      </c>
      <c r="N290" s="113">
        <f t="shared" si="6"/>
        <v>0</v>
      </c>
      <c r="O290" s="113">
        <f t="shared" si="7"/>
        <v>0</v>
      </c>
      <c r="P290" s="114">
        <f t="shared" si="8"/>
        <v>0</v>
      </c>
      <c r="Q290" s="115">
        <f t="shared" si="9"/>
        <v>0</v>
      </c>
      <c r="R290" s="117"/>
      <c r="S290" s="117">
        <f t="shared" si="10"/>
        <v>26109925</v>
      </c>
    </row>
    <row r="291">
      <c r="A291" s="20">
        <f t="shared" si="1"/>
        <v>6</v>
      </c>
      <c r="B291" s="106">
        <v>44075.0</v>
      </c>
      <c r="C291" s="21" t="s">
        <v>159</v>
      </c>
      <c r="D291" s="124" t="str">
        <f t="shared" si="2"/>
        <v>EMMANUEL OKO 6</v>
      </c>
      <c r="E291" s="93"/>
      <c r="F291" s="93"/>
      <c r="G291" s="93"/>
      <c r="H291" s="93"/>
      <c r="I291" s="125"/>
      <c r="J291" s="126" t="str">
        <f t="shared" si="3"/>
        <v/>
      </c>
      <c r="K291" s="119">
        <v>936000.0</v>
      </c>
      <c r="L291" s="111">
        <f t="shared" si="4"/>
        <v>936000</v>
      </c>
      <c r="M291" s="127" t="str">
        <f t="shared" si="5"/>
        <v/>
      </c>
      <c r="N291" s="113">
        <f t="shared" si="6"/>
        <v>0</v>
      </c>
      <c r="O291" s="113">
        <f t="shared" si="7"/>
        <v>0</v>
      </c>
      <c r="P291" s="114">
        <f t="shared" si="8"/>
        <v>0</v>
      </c>
      <c r="Q291" s="115">
        <f t="shared" si="9"/>
        <v>0</v>
      </c>
      <c r="R291" s="117"/>
      <c r="S291" s="117">
        <f t="shared" si="10"/>
        <v>1676750</v>
      </c>
    </row>
    <row r="292">
      <c r="A292" s="20">
        <f t="shared" si="1"/>
        <v>8</v>
      </c>
      <c r="B292" s="106">
        <v>44077.0</v>
      </c>
      <c r="C292" s="21" t="s">
        <v>107</v>
      </c>
      <c r="D292" s="124" t="str">
        <f t="shared" si="2"/>
        <v>BOSURU  BOSURU8</v>
      </c>
      <c r="E292" s="93"/>
      <c r="F292" s="93"/>
      <c r="G292" s="93"/>
      <c r="H292" s="93"/>
      <c r="I292" s="125"/>
      <c r="J292" s="126" t="str">
        <f t="shared" si="3"/>
        <v/>
      </c>
      <c r="K292" s="119">
        <v>500000.0</v>
      </c>
      <c r="L292" s="111">
        <f t="shared" si="4"/>
        <v>500000</v>
      </c>
      <c r="M292" s="127" t="str">
        <f t="shared" si="5"/>
        <v/>
      </c>
      <c r="N292" s="113">
        <f t="shared" si="6"/>
        <v>0</v>
      </c>
      <c r="O292" s="113">
        <f t="shared" si="7"/>
        <v>0</v>
      </c>
      <c r="P292" s="114">
        <f t="shared" si="8"/>
        <v>0</v>
      </c>
      <c r="Q292" s="115">
        <f t="shared" si="9"/>
        <v>0</v>
      </c>
      <c r="R292" s="117"/>
      <c r="S292" s="117">
        <f t="shared" si="10"/>
        <v>1852380</v>
      </c>
    </row>
    <row r="293">
      <c r="A293" s="20">
        <f t="shared" si="1"/>
        <v>6</v>
      </c>
      <c r="B293" s="106">
        <v>44077.0</v>
      </c>
      <c r="C293" s="21" t="s">
        <v>156</v>
      </c>
      <c r="D293" s="124" t="str">
        <f t="shared" si="2"/>
        <v>NDOMA PETER6</v>
      </c>
      <c r="E293" s="93">
        <v>768.0</v>
      </c>
      <c r="F293" s="93">
        <v>96.0</v>
      </c>
      <c r="G293" s="93"/>
      <c r="H293" s="93">
        <v>12.0</v>
      </c>
      <c r="I293" s="125"/>
      <c r="J293" s="126">
        <f t="shared" si="3"/>
        <v>839.95</v>
      </c>
      <c r="K293" s="119"/>
      <c r="L293" s="111">
        <f t="shared" si="4"/>
        <v>-635000</v>
      </c>
      <c r="M293" s="127">
        <f t="shared" si="5"/>
        <v>8</v>
      </c>
      <c r="N293" s="113">
        <f t="shared" si="6"/>
        <v>0</v>
      </c>
      <c r="O293" s="113">
        <f t="shared" si="7"/>
        <v>12</v>
      </c>
      <c r="P293" s="114">
        <f t="shared" si="8"/>
        <v>0</v>
      </c>
      <c r="Q293" s="115">
        <f t="shared" si="9"/>
        <v>756</v>
      </c>
      <c r="R293" s="117">
        <v>635000.0</v>
      </c>
      <c r="S293" s="117">
        <f t="shared" si="10"/>
        <v>-35000</v>
      </c>
    </row>
    <row r="294">
      <c r="A294" s="20">
        <f t="shared" si="1"/>
        <v>7</v>
      </c>
      <c r="B294" s="106">
        <v>44077.0</v>
      </c>
      <c r="C294" s="21" t="s">
        <v>156</v>
      </c>
      <c r="D294" s="124" t="str">
        <f t="shared" si="2"/>
        <v>NDOMA PETER7</v>
      </c>
      <c r="E294" s="93"/>
      <c r="F294" s="93"/>
      <c r="G294" s="93"/>
      <c r="H294" s="93"/>
      <c r="I294" s="125"/>
      <c r="J294" s="126" t="str">
        <f t="shared" si="3"/>
        <v/>
      </c>
      <c r="K294" s="119">
        <v>635000.0</v>
      </c>
      <c r="L294" s="111">
        <f t="shared" si="4"/>
        <v>635000</v>
      </c>
      <c r="M294" s="127" t="str">
        <f t="shared" si="5"/>
        <v/>
      </c>
      <c r="N294" s="113">
        <f t="shared" si="6"/>
        <v>0</v>
      </c>
      <c r="O294" s="113">
        <f t="shared" si="7"/>
        <v>0</v>
      </c>
      <c r="P294" s="114">
        <f t="shared" si="8"/>
        <v>0</v>
      </c>
      <c r="Q294" s="115">
        <f t="shared" si="9"/>
        <v>0</v>
      </c>
      <c r="R294" s="117"/>
      <c r="S294" s="117">
        <f t="shared" si="10"/>
        <v>600000</v>
      </c>
    </row>
    <row r="295">
      <c r="A295" s="20">
        <f t="shared" si="1"/>
        <v>16</v>
      </c>
      <c r="B295" s="106">
        <v>44078.0</v>
      </c>
      <c r="C295" s="21" t="s">
        <v>150</v>
      </c>
      <c r="D295" s="124" t="str">
        <f t="shared" si="2"/>
        <v>LIVINUS16</v>
      </c>
      <c r="E295" s="93"/>
      <c r="F295" s="93"/>
      <c r="G295" s="93"/>
      <c r="H295" s="93"/>
      <c r="I295" s="125"/>
      <c r="J295" s="126" t="str">
        <f t="shared" si="3"/>
        <v/>
      </c>
      <c r="K295" s="119">
        <v>1000000.0</v>
      </c>
      <c r="L295" s="111">
        <f t="shared" si="4"/>
        <v>1000000</v>
      </c>
      <c r="M295" s="127" t="str">
        <f t="shared" si="5"/>
        <v/>
      </c>
      <c r="N295" s="113">
        <f t="shared" si="6"/>
        <v>0</v>
      </c>
      <c r="O295" s="113">
        <f t="shared" si="7"/>
        <v>0</v>
      </c>
      <c r="P295" s="114">
        <f t="shared" si="8"/>
        <v>0</v>
      </c>
      <c r="Q295" s="115">
        <f t="shared" si="9"/>
        <v>0</v>
      </c>
      <c r="R295" s="117"/>
      <c r="S295" s="117">
        <f t="shared" si="10"/>
        <v>9354500</v>
      </c>
    </row>
    <row r="296">
      <c r="A296" s="20">
        <f t="shared" si="1"/>
        <v>9</v>
      </c>
      <c r="B296" s="106">
        <v>44081.0</v>
      </c>
      <c r="C296" s="21" t="s">
        <v>107</v>
      </c>
      <c r="D296" s="124" t="str">
        <f t="shared" si="2"/>
        <v>BOSURU  BOSURU9</v>
      </c>
      <c r="E296" s="93"/>
      <c r="F296" s="93"/>
      <c r="G296" s="93"/>
      <c r="H296" s="93"/>
      <c r="I296" s="125"/>
      <c r="J296" s="126" t="str">
        <f t="shared" si="3"/>
        <v/>
      </c>
      <c r="K296" s="119">
        <v>20000.0</v>
      </c>
      <c r="L296" s="111">
        <f t="shared" si="4"/>
        <v>20000</v>
      </c>
      <c r="M296" s="127" t="str">
        <f t="shared" si="5"/>
        <v/>
      </c>
      <c r="N296" s="113">
        <f t="shared" si="6"/>
        <v>0</v>
      </c>
      <c r="O296" s="113">
        <f t="shared" si="7"/>
        <v>0</v>
      </c>
      <c r="P296" s="114">
        <f t="shared" si="8"/>
        <v>0</v>
      </c>
      <c r="Q296" s="115">
        <f t="shared" si="9"/>
        <v>0</v>
      </c>
      <c r="R296" s="117"/>
      <c r="S296" s="117">
        <f t="shared" si="10"/>
        <v>1872380</v>
      </c>
    </row>
    <row r="297">
      <c r="A297" s="20">
        <f t="shared" si="1"/>
        <v>2</v>
      </c>
      <c r="B297" s="106">
        <v>44081.0</v>
      </c>
      <c r="C297" s="21" t="s">
        <v>144</v>
      </c>
      <c r="D297" s="124" t="str">
        <f t="shared" si="2"/>
        <v>FRANCIS KEIBO2</v>
      </c>
      <c r="E297" s="93"/>
      <c r="F297" s="93"/>
      <c r="G297" s="93"/>
      <c r="H297" s="93"/>
      <c r="I297" s="125"/>
      <c r="J297" s="126" t="str">
        <f t="shared" si="3"/>
        <v/>
      </c>
      <c r="K297" s="119">
        <v>250000.0</v>
      </c>
      <c r="L297" s="111">
        <f t="shared" si="4"/>
        <v>250000</v>
      </c>
      <c r="M297" s="127" t="str">
        <f t="shared" si="5"/>
        <v/>
      </c>
      <c r="N297" s="113">
        <f t="shared" si="6"/>
        <v>0</v>
      </c>
      <c r="O297" s="113">
        <f t="shared" si="7"/>
        <v>0</v>
      </c>
      <c r="P297" s="114">
        <f t="shared" si="8"/>
        <v>0</v>
      </c>
      <c r="Q297" s="115">
        <f t="shared" si="9"/>
        <v>0</v>
      </c>
      <c r="R297" s="117"/>
      <c r="S297" s="117">
        <f t="shared" si="10"/>
        <v>487000</v>
      </c>
    </row>
    <row r="298">
      <c r="A298" s="20">
        <f t="shared" si="1"/>
        <v>10</v>
      </c>
      <c r="B298" s="106">
        <v>44021.0</v>
      </c>
      <c r="C298" s="21" t="s">
        <v>107</v>
      </c>
      <c r="D298" s="124" t="str">
        <f t="shared" si="2"/>
        <v>BOSURU  BOSURU10</v>
      </c>
      <c r="E298" s="93">
        <v>96.0</v>
      </c>
      <c r="F298" s="93">
        <v>16.0</v>
      </c>
      <c r="G298" s="93"/>
      <c r="H298" s="93">
        <v>2.0</v>
      </c>
      <c r="I298" s="125"/>
      <c r="J298" s="126">
        <f t="shared" si="3"/>
        <v>836.6</v>
      </c>
      <c r="K298" s="119"/>
      <c r="L298" s="111">
        <f t="shared" si="4"/>
        <v>-78640</v>
      </c>
      <c r="M298" s="127">
        <f t="shared" si="5"/>
        <v>8</v>
      </c>
      <c r="N298" s="113">
        <f t="shared" si="6"/>
        <v>0</v>
      </c>
      <c r="O298" s="113">
        <f t="shared" si="7"/>
        <v>1</v>
      </c>
      <c r="P298" s="114">
        <f t="shared" si="8"/>
        <v>31</v>
      </c>
      <c r="Q298" s="115">
        <f t="shared" si="9"/>
        <v>94</v>
      </c>
      <c r="R298" s="117">
        <v>78640.0</v>
      </c>
      <c r="S298" s="117">
        <f t="shared" si="10"/>
        <v>1793740</v>
      </c>
    </row>
    <row r="299">
      <c r="A299" s="20">
        <f t="shared" si="1"/>
        <v>11</v>
      </c>
      <c r="B299" s="106">
        <v>44032.0</v>
      </c>
      <c r="C299" s="21" t="s">
        <v>107</v>
      </c>
      <c r="D299" s="124" t="str">
        <f t="shared" si="2"/>
        <v>BOSURU  BOSURU11</v>
      </c>
      <c r="E299" s="93">
        <v>137.0</v>
      </c>
      <c r="F299" s="93">
        <v>24.0</v>
      </c>
      <c r="G299" s="93"/>
      <c r="H299" s="93">
        <v>3.0</v>
      </c>
      <c r="I299" s="125"/>
      <c r="J299" s="126">
        <f t="shared" si="3"/>
        <v>790</v>
      </c>
      <c r="K299" s="119"/>
      <c r="L299" s="111">
        <f t="shared" si="4"/>
        <v>-105860</v>
      </c>
      <c r="M299" s="127">
        <f t="shared" si="5"/>
        <v>8</v>
      </c>
      <c r="N299" s="113">
        <f t="shared" si="6"/>
        <v>0</v>
      </c>
      <c r="O299" s="113">
        <f t="shared" si="7"/>
        <v>2</v>
      </c>
      <c r="P299" s="114">
        <f t="shared" si="8"/>
        <v>8</v>
      </c>
      <c r="Q299" s="115">
        <f t="shared" si="9"/>
        <v>134</v>
      </c>
      <c r="R299" s="117">
        <v>105860.0</v>
      </c>
      <c r="S299" s="117">
        <f t="shared" si="10"/>
        <v>1687880</v>
      </c>
    </row>
    <row r="300">
      <c r="A300" s="20">
        <f t="shared" si="1"/>
        <v>12</v>
      </c>
      <c r="B300" s="106">
        <v>44060.0</v>
      </c>
      <c r="C300" s="21" t="s">
        <v>107</v>
      </c>
      <c r="D300" s="124" t="str">
        <f t="shared" si="2"/>
        <v>BOSURU  BOSURU12</v>
      </c>
      <c r="E300" s="93">
        <v>420.0</v>
      </c>
      <c r="F300" s="93">
        <v>56.0</v>
      </c>
      <c r="G300" s="93"/>
      <c r="H300" s="93">
        <v>7.0</v>
      </c>
      <c r="I300" s="125"/>
      <c r="J300" s="126">
        <f t="shared" si="3"/>
        <v>820</v>
      </c>
      <c r="K300" s="119"/>
      <c r="L300" s="111">
        <f t="shared" si="4"/>
        <v>-338660</v>
      </c>
      <c r="M300" s="127">
        <f t="shared" si="5"/>
        <v>8</v>
      </c>
      <c r="N300" s="113">
        <f t="shared" si="6"/>
        <v>0</v>
      </c>
      <c r="O300" s="113">
        <f t="shared" si="7"/>
        <v>6</v>
      </c>
      <c r="P300" s="114">
        <f t="shared" si="8"/>
        <v>35</v>
      </c>
      <c r="Q300" s="115">
        <f t="shared" si="9"/>
        <v>413</v>
      </c>
      <c r="R300" s="117">
        <v>338660.0</v>
      </c>
      <c r="S300" s="117">
        <f t="shared" si="10"/>
        <v>1349220</v>
      </c>
    </row>
    <row r="301">
      <c r="A301" s="20">
        <f t="shared" si="1"/>
        <v>13</v>
      </c>
      <c r="B301" s="106">
        <v>44070.0</v>
      </c>
      <c r="C301" s="21" t="s">
        <v>107</v>
      </c>
      <c r="D301" s="124" t="str">
        <f t="shared" si="2"/>
        <v>BOSURU  BOSURU13</v>
      </c>
      <c r="E301" s="93">
        <v>403.0</v>
      </c>
      <c r="F301" s="93">
        <v>56.0</v>
      </c>
      <c r="G301" s="93"/>
      <c r="H301" s="93">
        <v>7.0</v>
      </c>
      <c r="I301" s="125"/>
      <c r="J301" s="126">
        <f t="shared" si="3"/>
        <v>840</v>
      </c>
      <c r="K301" s="119"/>
      <c r="L301" s="111">
        <f t="shared" si="4"/>
        <v>-332640</v>
      </c>
      <c r="M301" s="127">
        <f t="shared" si="5"/>
        <v>8</v>
      </c>
      <c r="N301" s="113">
        <f t="shared" si="6"/>
        <v>0</v>
      </c>
      <c r="O301" s="113">
        <f t="shared" si="7"/>
        <v>6</v>
      </c>
      <c r="P301" s="114">
        <f t="shared" si="8"/>
        <v>18</v>
      </c>
      <c r="Q301" s="115">
        <f t="shared" si="9"/>
        <v>396</v>
      </c>
      <c r="R301" s="117">
        <v>332640.0</v>
      </c>
      <c r="S301" s="117">
        <f t="shared" si="10"/>
        <v>1016580</v>
      </c>
    </row>
    <row r="302">
      <c r="A302" s="20">
        <f t="shared" si="1"/>
        <v>14</v>
      </c>
      <c r="B302" s="106">
        <v>44077.0</v>
      </c>
      <c r="C302" s="21" t="s">
        <v>107</v>
      </c>
      <c r="D302" s="124" t="str">
        <f t="shared" si="2"/>
        <v>BOSURU  BOSURU14</v>
      </c>
      <c r="E302" s="93">
        <v>338.0</v>
      </c>
      <c r="F302" s="93">
        <v>48.0</v>
      </c>
      <c r="G302" s="93"/>
      <c r="H302" s="93">
        <v>6.0</v>
      </c>
      <c r="I302" s="125"/>
      <c r="J302" s="126">
        <f t="shared" si="3"/>
        <v>840</v>
      </c>
      <c r="K302" s="119"/>
      <c r="L302" s="111">
        <f t="shared" si="4"/>
        <v>-278880</v>
      </c>
      <c r="M302" s="127">
        <f t="shared" si="5"/>
        <v>8</v>
      </c>
      <c r="N302" s="113">
        <f t="shared" si="6"/>
        <v>0</v>
      </c>
      <c r="O302" s="113">
        <f t="shared" si="7"/>
        <v>5</v>
      </c>
      <c r="P302" s="114">
        <f t="shared" si="8"/>
        <v>17</v>
      </c>
      <c r="Q302" s="115">
        <f t="shared" si="9"/>
        <v>332</v>
      </c>
      <c r="R302" s="117">
        <v>278880.0</v>
      </c>
      <c r="S302" s="117">
        <f t="shared" si="10"/>
        <v>737700</v>
      </c>
    </row>
    <row r="303">
      <c r="A303" s="20">
        <f t="shared" si="1"/>
        <v>15</v>
      </c>
      <c r="B303" s="106">
        <v>44082.0</v>
      </c>
      <c r="C303" s="21" t="s">
        <v>107</v>
      </c>
      <c r="D303" s="124" t="str">
        <f t="shared" si="2"/>
        <v>BOSURU  BOSURU15</v>
      </c>
      <c r="E303" s="93"/>
      <c r="F303" s="93"/>
      <c r="G303" s="93"/>
      <c r="H303" s="93"/>
      <c r="I303" s="125"/>
      <c r="J303" s="126" t="str">
        <f t="shared" si="3"/>
        <v/>
      </c>
      <c r="K303" s="119">
        <v>262000.0</v>
      </c>
      <c r="L303" s="111">
        <f t="shared" si="4"/>
        <v>262000</v>
      </c>
      <c r="M303" s="127" t="str">
        <f t="shared" si="5"/>
        <v/>
      </c>
      <c r="N303" s="113">
        <f t="shared" si="6"/>
        <v>0</v>
      </c>
      <c r="O303" s="113">
        <f t="shared" si="7"/>
        <v>0</v>
      </c>
      <c r="P303" s="114">
        <f t="shared" si="8"/>
        <v>0</v>
      </c>
      <c r="Q303" s="115">
        <f t="shared" si="9"/>
        <v>0</v>
      </c>
      <c r="R303" s="117"/>
      <c r="S303" s="117">
        <f t="shared" si="10"/>
        <v>999700</v>
      </c>
    </row>
    <row r="304">
      <c r="A304" s="20">
        <f t="shared" si="1"/>
        <v>2</v>
      </c>
      <c r="B304" s="106">
        <v>44082.0</v>
      </c>
      <c r="C304" s="21" t="s">
        <v>143</v>
      </c>
      <c r="D304" s="124" t="str">
        <f t="shared" si="2"/>
        <v>MAXWELL AGRO PRIN2</v>
      </c>
      <c r="E304" s="93"/>
      <c r="F304" s="93"/>
      <c r="G304" s="93"/>
      <c r="H304" s="93"/>
      <c r="I304" s="125"/>
      <c r="J304" s="126" t="str">
        <f t="shared" si="3"/>
        <v/>
      </c>
      <c r="K304" s="119">
        <v>50000.0</v>
      </c>
      <c r="L304" s="111">
        <f t="shared" si="4"/>
        <v>50000</v>
      </c>
      <c r="M304" s="127" t="str">
        <f t="shared" si="5"/>
        <v/>
      </c>
      <c r="N304" s="113">
        <f t="shared" si="6"/>
        <v>0</v>
      </c>
      <c r="O304" s="113">
        <f t="shared" si="7"/>
        <v>0</v>
      </c>
      <c r="P304" s="114">
        <f t="shared" si="8"/>
        <v>0</v>
      </c>
      <c r="Q304" s="115">
        <f t="shared" si="9"/>
        <v>0</v>
      </c>
      <c r="R304" s="117"/>
      <c r="S304" s="117">
        <f t="shared" si="10"/>
        <v>330000</v>
      </c>
    </row>
    <row r="305">
      <c r="A305" s="20">
        <f t="shared" si="1"/>
        <v>2</v>
      </c>
      <c r="B305" s="106">
        <v>44082.0</v>
      </c>
      <c r="C305" s="21" t="s">
        <v>36</v>
      </c>
      <c r="D305" s="124" t="str">
        <f t="shared" si="2"/>
        <v>NDOMA NDOMA2</v>
      </c>
      <c r="E305" s="93"/>
      <c r="F305" s="93"/>
      <c r="G305" s="93"/>
      <c r="H305" s="93"/>
      <c r="I305" s="125"/>
      <c r="J305" s="126" t="str">
        <f t="shared" si="3"/>
        <v/>
      </c>
      <c r="K305" s="119">
        <v>10000.0</v>
      </c>
      <c r="L305" s="111">
        <f t="shared" si="4"/>
        <v>10000</v>
      </c>
      <c r="M305" s="127" t="str">
        <f t="shared" si="5"/>
        <v/>
      </c>
      <c r="N305" s="113">
        <f t="shared" si="6"/>
        <v>0</v>
      </c>
      <c r="O305" s="113">
        <f t="shared" si="7"/>
        <v>0</v>
      </c>
      <c r="P305" s="114">
        <f t="shared" si="8"/>
        <v>0</v>
      </c>
      <c r="Q305" s="115">
        <f t="shared" si="9"/>
        <v>0</v>
      </c>
      <c r="R305" s="117"/>
      <c r="S305" s="117">
        <f t="shared" si="10"/>
        <v>210000</v>
      </c>
    </row>
    <row r="306">
      <c r="A306" s="20">
        <f t="shared" si="1"/>
        <v>1</v>
      </c>
      <c r="B306" s="106">
        <v>44082.0</v>
      </c>
      <c r="C306" s="21" t="s">
        <v>174</v>
      </c>
      <c r="D306" s="124" t="str">
        <f t="shared" si="2"/>
        <v>ZULU 1</v>
      </c>
      <c r="E306" s="93"/>
      <c r="F306" s="93"/>
      <c r="G306" s="93"/>
      <c r="H306" s="93"/>
      <c r="I306" s="125"/>
      <c r="J306" s="126" t="str">
        <f t="shared" si="3"/>
        <v/>
      </c>
      <c r="K306" s="119">
        <v>4000.0</v>
      </c>
      <c r="L306" s="111">
        <f t="shared" si="4"/>
        <v>4000</v>
      </c>
      <c r="M306" s="127" t="str">
        <f t="shared" si="5"/>
        <v/>
      </c>
      <c r="N306" s="113">
        <f t="shared" si="6"/>
        <v>0</v>
      </c>
      <c r="O306" s="113">
        <f t="shared" si="7"/>
        <v>0</v>
      </c>
      <c r="P306" s="114">
        <f t="shared" si="8"/>
        <v>0</v>
      </c>
      <c r="Q306" s="115">
        <f t="shared" si="9"/>
        <v>0</v>
      </c>
      <c r="R306" s="117"/>
      <c r="S306" s="117">
        <f t="shared" si="10"/>
        <v>4000</v>
      </c>
    </row>
    <row r="307">
      <c r="A307" s="20">
        <f t="shared" si="1"/>
        <v>8</v>
      </c>
      <c r="B307" s="106">
        <v>44055.0</v>
      </c>
      <c r="C307" s="21" t="s">
        <v>147</v>
      </c>
      <c r="D307" s="124" t="str">
        <f t="shared" si="2"/>
        <v>ZULU &amp; NDOMA8</v>
      </c>
      <c r="E307" s="93"/>
      <c r="F307" s="93"/>
      <c r="G307" s="93"/>
      <c r="H307" s="93"/>
      <c r="I307" s="125"/>
      <c r="J307" s="126" t="str">
        <f t="shared" si="3"/>
        <v/>
      </c>
      <c r="K307" s="119">
        <v>-100000.0</v>
      </c>
      <c r="L307" s="111">
        <f t="shared" si="4"/>
        <v>-100000</v>
      </c>
      <c r="M307" s="127" t="str">
        <f t="shared" si="5"/>
        <v/>
      </c>
      <c r="N307" s="113">
        <f t="shared" si="6"/>
        <v>0</v>
      </c>
      <c r="O307" s="113">
        <f t="shared" si="7"/>
        <v>0</v>
      </c>
      <c r="P307" s="114">
        <f t="shared" si="8"/>
        <v>0</v>
      </c>
      <c r="Q307" s="115">
        <f t="shared" si="9"/>
        <v>0</v>
      </c>
      <c r="R307" s="117"/>
      <c r="S307" s="117">
        <f t="shared" si="10"/>
        <v>306800</v>
      </c>
    </row>
    <row r="308">
      <c r="A308" s="20">
        <f t="shared" si="1"/>
        <v>3</v>
      </c>
      <c r="B308" s="106">
        <v>44055.0</v>
      </c>
      <c r="C308" s="21" t="s">
        <v>172</v>
      </c>
      <c r="D308" s="124" t="str">
        <f t="shared" si="2"/>
        <v>NDOMA PRIN3</v>
      </c>
      <c r="E308" s="93"/>
      <c r="F308" s="93"/>
      <c r="G308" s="93"/>
      <c r="H308" s="93"/>
      <c r="I308" s="125"/>
      <c r="J308" s="126" t="str">
        <f t="shared" si="3"/>
        <v/>
      </c>
      <c r="K308" s="119">
        <v>100000.0</v>
      </c>
      <c r="L308" s="111">
        <f t="shared" si="4"/>
        <v>100000</v>
      </c>
      <c r="M308" s="127" t="str">
        <f t="shared" si="5"/>
        <v/>
      </c>
      <c r="N308" s="113">
        <f t="shared" si="6"/>
        <v>0</v>
      </c>
      <c r="O308" s="113">
        <f t="shared" si="7"/>
        <v>0</v>
      </c>
      <c r="P308" s="114">
        <f t="shared" si="8"/>
        <v>0</v>
      </c>
      <c r="Q308" s="115">
        <f t="shared" si="9"/>
        <v>0</v>
      </c>
      <c r="R308" s="117"/>
      <c r="S308" s="117">
        <f t="shared" si="10"/>
        <v>158200</v>
      </c>
    </row>
    <row r="309">
      <c r="A309" s="20">
        <f t="shared" si="1"/>
        <v>9</v>
      </c>
      <c r="B309" s="106">
        <v>44058.0</v>
      </c>
      <c r="C309" s="21" t="s">
        <v>147</v>
      </c>
      <c r="D309" s="124" t="str">
        <f t="shared" si="2"/>
        <v>ZULU &amp; NDOMA9</v>
      </c>
      <c r="E309" s="93"/>
      <c r="F309" s="93"/>
      <c r="G309" s="93"/>
      <c r="H309" s="93"/>
      <c r="I309" s="125"/>
      <c r="J309" s="126" t="str">
        <f t="shared" si="3"/>
        <v/>
      </c>
      <c r="K309" s="119">
        <v>-200000.0</v>
      </c>
      <c r="L309" s="111">
        <f t="shared" si="4"/>
        <v>-200000</v>
      </c>
      <c r="M309" s="127" t="str">
        <f t="shared" si="5"/>
        <v/>
      </c>
      <c r="N309" s="113">
        <f t="shared" si="6"/>
        <v>0</v>
      </c>
      <c r="O309" s="113">
        <f t="shared" si="7"/>
        <v>0</v>
      </c>
      <c r="P309" s="114">
        <f t="shared" si="8"/>
        <v>0</v>
      </c>
      <c r="Q309" s="115">
        <f t="shared" si="9"/>
        <v>0</v>
      </c>
      <c r="R309" s="117"/>
      <c r="S309" s="117">
        <f t="shared" si="10"/>
        <v>106800</v>
      </c>
    </row>
    <row r="310">
      <c r="A310" s="20">
        <f t="shared" si="1"/>
        <v>2</v>
      </c>
      <c r="B310" s="106">
        <v>44058.0</v>
      </c>
      <c r="C310" s="21" t="s">
        <v>174</v>
      </c>
      <c r="D310" s="124" t="str">
        <f t="shared" si="2"/>
        <v>ZULU 2</v>
      </c>
      <c r="E310" s="93"/>
      <c r="F310" s="93"/>
      <c r="G310" s="93"/>
      <c r="H310" s="93"/>
      <c r="I310" s="125"/>
      <c r="J310" s="126" t="str">
        <f t="shared" si="3"/>
        <v/>
      </c>
      <c r="K310" s="119">
        <v>200000.0</v>
      </c>
      <c r="L310" s="111">
        <f t="shared" si="4"/>
        <v>200000</v>
      </c>
      <c r="M310" s="127" t="str">
        <f t="shared" si="5"/>
        <v/>
      </c>
      <c r="N310" s="113">
        <f t="shared" si="6"/>
        <v>0</v>
      </c>
      <c r="O310" s="113">
        <f t="shared" si="7"/>
        <v>0</v>
      </c>
      <c r="P310" s="114">
        <f t="shared" si="8"/>
        <v>0</v>
      </c>
      <c r="Q310" s="115">
        <f t="shared" si="9"/>
        <v>0</v>
      </c>
      <c r="R310" s="117"/>
      <c r="S310" s="117">
        <f t="shared" si="10"/>
        <v>204000</v>
      </c>
    </row>
    <row r="311">
      <c r="A311" s="20">
        <f t="shared" si="1"/>
        <v>3</v>
      </c>
      <c r="B311" s="106">
        <v>44081.0</v>
      </c>
      <c r="C311" s="21" t="s">
        <v>36</v>
      </c>
      <c r="D311" s="124" t="str">
        <f t="shared" si="2"/>
        <v>NDOMA NDOMA3</v>
      </c>
      <c r="E311" s="93">
        <v>1250.0</v>
      </c>
      <c r="F311" s="93">
        <v>160.0</v>
      </c>
      <c r="G311" s="93"/>
      <c r="H311" s="93">
        <v>20.0</v>
      </c>
      <c r="I311" s="125">
        <v>20.0</v>
      </c>
      <c r="J311" s="126">
        <f t="shared" si="3"/>
        <v>920</v>
      </c>
      <c r="K311" s="119"/>
      <c r="L311" s="111">
        <f t="shared" si="4"/>
        <v>-1150000</v>
      </c>
      <c r="M311" s="127">
        <f t="shared" si="5"/>
        <v>8</v>
      </c>
      <c r="N311" s="113">
        <f t="shared" si="6"/>
        <v>0</v>
      </c>
      <c r="O311" s="113">
        <f t="shared" si="7"/>
        <v>19</v>
      </c>
      <c r="P311" s="114">
        <f t="shared" si="8"/>
        <v>53</v>
      </c>
      <c r="Q311" s="115">
        <f t="shared" si="9"/>
        <v>1250</v>
      </c>
      <c r="R311" s="117">
        <v>1150000.0</v>
      </c>
      <c r="S311" s="117">
        <f t="shared" si="10"/>
        <v>-940000</v>
      </c>
    </row>
    <row r="312">
      <c r="A312" s="20">
        <f t="shared" si="1"/>
        <v>20</v>
      </c>
      <c r="B312" s="106">
        <v>44072.0</v>
      </c>
      <c r="C312" s="21" t="s">
        <v>152</v>
      </c>
      <c r="D312" s="124" t="str">
        <f t="shared" si="2"/>
        <v>RECTOR W.20</v>
      </c>
      <c r="E312" s="93">
        <v>3885.0</v>
      </c>
      <c r="F312" s="93">
        <v>749.5</v>
      </c>
      <c r="G312" s="93"/>
      <c r="H312" s="93">
        <v>60.0</v>
      </c>
      <c r="I312" s="125"/>
      <c r="J312" s="126">
        <f t="shared" si="3"/>
        <v>840</v>
      </c>
      <c r="K312" s="119"/>
      <c r="L312" s="111">
        <f t="shared" si="4"/>
        <v>-3068520</v>
      </c>
      <c r="M312" s="127">
        <f t="shared" si="5"/>
        <v>12.49</v>
      </c>
      <c r="N312" s="113">
        <f t="shared" si="6"/>
        <v>172</v>
      </c>
      <c r="O312" s="113">
        <f t="shared" si="7"/>
        <v>57</v>
      </c>
      <c r="P312" s="114">
        <f t="shared" si="8"/>
        <v>61</v>
      </c>
      <c r="Q312" s="115">
        <f t="shared" si="9"/>
        <v>3653</v>
      </c>
      <c r="R312" s="117">
        <v>3068520.0</v>
      </c>
      <c r="S312" s="117">
        <f t="shared" si="10"/>
        <v>1698820</v>
      </c>
    </row>
    <row r="313">
      <c r="A313" s="20">
        <f t="shared" si="1"/>
        <v>17</v>
      </c>
      <c r="B313" s="106">
        <v>44074.0</v>
      </c>
      <c r="C313" s="21" t="s">
        <v>146</v>
      </c>
      <c r="D313" s="124" t="str">
        <f t="shared" si="2"/>
        <v>CONNECT17</v>
      </c>
      <c r="E313" s="93">
        <v>2526.0</v>
      </c>
      <c r="F313" s="93">
        <v>296.0</v>
      </c>
      <c r="G313" s="93"/>
      <c r="H313" s="93">
        <v>37.0</v>
      </c>
      <c r="I313" s="125"/>
      <c r="J313" s="126">
        <f t="shared" si="3"/>
        <v>850</v>
      </c>
      <c r="K313" s="119"/>
      <c r="L313" s="111">
        <f t="shared" si="4"/>
        <v>-2115650</v>
      </c>
      <c r="M313" s="127">
        <f t="shared" si="5"/>
        <v>8</v>
      </c>
      <c r="N313" s="113">
        <f t="shared" si="6"/>
        <v>0</v>
      </c>
      <c r="O313" s="113">
        <f t="shared" si="7"/>
        <v>39</v>
      </c>
      <c r="P313" s="114">
        <f t="shared" si="8"/>
        <v>31</v>
      </c>
      <c r="Q313" s="115">
        <f t="shared" si="9"/>
        <v>2489</v>
      </c>
      <c r="R313" s="117">
        <v>2115650.0</v>
      </c>
      <c r="S313" s="117">
        <f t="shared" si="10"/>
        <v>3007450</v>
      </c>
    </row>
    <row r="314">
      <c r="A314" s="20">
        <f t="shared" si="1"/>
        <v>20</v>
      </c>
      <c r="B314" s="106">
        <v>44071.0</v>
      </c>
      <c r="C314" s="21" t="s">
        <v>117</v>
      </c>
      <c r="D314" s="124" t="str">
        <f t="shared" si="2"/>
        <v>LYDIA HNSON 20</v>
      </c>
      <c r="E314" s="93">
        <v>312.0</v>
      </c>
      <c r="F314" s="93">
        <v>32.0</v>
      </c>
      <c r="G314" s="93"/>
      <c r="H314" s="93">
        <v>4.0</v>
      </c>
      <c r="I314" s="125">
        <v>4.0</v>
      </c>
      <c r="J314" s="126">
        <f t="shared" si="3"/>
        <v>870</v>
      </c>
      <c r="K314" s="119"/>
      <c r="L314" s="111">
        <f t="shared" si="4"/>
        <v>-271440</v>
      </c>
      <c r="M314" s="127">
        <f t="shared" si="5"/>
        <v>8</v>
      </c>
      <c r="N314" s="113">
        <f t="shared" si="6"/>
        <v>0</v>
      </c>
      <c r="O314" s="113">
        <f t="shared" si="7"/>
        <v>4</v>
      </c>
      <c r="P314" s="114">
        <f t="shared" si="8"/>
        <v>60</v>
      </c>
      <c r="Q314" s="115">
        <f t="shared" si="9"/>
        <v>312</v>
      </c>
      <c r="R314" s="117">
        <v>271440.0</v>
      </c>
      <c r="S314" s="117">
        <f t="shared" si="10"/>
        <v>3253640</v>
      </c>
    </row>
    <row r="315">
      <c r="A315" s="20">
        <f t="shared" si="1"/>
        <v>11</v>
      </c>
      <c r="B315" s="106">
        <v>44082.0</v>
      </c>
      <c r="C315" s="21" t="s">
        <v>98</v>
      </c>
      <c r="D315" s="124" t="str">
        <f t="shared" si="2"/>
        <v>EDWARD OKO11</v>
      </c>
      <c r="E315" s="93">
        <v>5590.0</v>
      </c>
      <c r="F315" s="93">
        <v>742.0</v>
      </c>
      <c r="G315" s="93"/>
      <c r="H315" s="93">
        <v>85.0</v>
      </c>
      <c r="I315" s="125"/>
      <c r="J315" s="126">
        <f t="shared" si="3"/>
        <v>880</v>
      </c>
      <c r="K315" s="119"/>
      <c r="L315" s="111">
        <f t="shared" si="4"/>
        <v>-4809200</v>
      </c>
      <c r="M315" s="127">
        <f t="shared" si="5"/>
        <v>8.73</v>
      </c>
      <c r="N315" s="113">
        <f t="shared" si="6"/>
        <v>40</v>
      </c>
      <c r="O315" s="113">
        <f t="shared" si="7"/>
        <v>86</v>
      </c>
      <c r="P315" s="114">
        <f t="shared" si="8"/>
        <v>47</v>
      </c>
      <c r="Q315" s="115">
        <f t="shared" si="9"/>
        <v>5465</v>
      </c>
      <c r="R315" s="117">
        <v>4809200.0</v>
      </c>
      <c r="S315" s="117">
        <f t="shared" si="10"/>
        <v>-4616510</v>
      </c>
    </row>
    <row r="316">
      <c r="A316" s="20">
        <f t="shared" si="1"/>
        <v>9</v>
      </c>
      <c r="B316" s="106">
        <v>44083.0</v>
      </c>
      <c r="C316" s="21" t="s">
        <v>125</v>
      </c>
      <c r="D316" s="124" t="str">
        <f t="shared" si="2"/>
        <v>ANDRDEW GREAT9</v>
      </c>
      <c r="E316" s="93"/>
      <c r="F316" s="93"/>
      <c r="G316" s="93"/>
      <c r="H316" s="93"/>
      <c r="I316" s="125"/>
      <c r="J316" s="126" t="str">
        <f t="shared" si="3"/>
        <v/>
      </c>
      <c r="K316" s="119">
        <v>700000.0</v>
      </c>
      <c r="L316" s="111">
        <f t="shared" si="4"/>
        <v>700000</v>
      </c>
      <c r="M316" s="127" t="str">
        <f t="shared" si="5"/>
        <v/>
      </c>
      <c r="N316" s="113">
        <f t="shared" si="6"/>
        <v>0</v>
      </c>
      <c r="O316" s="113">
        <f t="shared" si="7"/>
        <v>0</v>
      </c>
      <c r="P316" s="114">
        <f t="shared" si="8"/>
        <v>0</v>
      </c>
      <c r="Q316" s="115">
        <f t="shared" si="9"/>
        <v>0</v>
      </c>
      <c r="R316" s="117"/>
      <c r="S316" s="117">
        <f t="shared" si="10"/>
        <v>2456950</v>
      </c>
    </row>
    <row r="317">
      <c r="A317" s="20">
        <f t="shared" si="1"/>
        <v>3</v>
      </c>
      <c r="B317" s="106">
        <v>44083.0</v>
      </c>
      <c r="C317" s="21" t="s">
        <v>160</v>
      </c>
      <c r="D317" s="124" t="str">
        <f t="shared" si="2"/>
        <v>REIMON ALABA3</v>
      </c>
      <c r="E317" s="93"/>
      <c r="F317" s="93"/>
      <c r="G317" s="93"/>
      <c r="H317" s="93"/>
      <c r="I317" s="125"/>
      <c r="J317" s="126" t="str">
        <f t="shared" si="3"/>
        <v/>
      </c>
      <c r="K317" s="119">
        <v>20000.0</v>
      </c>
      <c r="L317" s="111">
        <f t="shared" si="4"/>
        <v>20000</v>
      </c>
      <c r="M317" s="127" t="str">
        <f t="shared" si="5"/>
        <v/>
      </c>
      <c r="N317" s="113">
        <f t="shared" si="6"/>
        <v>0</v>
      </c>
      <c r="O317" s="113">
        <f t="shared" si="7"/>
        <v>0</v>
      </c>
      <c r="P317" s="114">
        <f t="shared" si="8"/>
        <v>0</v>
      </c>
      <c r="Q317" s="115">
        <f t="shared" si="9"/>
        <v>0</v>
      </c>
      <c r="R317" s="117"/>
      <c r="S317" s="117">
        <f t="shared" si="10"/>
        <v>370000</v>
      </c>
    </row>
    <row r="318">
      <c r="A318" s="20">
        <f t="shared" si="1"/>
        <v>4</v>
      </c>
      <c r="B318" s="106">
        <v>44083.0</v>
      </c>
      <c r="C318" s="21" t="s">
        <v>36</v>
      </c>
      <c r="D318" s="124" t="str">
        <f t="shared" si="2"/>
        <v>NDOMA NDOMA4</v>
      </c>
      <c r="E318" s="93"/>
      <c r="F318" s="93"/>
      <c r="G318" s="93"/>
      <c r="H318" s="93"/>
      <c r="I318" s="125"/>
      <c r="J318" s="126" t="str">
        <f t="shared" si="3"/>
        <v/>
      </c>
      <c r="K318" s="119">
        <v>1140000.0</v>
      </c>
      <c r="L318" s="111">
        <f t="shared" si="4"/>
        <v>1140000</v>
      </c>
      <c r="M318" s="127" t="str">
        <f t="shared" si="5"/>
        <v/>
      </c>
      <c r="N318" s="113">
        <f t="shared" si="6"/>
        <v>0</v>
      </c>
      <c r="O318" s="113">
        <f t="shared" si="7"/>
        <v>0</v>
      </c>
      <c r="P318" s="114">
        <f t="shared" si="8"/>
        <v>0</v>
      </c>
      <c r="Q318" s="115">
        <f t="shared" si="9"/>
        <v>0</v>
      </c>
      <c r="R318" s="117"/>
      <c r="S318" s="117">
        <f t="shared" si="10"/>
        <v>200000</v>
      </c>
    </row>
    <row r="319">
      <c r="A319" s="20">
        <f t="shared" si="1"/>
        <v>3</v>
      </c>
      <c r="B319" s="106">
        <v>44083.0</v>
      </c>
      <c r="C319" s="21" t="s">
        <v>132</v>
      </c>
      <c r="D319" s="124" t="str">
        <f t="shared" si="2"/>
        <v>CONFIDENCE3</v>
      </c>
      <c r="E319" s="93"/>
      <c r="F319" s="93"/>
      <c r="G319" s="93"/>
      <c r="H319" s="93"/>
      <c r="I319" s="125"/>
      <c r="J319" s="126" t="str">
        <f t="shared" si="3"/>
        <v/>
      </c>
      <c r="K319" s="119">
        <v>500.0</v>
      </c>
      <c r="L319" s="111">
        <f t="shared" si="4"/>
        <v>500</v>
      </c>
      <c r="M319" s="127" t="str">
        <f t="shared" si="5"/>
        <v/>
      </c>
      <c r="N319" s="113">
        <f t="shared" si="6"/>
        <v>0</v>
      </c>
      <c r="O319" s="113">
        <f t="shared" si="7"/>
        <v>0</v>
      </c>
      <c r="P319" s="114">
        <f t="shared" si="8"/>
        <v>0</v>
      </c>
      <c r="Q319" s="115">
        <f t="shared" si="9"/>
        <v>0</v>
      </c>
      <c r="R319" s="117"/>
      <c r="S319" s="117">
        <f t="shared" si="10"/>
        <v>320500</v>
      </c>
    </row>
    <row r="320">
      <c r="A320" s="20">
        <f t="shared" si="1"/>
        <v>8</v>
      </c>
      <c r="B320" s="106">
        <v>44084.0</v>
      </c>
      <c r="C320" s="21" t="s">
        <v>156</v>
      </c>
      <c r="D320" s="124" t="str">
        <f t="shared" si="2"/>
        <v>NDOMA PETER8</v>
      </c>
      <c r="E320" s="93"/>
      <c r="F320" s="93"/>
      <c r="G320" s="93"/>
      <c r="H320" s="93"/>
      <c r="I320" s="125"/>
      <c r="J320" s="126" t="str">
        <f t="shared" si="3"/>
        <v/>
      </c>
      <c r="K320" s="119">
        <v>200000.0</v>
      </c>
      <c r="L320" s="111">
        <f t="shared" si="4"/>
        <v>200000</v>
      </c>
      <c r="M320" s="127" t="str">
        <f t="shared" si="5"/>
        <v/>
      </c>
      <c r="N320" s="113">
        <f t="shared" si="6"/>
        <v>0</v>
      </c>
      <c r="O320" s="113">
        <f t="shared" si="7"/>
        <v>0</v>
      </c>
      <c r="P320" s="114">
        <f t="shared" si="8"/>
        <v>0</v>
      </c>
      <c r="Q320" s="115">
        <f t="shared" si="9"/>
        <v>0</v>
      </c>
      <c r="R320" s="117"/>
      <c r="S320" s="117">
        <f t="shared" si="10"/>
        <v>800000</v>
      </c>
    </row>
    <row r="321">
      <c r="A321" s="20">
        <f t="shared" si="1"/>
        <v>4</v>
      </c>
      <c r="B321" s="106">
        <v>44084.0</v>
      </c>
      <c r="C321" s="21" t="s">
        <v>132</v>
      </c>
      <c r="D321" s="124" t="str">
        <f t="shared" si="2"/>
        <v>CONFIDENCE4</v>
      </c>
      <c r="E321" s="93"/>
      <c r="F321" s="93"/>
      <c r="G321" s="93"/>
      <c r="H321" s="93"/>
      <c r="I321" s="125"/>
      <c r="J321" s="126" t="str">
        <f t="shared" si="3"/>
        <v/>
      </c>
      <c r="K321" s="119">
        <v>49500.0</v>
      </c>
      <c r="L321" s="111">
        <f t="shared" si="4"/>
        <v>49500</v>
      </c>
      <c r="M321" s="127" t="str">
        <f t="shared" si="5"/>
        <v/>
      </c>
      <c r="N321" s="113">
        <f t="shared" si="6"/>
        <v>0</v>
      </c>
      <c r="O321" s="113">
        <f t="shared" si="7"/>
        <v>0</v>
      </c>
      <c r="P321" s="114">
        <f t="shared" si="8"/>
        <v>0</v>
      </c>
      <c r="Q321" s="115">
        <f t="shared" si="9"/>
        <v>0</v>
      </c>
      <c r="R321" s="117"/>
      <c r="S321" s="117">
        <f t="shared" si="10"/>
        <v>370000</v>
      </c>
    </row>
    <row r="322">
      <c r="A322" s="20">
        <f t="shared" si="1"/>
        <v>1</v>
      </c>
      <c r="B322" s="106">
        <v>44084.0</v>
      </c>
      <c r="C322" s="21" t="s">
        <v>43</v>
      </c>
      <c r="D322" s="124" t="str">
        <f t="shared" si="2"/>
        <v>ABANGS. HNSON1</v>
      </c>
      <c r="E322" s="93"/>
      <c r="F322" s="93"/>
      <c r="G322" s="93"/>
      <c r="H322" s="93"/>
      <c r="I322" s="125"/>
      <c r="J322" s="126" t="str">
        <f t="shared" si="3"/>
        <v/>
      </c>
      <c r="K322" s="119">
        <v>74000.0</v>
      </c>
      <c r="L322" s="111">
        <f t="shared" si="4"/>
        <v>74000</v>
      </c>
      <c r="M322" s="127" t="str">
        <f t="shared" si="5"/>
        <v/>
      </c>
      <c r="N322" s="113">
        <f t="shared" si="6"/>
        <v>0</v>
      </c>
      <c r="O322" s="113">
        <f t="shared" si="7"/>
        <v>0</v>
      </c>
      <c r="P322" s="114">
        <f t="shared" si="8"/>
        <v>0</v>
      </c>
      <c r="Q322" s="115">
        <f t="shared" si="9"/>
        <v>0</v>
      </c>
      <c r="R322" s="117"/>
      <c r="S322" s="117">
        <f t="shared" si="10"/>
        <v>74000</v>
      </c>
    </row>
    <row r="323">
      <c r="A323" s="20">
        <f t="shared" si="1"/>
        <v>2</v>
      </c>
      <c r="B323" s="106">
        <v>44085.0</v>
      </c>
      <c r="C323" s="21" t="s">
        <v>121</v>
      </c>
      <c r="D323" s="124" t="str">
        <f t="shared" si="2"/>
        <v>ABANG. BEN OLUM2</v>
      </c>
      <c r="E323" s="93"/>
      <c r="F323" s="93"/>
      <c r="G323" s="93"/>
      <c r="H323" s="93"/>
      <c r="I323" s="125"/>
      <c r="J323" s="126" t="str">
        <f t="shared" si="3"/>
        <v/>
      </c>
      <c r="K323" s="119"/>
      <c r="L323" s="111">
        <f t="shared" si="4"/>
        <v>-920000</v>
      </c>
      <c r="M323" s="127" t="str">
        <f t="shared" si="5"/>
        <v/>
      </c>
      <c r="N323" s="113">
        <f t="shared" si="6"/>
        <v>0</v>
      </c>
      <c r="O323" s="113">
        <f t="shared" si="7"/>
        <v>0</v>
      </c>
      <c r="P323" s="114">
        <f t="shared" si="8"/>
        <v>0</v>
      </c>
      <c r="Q323" s="115">
        <f t="shared" si="9"/>
        <v>0</v>
      </c>
      <c r="R323" s="117">
        <v>920000.0</v>
      </c>
      <c r="S323" s="117">
        <f t="shared" si="10"/>
        <v>0</v>
      </c>
    </row>
    <row r="324">
      <c r="A324" s="20">
        <f t="shared" si="1"/>
        <v>2</v>
      </c>
      <c r="B324" s="106">
        <v>44085.0</v>
      </c>
      <c r="C324" s="21" t="s">
        <v>162</v>
      </c>
      <c r="D324" s="124" t="str">
        <f t="shared" si="2"/>
        <v>ABANG. EDET2</v>
      </c>
      <c r="E324" s="93"/>
      <c r="F324" s="93"/>
      <c r="G324" s="93"/>
      <c r="H324" s="93"/>
      <c r="I324" s="125"/>
      <c r="J324" s="126" t="str">
        <f t="shared" si="3"/>
        <v/>
      </c>
      <c r="K324" s="119"/>
      <c r="L324" s="111">
        <f t="shared" si="4"/>
        <v>-1000</v>
      </c>
      <c r="M324" s="127" t="str">
        <f t="shared" si="5"/>
        <v/>
      </c>
      <c r="N324" s="113">
        <f t="shared" si="6"/>
        <v>0</v>
      </c>
      <c r="O324" s="113">
        <f t="shared" si="7"/>
        <v>0</v>
      </c>
      <c r="P324" s="114">
        <f t="shared" si="8"/>
        <v>0</v>
      </c>
      <c r="Q324" s="115">
        <f t="shared" si="9"/>
        <v>0</v>
      </c>
      <c r="R324" s="117">
        <v>1000.0</v>
      </c>
      <c r="S324" s="117">
        <f t="shared" si="10"/>
        <v>0</v>
      </c>
    </row>
    <row r="325">
      <c r="A325" s="20">
        <f t="shared" si="1"/>
        <v>2</v>
      </c>
      <c r="B325" s="106">
        <v>44085.0</v>
      </c>
      <c r="C325" s="21" t="s">
        <v>166</v>
      </c>
      <c r="D325" s="124" t="str">
        <f t="shared" si="2"/>
        <v>ABANG. DUNLOP2</v>
      </c>
      <c r="E325" s="93"/>
      <c r="F325" s="93"/>
      <c r="G325" s="93"/>
      <c r="H325" s="93"/>
      <c r="I325" s="125"/>
      <c r="J325" s="126" t="str">
        <f t="shared" si="3"/>
        <v/>
      </c>
      <c r="K325" s="119"/>
      <c r="L325" s="111">
        <f t="shared" si="4"/>
        <v>-800000</v>
      </c>
      <c r="M325" s="127" t="str">
        <f t="shared" si="5"/>
        <v/>
      </c>
      <c r="N325" s="113">
        <f t="shared" si="6"/>
        <v>0</v>
      </c>
      <c r="O325" s="113">
        <f t="shared" si="7"/>
        <v>0</v>
      </c>
      <c r="P325" s="114">
        <f t="shared" si="8"/>
        <v>0</v>
      </c>
      <c r="Q325" s="115">
        <f t="shared" si="9"/>
        <v>0</v>
      </c>
      <c r="R325" s="117">
        <v>800000.0</v>
      </c>
      <c r="S325" s="117">
        <f t="shared" si="10"/>
        <v>0</v>
      </c>
    </row>
    <row r="326">
      <c r="A326" s="20">
        <f t="shared" si="1"/>
        <v>4</v>
      </c>
      <c r="B326" s="106">
        <v>44085.0</v>
      </c>
      <c r="C326" s="21" t="s">
        <v>167</v>
      </c>
      <c r="D326" s="124" t="str">
        <f t="shared" si="2"/>
        <v>OBIM TIWA HNSON4</v>
      </c>
      <c r="E326" s="93"/>
      <c r="F326" s="93"/>
      <c r="G326" s="93"/>
      <c r="H326" s="93"/>
      <c r="I326" s="125"/>
      <c r="J326" s="126" t="str">
        <f t="shared" si="3"/>
        <v/>
      </c>
      <c r="K326" s="119"/>
      <c r="L326" s="111">
        <f t="shared" si="4"/>
        <v>-610000</v>
      </c>
      <c r="M326" s="127" t="str">
        <f t="shared" si="5"/>
        <v/>
      </c>
      <c r="N326" s="113">
        <f t="shared" si="6"/>
        <v>0</v>
      </c>
      <c r="O326" s="113">
        <f t="shared" si="7"/>
        <v>0</v>
      </c>
      <c r="P326" s="114">
        <f t="shared" si="8"/>
        <v>0</v>
      </c>
      <c r="Q326" s="115">
        <f t="shared" si="9"/>
        <v>0</v>
      </c>
      <c r="R326" s="117">
        <v>610000.0</v>
      </c>
      <c r="S326" s="117">
        <f t="shared" si="10"/>
        <v>0</v>
      </c>
    </row>
    <row r="327">
      <c r="A327" s="20">
        <f t="shared" si="1"/>
        <v>3</v>
      </c>
      <c r="B327" s="106">
        <v>44085.0</v>
      </c>
      <c r="C327" s="21" t="s">
        <v>123</v>
      </c>
      <c r="D327" s="124" t="str">
        <f t="shared" si="2"/>
        <v>RI SAMP3</v>
      </c>
      <c r="E327" s="93"/>
      <c r="F327" s="93"/>
      <c r="G327" s="93"/>
      <c r="H327" s="93"/>
      <c r="I327" s="125"/>
      <c r="J327" s="126" t="str">
        <f t="shared" si="3"/>
        <v/>
      </c>
      <c r="K327" s="119"/>
      <c r="L327" s="111">
        <f t="shared" si="4"/>
        <v>-429600</v>
      </c>
      <c r="M327" s="127" t="str">
        <f t="shared" si="5"/>
        <v/>
      </c>
      <c r="N327" s="113">
        <f t="shared" si="6"/>
        <v>0</v>
      </c>
      <c r="O327" s="113">
        <f t="shared" si="7"/>
        <v>0</v>
      </c>
      <c r="P327" s="114">
        <f t="shared" si="8"/>
        <v>0</v>
      </c>
      <c r="Q327" s="115">
        <f t="shared" si="9"/>
        <v>0</v>
      </c>
      <c r="R327" s="117">
        <v>429600.0</v>
      </c>
      <c r="S327" s="117">
        <f t="shared" si="10"/>
        <v>1000000</v>
      </c>
    </row>
    <row r="328">
      <c r="A328" s="20">
        <f t="shared" si="1"/>
        <v>7</v>
      </c>
      <c r="B328" s="106">
        <v>44085.0</v>
      </c>
      <c r="C328" s="21" t="s">
        <v>124</v>
      </c>
      <c r="D328" s="124" t="str">
        <f t="shared" si="2"/>
        <v>REMMY BODES7</v>
      </c>
      <c r="E328" s="93"/>
      <c r="F328" s="93"/>
      <c r="G328" s="93"/>
      <c r="H328" s="93"/>
      <c r="I328" s="125"/>
      <c r="J328" s="126" t="str">
        <f t="shared" si="3"/>
        <v/>
      </c>
      <c r="K328" s="119"/>
      <c r="L328" s="111">
        <f t="shared" si="4"/>
        <v>-801060</v>
      </c>
      <c r="M328" s="127" t="str">
        <f t="shared" si="5"/>
        <v/>
      </c>
      <c r="N328" s="113">
        <f t="shared" si="6"/>
        <v>0</v>
      </c>
      <c r="O328" s="113">
        <f t="shared" si="7"/>
        <v>0</v>
      </c>
      <c r="P328" s="114">
        <f t="shared" si="8"/>
        <v>0</v>
      </c>
      <c r="Q328" s="115">
        <f t="shared" si="9"/>
        <v>0</v>
      </c>
      <c r="R328" s="117">
        <v>801060.0</v>
      </c>
      <c r="S328" s="117">
        <f t="shared" si="10"/>
        <v>843000</v>
      </c>
    </row>
    <row r="329">
      <c r="A329" s="20">
        <f t="shared" si="1"/>
        <v>10</v>
      </c>
      <c r="B329" s="106">
        <v>44085.0</v>
      </c>
      <c r="C329" s="21" t="s">
        <v>157</v>
      </c>
      <c r="D329" s="124" t="str">
        <f t="shared" si="2"/>
        <v>ALFRED ALABI10</v>
      </c>
      <c r="E329" s="93"/>
      <c r="F329" s="93"/>
      <c r="G329" s="93"/>
      <c r="H329" s="93"/>
      <c r="I329" s="125"/>
      <c r="J329" s="126" t="str">
        <f t="shared" si="3"/>
        <v/>
      </c>
      <c r="K329" s="119"/>
      <c r="L329" s="111">
        <f t="shared" si="4"/>
        <v>-463000</v>
      </c>
      <c r="M329" s="127" t="str">
        <f t="shared" si="5"/>
        <v/>
      </c>
      <c r="N329" s="113">
        <f t="shared" si="6"/>
        <v>0</v>
      </c>
      <c r="O329" s="113">
        <f t="shared" si="7"/>
        <v>0</v>
      </c>
      <c r="P329" s="114">
        <f t="shared" si="8"/>
        <v>0</v>
      </c>
      <c r="Q329" s="115">
        <f t="shared" si="9"/>
        <v>0</v>
      </c>
      <c r="R329" s="117">
        <v>463000.0</v>
      </c>
      <c r="S329" s="117">
        <f t="shared" si="10"/>
        <v>1000020</v>
      </c>
    </row>
    <row r="330">
      <c r="A330" s="20">
        <f t="shared" si="1"/>
        <v>3</v>
      </c>
      <c r="B330" s="106">
        <v>44085.0</v>
      </c>
      <c r="C330" s="21" t="s">
        <v>170</v>
      </c>
      <c r="D330" s="124" t="str">
        <f t="shared" si="2"/>
        <v>OMODION3</v>
      </c>
      <c r="E330" s="93"/>
      <c r="F330" s="93"/>
      <c r="G330" s="93"/>
      <c r="H330" s="93"/>
      <c r="I330" s="125"/>
      <c r="J330" s="126" t="str">
        <f t="shared" si="3"/>
        <v/>
      </c>
      <c r="K330" s="119"/>
      <c r="L330" s="111">
        <f t="shared" si="4"/>
        <v>-530000</v>
      </c>
      <c r="M330" s="127" t="str">
        <f t="shared" si="5"/>
        <v/>
      </c>
      <c r="N330" s="113">
        <f t="shared" si="6"/>
        <v>0</v>
      </c>
      <c r="O330" s="113">
        <f t="shared" si="7"/>
        <v>0</v>
      </c>
      <c r="P330" s="114">
        <f t="shared" si="8"/>
        <v>0</v>
      </c>
      <c r="Q330" s="115">
        <f t="shared" si="9"/>
        <v>0</v>
      </c>
      <c r="R330" s="117">
        <v>530000.0</v>
      </c>
      <c r="S330" s="117">
        <f t="shared" si="10"/>
        <v>300000</v>
      </c>
    </row>
    <row r="331">
      <c r="A331" s="20">
        <f t="shared" si="1"/>
        <v>7</v>
      </c>
      <c r="B331" s="106">
        <v>44085.0</v>
      </c>
      <c r="C331" s="21" t="s">
        <v>159</v>
      </c>
      <c r="D331" s="124" t="str">
        <f t="shared" si="2"/>
        <v>EMMANUEL OKO 7</v>
      </c>
      <c r="E331" s="93"/>
      <c r="F331" s="93"/>
      <c r="G331" s="93"/>
      <c r="H331" s="93"/>
      <c r="I331" s="125"/>
      <c r="J331" s="126" t="str">
        <f t="shared" si="3"/>
        <v/>
      </c>
      <c r="K331" s="119"/>
      <c r="L331" s="111">
        <f t="shared" si="4"/>
        <v>-636750</v>
      </c>
      <c r="M331" s="127" t="str">
        <f t="shared" si="5"/>
        <v/>
      </c>
      <c r="N331" s="113">
        <f t="shared" si="6"/>
        <v>0</v>
      </c>
      <c r="O331" s="113">
        <f t="shared" si="7"/>
        <v>0</v>
      </c>
      <c r="P331" s="114">
        <f t="shared" si="8"/>
        <v>0</v>
      </c>
      <c r="Q331" s="115">
        <f t="shared" si="9"/>
        <v>0</v>
      </c>
      <c r="R331" s="117">
        <v>636750.0</v>
      </c>
      <c r="S331" s="117">
        <f t="shared" si="10"/>
        <v>1040000</v>
      </c>
    </row>
    <row r="332">
      <c r="A332" s="20">
        <f t="shared" si="1"/>
        <v>6</v>
      </c>
      <c r="B332" s="106">
        <v>44085.0</v>
      </c>
      <c r="C332" s="21" t="s">
        <v>165</v>
      </c>
      <c r="D332" s="124" t="str">
        <f t="shared" si="2"/>
        <v>EUGENE6</v>
      </c>
      <c r="E332" s="93"/>
      <c r="F332" s="93"/>
      <c r="G332" s="93"/>
      <c r="H332" s="93"/>
      <c r="I332" s="125"/>
      <c r="J332" s="126" t="str">
        <f t="shared" si="3"/>
        <v/>
      </c>
      <c r="K332" s="119"/>
      <c r="L332" s="111">
        <f t="shared" si="4"/>
        <v>-81200</v>
      </c>
      <c r="M332" s="127" t="str">
        <f t="shared" si="5"/>
        <v/>
      </c>
      <c r="N332" s="113">
        <f t="shared" si="6"/>
        <v>0</v>
      </c>
      <c r="O332" s="113">
        <f t="shared" si="7"/>
        <v>0</v>
      </c>
      <c r="P332" s="114">
        <f t="shared" si="8"/>
        <v>0</v>
      </c>
      <c r="Q332" s="115">
        <f t="shared" si="9"/>
        <v>0</v>
      </c>
      <c r="R332" s="117">
        <v>81200.0</v>
      </c>
      <c r="S332" s="117">
        <f t="shared" si="10"/>
        <v>1050000</v>
      </c>
    </row>
    <row r="333">
      <c r="A333" s="20">
        <f t="shared" si="1"/>
        <v>5</v>
      </c>
      <c r="B333" s="106">
        <v>44085.0</v>
      </c>
      <c r="C333" s="21" t="s">
        <v>119</v>
      </c>
      <c r="D333" s="124" t="str">
        <f t="shared" si="2"/>
        <v>MAXWELL AGRO OBI5</v>
      </c>
      <c r="E333" s="93"/>
      <c r="F333" s="93"/>
      <c r="G333" s="93"/>
      <c r="H333" s="93"/>
      <c r="I333" s="125"/>
      <c r="J333" s="126" t="str">
        <f t="shared" si="3"/>
        <v/>
      </c>
      <c r="K333" s="119"/>
      <c r="L333" s="111">
        <f t="shared" si="4"/>
        <v>-253520</v>
      </c>
      <c r="M333" s="127" t="str">
        <f t="shared" si="5"/>
        <v/>
      </c>
      <c r="N333" s="113">
        <f t="shared" si="6"/>
        <v>0</v>
      </c>
      <c r="O333" s="113">
        <f t="shared" si="7"/>
        <v>0</v>
      </c>
      <c r="P333" s="114">
        <f t="shared" si="8"/>
        <v>0</v>
      </c>
      <c r="Q333" s="115">
        <f t="shared" si="9"/>
        <v>0</v>
      </c>
      <c r="R333" s="117">
        <v>253520.0</v>
      </c>
      <c r="S333" s="117">
        <f t="shared" si="10"/>
        <v>500000</v>
      </c>
    </row>
    <row r="334">
      <c r="A334" s="20">
        <f t="shared" si="1"/>
        <v>16</v>
      </c>
      <c r="B334" s="106">
        <v>44085.0</v>
      </c>
      <c r="C334" s="21" t="s">
        <v>107</v>
      </c>
      <c r="D334" s="124" t="str">
        <f t="shared" si="2"/>
        <v>BOSURU  BOSURU16</v>
      </c>
      <c r="E334" s="93"/>
      <c r="F334" s="93"/>
      <c r="G334" s="93"/>
      <c r="H334" s="93"/>
      <c r="I334" s="125"/>
      <c r="J334" s="126" t="str">
        <f t="shared" si="3"/>
        <v/>
      </c>
      <c r="K334" s="119">
        <v>500000.0</v>
      </c>
      <c r="L334" s="111">
        <f t="shared" si="4"/>
        <v>500000</v>
      </c>
      <c r="M334" s="127" t="str">
        <f t="shared" si="5"/>
        <v/>
      </c>
      <c r="N334" s="113">
        <f t="shared" si="6"/>
        <v>0</v>
      </c>
      <c r="O334" s="113">
        <f t="shared" si="7"/>
        <v>0</v>
      </c>
      <c r="P334" s="114">
        <f t="shared" si="8"/>
        <v>0</v>
      </c>
      <c r="Q334" s="115">
        <f t="shared" si="9"/>
        <v>0</v>
      </c>
      <c r="R334" s="117"/>
      <c r="S334" s="117">
        <f t="shared" si="10"/>
        <v>1499700</v>
      </c>
    </row>
    <row r="335">
      <c r="A335" s="20">
        <f t="shared" si="1"/>
        <v>12</v>
      </c>
      <c r="B335" s="106">
        <v>44085.0</v>
      </c>
      <c r="C335" s="21" t="s">
        <v>113</v>
      </c>
      <c r="D335" s="124" t="str">
        <f t="shared" si="2"/>
        <v> MAXWELL AGRO12</v>
      </c>
      <c r="E335" s="93"/>
      <c r="F335" s="93"/>
      <c r="G335" s="93"/>
      <c r="H335" s="93"/>
      <c r="I335" s="125"/>
      <c r="J335" s="126" t="str">
        <f t="shared" si="3"/>
        <v/>
      </c>
      <c r="K335" s="119">
        <v>192580.0</v>
      </c>
      <c r="L335" s="111">
        <f t="shared" si="4"/>
        <v>192580</v>
      </c>
      <c r="M335" s="127" t="str">
        <f t="shared" si="5"/>
        <v/>
      </c>
      <c r="N335" s="113">
        <f t="shared" si="6"/>
        <v>0</v>
      </c>
      <c r="O335" s="113">
        <f t="shared" si="7"/>
        <v>0</v>
      </c>
      <c r="P335" s="114">
        <f t="shared" si="8"/>
        <v>0</v>
      </c>
      <c r="Q335" s="115">
        <f t="shared" si="9"/>
        <v>0</v>
      </c>
      <c r="R335" s="117"/>
      <c r="S335" s="117">
        <f t="shared" si="10"/>
        <v>500000</v>
      </c>
    </row>
    <row r="336">
      <c r="A336" s="20">
        <f t="shared" si="1"/>
        <v>5</v>
      </c>
      <c r="B336" s="106">
        <v>44085.0</v>
      </c>
      <c r="C336" s="21" t="s">
        <v>36</v>
      </c>
      <c r="D336" s="124" t="str">
        <f t="shared" si="2"/>
        <v>NDOMA NDOMA5</v>
      </c>
      <c r="E336" s="93"/>
      <c r="F336" s="93"/>
      <c r="G336" s="93"/>
      <c r="H336" s="93"/>
      <c r="I336" s="125"/>
      <c r="J336" s="126" t="str">
        <f t="shared" si="3"/>
        <v/>
      </c>
      <c r="K336" s="119">
        <v>790000.0</v>
      </c>
      <c r="L336" s="111">
        <f t="shared" si="4"/>
        <v>790000</v>
      </c>
      <c r="M336" s="127" t="str">
        <f t="shared" si="5"/>
        <v/>
      </c>
      <c r="N336" s="113">
        <f t="shared" si="6"/>
        <v>0</v>
      </c>
      <c r="O336" s="113">
        <f t="shared" si="7"/>
        <v>0</v>
      </c>
      <c r="P336" s="114">
        <f t="shared" si="8"/>
        <v>0</v>
      </c>
      <c r="Q336" s="115">
        <f t="shared" si="9"/>
        <v>0</v>
      </c>
      <c r="R336" s="117"/>
      <c r="S336" s="117">
        <f t="shared" si="10"/>
        <v>990000</v>
      </c>
    </row>
    <row r="337">
      <c r="A337" s="20">
        <f t="shared" si="1"/>
        <v>6</v>
      </c>
      <c r="B337" s="106">
        <v>44085.0</v>
      </c>
      <c r="C337" s="21" t="s">
        <v>110</v>
      </c>
      <c r="D337" s="124" t="str">
        <f t="shared" si="2"/>
        <v>AUGUSTINE IGBA6</v>
      </c>
      <c r="E337" s="93"/>
      <c r="F337" s="93"/>
      <c r="G337" s="93"/>
      <c r="H337" s="93"/>
      <c r="I337" s="125"/>
      <c r="J337" s="126" t="str">
        <f t="shared" si="3"/>
        <v/>
      </c>
      <c r="K337" s="119">
        <v>3000000.0</v>
      </c>
      <c r="L337" s="111">
        <f t="shared" si="4"/>
        <v>3000000</v>
      </c>
      <c r="M337" s="127" t="str">
        <f t="shared" si="5"/>
        <v/>
      </c>
      <c r="N337" s="113">
        <f t="shared" si="6"/>
        <v>0</v>
      </c>
      <c r="O337" s="113">
        <f t="shared" si="7"/>
        <v>0</v>
      </c>
      <c r="P337" s="114">
        <f t="shared" si="8"/>
        <v>0</v>
      </c>
      <c r="Q337" s="115">
        <f t="shared" si="9"/>
        <v>0</v>
      </c>
      <c r="R337" s="117"/>
      <c r="S337" s="117">
        <f t="shared" si="10"/>
        <v>27134140</v>
      </c>
    </row>
    <row r="338">
      <c r="A338" s="20">
        <f t="shared" si="1"/>
        <v>3</v>
      </c>
      <c r="B338" s="106">
        <v>44085.0</v>
      </c>
      <c r="C338" s="21" t="s">
        <v>149</v>
      </c>
      <c r="D338" s="124" t="str">
        <f t="shared" si="2"/>
        <v>PAPA AJASCO BETTE3</v>
      </c>
      <c r="E338" s="93"/>
      <c r="F338" s="93"/>
      <c r="G338" s="93"/>
      <c r="H338" s="93"/>
      <c r="I338" s="125"/>
      <c r="J338" s="126" t="str">
        <f t="shared" si="3"/>
        <v/>
      </c>
      <c r="K338" s="119">
        <v>160000.0</v>
      </c>
      <c r="L338" s="111">
        <f t="shared" si="4"/>
        <v>160000</v>
      </c>
      <c r="M338" s="127" t="str">
        <f t="shared" si="5"/>
        <v/>
      </c>
      <c r="N338" s="113">
        <f t="shared" si="6"/>
        <v>0</v>
      </c>
      <c r="O338" s="113">
        <f t="shared" si="7"/>
        <v>0</v>
      </c>
      <c r="P338" s="114">
        <f t="shared" si="8"/>
        <v>0</v>
      </c>
      <c r="Q338" s="115">
        <f t="shared" si="9"/>
        <v>0</v>
      </c>
      <c r="R338" s="117"/>
      <c r="S338" s="117">
        <f t="shared" si="10"/>
        <v>380000</v>
      </c>
    </row>
    <row r="339">
      <c r="A339" s="20">
        <f t="shared" si="1"/>
        <v>5</v>
      </c>
      <c r="B339" s="106">
        <v>44085.0</v>
      </c>
      <c r="C339" s="21" t="s">
        <v>132</v>
      </c>
      <c r="D339" s="124" t="str">
        <f t="shared" si="2"/>
        <v>CONFIDENCE5</v>
      </c>
      <c r="E339" s="93"/>
      <c r="F339" s="93"/>
      <c r="G339" s="93"/>
      <c r="H339" s="93"/>
      <c r="I339" s="125"/>
      <c r="J339" s="126" t="str">
        <f t="shared" si="3"/>
        <v/>
      </c>
      <c r="K339" s="119">
        <v>1930000.0</v>
      </c>
      <c r="L339" s="111">
        <f t="shared" si="4"/>
        <v>1930000</v>
      </c>
      <c r="M339" s="127" t="str">
        <f t="shared" si="5"/>
        <v/>
      </c>
      <c r="N339" s="113">
        <f t="shared" si="6"/>
        <v>0</v>
      </c>
      <c r="O339" s="113">
        <f t="shared" si="7"/>
        <v>0</v>
      </c>
      <c r="P339" s="114">
        <f t="shared" si="8"/>
        <v>0</v>
      </c>
      <c r="Q339" s="115">
        <f t="shared" si="9"/>
        <v>0</v>
      </c>
      <c r="R339" s="117"/>
      <c r="S339" s="117">
        <f t="shared" si="10"/>
        <v>2300000</v>
      </c>
    </row>
    <row r="340">
      <c r="A340" s="20">
        <f t="shared" si="1"/>
        <v>12</v>
      </c>
      <c r="B340" s="106">
        <v>44085.0</v>
      </c>
      <c r="C340" s="21" t="s">
        <v>98</v>
      </c>
      <c r="D340" s="124" t="str">
        <f t="shared" si="2"/>
        <v>EDWARD OKO12</v>
      </c>
      <c r="E340" s="93"/>
      <c r="F340" s="93"/>
      <c r="G340" s="93"/>
      <c r="H340" s="93"/>
      <c r="I340" s="125"/>
      <c r="J340" s="126" t="str">
        <f t="shared" si="3"/>
        <v/>
      </c>
      <c r="K340" s="119">
        <v>9500000.0</v>
      </c>
      <c r="L340" s="111">
        <f t="shared" si="4"/>
        <v>9500000</v>
      </c>
      <c r="M340" s="127" t="str">
        <f t="shared" si="5"/>
        <v/>
      </c>
      <c r="N340" s="113">
        <f t="shared" si="6"/>
        <v>0</v>
      </c>
      <c r="O340" s="113">
        <f t="shared" si="7"/>
        <v>0</v>
      </c>
      <c r="P340" s="114">
        <f t="shared" si="8"/>
        <v>0</v>
      </c>
      <c r="Q340" s="115">
        <f t="shared" si="9"/>
        <v>0</v>
      </c>
      <c r="R340" s="117"/>
      <c r="S340" s="117">
        <f t="shared" si="10"/>
        <v>4883490</v>
      </c>
    </row>
    <row r="341">
      <c r="A341" s="20">
        <f t="shared" si="1"/>
        <v>3</v>
      </c>
      <c r="B341" s="106">
        <v>44085.0</v>
      </c>
      <c r="C341" s="21" t="s">
        <v>144</v>
      </c>
      <c r="D341" s="124" t="str">
        <f t="shared" si="2"/>
        <v>FRANCIS KEIBO3</v>
      </c>
      <c r="E341" s="93"/>
      <c r="F341" s="93"/>
      <c r="G341" s="93"/>
      <c r="H341" s="93"/>
      <c r="I341" s="125"/>
      <c r="J341" s="126" t="str">
        <f t="shared" si="3"/>
        <v/>
      </c>
      <c r="K341" s="119">
        <v>100000.0</v>
      </c>
      <c r="L341" s="111">
        <f t="shared" si="4"/>
        <v>100000</v>
      </c>
      <c r="M341" s="127" t="str">
        <f t="shared" si="5"/>
        <v/>
      </c>
      <c r="N341" s="113">
        <f t="shared" si="6"/>
        <v>0</v>
      </c>
      <c r="O341" s="113">
        <f t="shared" si="7"/>
        <v>0</v>
      </c>
      <c r="P341" s="114">
        <f t="shared" si="8"/>
        <v>0</v>
      </c>
      <c r="Q341" s="115">
        <f t="shared" si="9"/>
        <v>0</v>
      </c>
      <c r="R341" s="117"/>
      <c r="S341" s="117">
        <f t="shared" si="10"/>
        <v>587000</v>
      </c>
    </row>
    <row r="342">
      <c r="A342" s="20">
        <f t="shared" si="1"/>
        <v>2</v>
      </c>
      <c r="B342" s="106">
        <v>44085.0</v>
      </c>
      <c r="C342" s="21" t="s">
        <v>139</v>
      </c>
      <c r="D342" s="124" t="str">
        <f t="shared" si="2"/>
        <v>AGEGE BOY2</v>
      </c>
      <c r="E342" s="93"/>
      <c r="F342" s="93"/>
      <c r="G342" s="93"/>
      <c r="H342" s="93"/>
      <c r="I342" s="125"/>
      <c r="J342" s="126" t="str">
        <f t="shared" si="3"/>
        <v/>
      </c>
      <c r="K342" s="119">
        <v>311280.0</v>
      </c>
      <c r="L342" s="111">
        <f t="shared" si="4"/>
        <v>311280</v>
      </c>
      <c r="M342" s="127" t="str">
        <f t="shared" si="5"/>
        <v/>
      </c>
      <c r="N342" s="113">
        <f t="shared" si="6"/>
        <v>0</v>
      </c>
      <c r="O342" s="113">
        <f t="shared" si="7"/>
        <v>0</v>
      </c>
      <c r="P342" s="114">
        <f t="shared" si="8"/>
        <v>0</v>
      </c>
      <c r="Q342" s="115">
        <f t="shared" si="9"/>
        <v>0</v>
      </c>
      <c r="R342" s="117"/>
      <c r="S342" s="117">
        <f t="shared" si="10"/>
        <v>611280</v>
      </c>
    </row>
    <row r="343">
      <c r="A343" s="20">
        <f t="shared" si="1"/>
        <v>2</v>
      </c>
      <c r="B343" s="106">
        <v>44085.0</v>
      </c>
      <c r="C343" s="21" t="s">
        <v>154</v>
      </c>
      <c r="D343" s="124" t="str">
        <f t="shared" si="2"/>
        <v>MATIAT REINA2</v>
      </c>
      <c r="E343" s="93"/>
      <c r="F343" s="93"/>
      <c r="G343" s="93"/>
      <c r="H343" s="93"/>
      <c r="I343" s="125"/>
      <c r="J343" s="126" t="str">
        <f t="shared" si="3"/>
        <v/>
      </c>
      <c r="K343" s="119">
        <v>50000.0</v>
      </c>
      <c r="L343" s="111">
        <f t="shared" si="4"/>
        <v>50000</v>
      </c>
      <c r="M343" s="127" t="str">
        <f t="shared" si="5"/>
        <v/>
      </c>
      <c r="N343" s="113">
        <f t="shared" si="6"/>
        <v>0</v>
      </c>
      <c r="O343" s="113">
        <f t="shared" si="7"/>
        <v>0</v>
      </c>
      <c r="P343" s="114">
        <f t="shared" si="8"/>
        <v>0</v>
      </c>
      <c r="Q343" s="115">
        <f t="shared" si="9"/>
        <v>0</v>
      </c>
      <c r="R343" s="117"/>
      <c r="S343" s="117">
        <f t="shared" si="10"/>
        <v>250000</v>
      </c>
    </row>
    <row r="344">
      <c r="A344" s="20">
        <f t="shared" si="1"/>
        <v>2</v>
      </c>
      <c r="B344" s="106">
        <v>44085.0</v>
      </c>
      <c r="C344" s="21" t="s">
        <v>105</v>
      </c>
      <c r="D344" s="124" t="str">
        <f t="shared" si="2"/>
        <v>OSIM MARIAM2</v>
      </c>
      <c r="E344" s="93"/>
      <c r="F344" s="93"/>
      <c r="G344" s="93"/>
      <c r="H344" s="93"/>
      <c r="I344" s="125"/>
      <c r="J344" s="126" t="str">
        <f t="shared" si="3"/>
        <v/>
      </c>
      <c r="K344" s="119">
        <v>250000.0</v>
      </c>
      <c r="L344" s="111">
        <f t="shared" si="4"/>
        <v>250000</v>
      </c>
      <c r="M344" s="127" t="str">
        <f t="shared" si="5"/>
        <v/>
      </c>
      <c r="N344" s="113">
        <f t="shared" si="6"/>
        <v>0</v>
      </c>
      <c r="O344" s="113">
        <f t="shared" si="7"/>
        <v>0</v>
      </c>
      <c r="P344" s="114">
        <f t="shared" si="8"/>
        <v>0</v>
      </c>
      <c r="Q344" s="115">
        <f t="shared" si="9"/>
        <v>0</v>
      </c>
      <c r="R344" s="117"/>
      <c r="S344" s="117">
        <f t="shared" si="10"/>
        <v>650000</v>
      </c>
    </row>
    <row r="345">
      <c r="A345" s="20">
        <f t="shared" si="1"/>
        <v>4</v>
      </c>
      <c r="B345" s="106">
        <v>44085.0</v>
      </c>
      <c r="C345" s="21" t="s">
        <v>140</v>
      </c>
      <c r="D345" s="124" t="str">
        <f t="shared" si="2"/>
        <v>PRINNESS4</v>
      </c>
      <c r="E345" s="93"/>
      <c r="F345" s="93"/>
      <c r="G345" s="93"/>
      <c r="H345" s="93"/>
      <c r="I345" s="125"/>
      <c r="J345" s="126" t="str">
        <f t="shared" si="3"/>
        <v/>
      </c>
      <c r="K345" s="119">
        <v>400000.0</v>
      </c>
      <c r="L345" s="111">
        <f t="shared" si="4"/>
        <v>400000</v>
      </c>
      <c r="M345" s="127" t="str">
        <f t="shared" si="5"/>
        <v/>
      </c>
      <c r="N345" s="113">
        <f t="shared" si="6"/>
        <v>0</v>
      </c>
      <c r="O345" s="113">
        <f t="shared" si="7"/>
        <v>0</v>
      </c>
      <c r="P345" s="114">
        <f t="shared" si="8"/>
        <v>0</v>
      </c>
      <c r="Q345" s="115">
        <f t="shared" si="9"/>
        <v>0</v>
      </c>
      <c r="R345" s="117"/>
      <c r="S345" s="117">
        <f t="shared" si="10"/>
        <v>814980</v>
      </c>
    </row>
    <row r="346">
      <c r="A346" s="20">
        <f t="shared" si="1"/>
        <v>1</v>
      </c>
      <c r="B346" s="106">
        <v>44085.0</v>
      </c>
      <c r="C346" s="21" t="s">
        <v>175</v>
      </c>
      <c r="D346" s="124" t="str">
        <f t="shared" si="2"/>
        <v>MALACHY1</v>
      </c>
      <c r="E346" s="93"/>
      <c r="F346" s="93"/>
      <c r="G346" s="93"/>
      <c r="H346" s="93"/>
      <c r="I346" s="125"/>
      <c r="J346" s="126" t="str">
        <f t="shared" si="3"/>
        <v/>
      </c>
      <c r="K346" s="119">
        <v>100000.0</v>
      </c>
      <c r="L346" s="111">
        <f t="shared" si="4"/>
        <v>100000</v>
      </c>
      <c r="M346" s="127" t="str">
        <f t="shared" si="5"/>
        <v/>
      </c>
      <c r="N346" s="113">
        <f t="shared" si="6"/>
        <v>0</v>
      </c>
      <c r="O346" s="113">
        <f t="shared" si="7"/>
        <v>0</v>
      </c>
      <c r="P346" s="114">
        <f t="shared" si="8"/>
        <v>0</v>
      </c>
      <c r="Q346" s="115">
        <f t="shared" si="9"/>
        <v>0</v>
      </c>
      <c r="R346" s="117"/>
      <c r="S346" s="117">
        <f t="shared" si="10"/>
        <v>100000</v>
      </c>
    </row>
    <row r="347">
      <c r="A347" s="20">
        <f t="shared" si="1"/>
        <v>11</v>
      </c>
      <c r="B347" s="106">
        <v>44085.0</v>
      </c>
      <c r="C347" s="21" t="s">
        <v>46</v>
      </c>
      <c r="D347" s="124" t="str">
        <f t="shared" si="2"/>
        <v>ETUK EFFI11</v>
      </c>
      <c r="E347" s="93"/>
      <c r="F347" s="93"/>
      <c r="G347" s="93"/>
      <c r="H347" s="93"/>
      <c r="I347" s="125"/>
      <c r="J347" s="126" t="str">
        <f t="shared" si="3"/>
        <v/>
      </c>
      <c r="K347" s="119">
        <v>1281400.0</v>
      </c>
      <c r="L347" s="111">
        <f t="shared" si="4"/>
        <v>1281400</v>
      </c>
      <c r="M347" s="127" t="str">
        <f t="shared" si="5"/>
        <v/>
      </c>
      <c r="N347" s="113">
        <f t="shared" si="6"/>
        <v>0</v>
      </c>
      <c r="O347" s="113">
        <f t="shared" si="7"/>
        <v>0</v>
      </c>
      <c r="P347" s="114">
        <f t="shared" si="8"/>
        <v>0</v>
      </c>
      <c r="Q347" s="115">
        <f t="shared" si="9"/>
        <v>0</v>
      </c>
      <c r="R347" s="117"/>
      <c r="S347" s="117">
        <f t="shared" si="10"/>
        <v>2781400</v>
      </c>
    </row>
    <row r="348">
      <c r="A348" s="20">
        <f t="shared" si="1"/>
        <v>2</v>
      </c>
      <c r="B348" s="106">
        <v>44085.0</v>
      </c>
      <c r="C348" s="21" t="s">
        <v>164</v>
      </c>
      <c r="D348" s="124" t="str">
        <f t="shared" si="2"/>
        <v>CHINWE CHIDI2</v>
      </c>
      <c r="E348" s="93"/>
      <c r="F348" s="93"/>
      <c r="G348" s="93"/>
      <c r="H348" s="93"/>
      <c r="I348" s="125"/>
      <c r="J348" s="126" t="str">
        <f t="shared" si="3"/>
        <v/>
      </c>
      <c r="K348" s="119">
        <v>6000.0</v>
      </c>
      <c r="L348" s="111">
        <f t="shared" si="4"/>
        <v>6000</v>
      </c>
      <c r="M348" s="127" t="str">
        <f t="shared" si="5"/>
        <v/>
      </c>
      <c r="N348" s="113">
        <f t="shared" si="6"/>
        <v>0</v>
      </c>
      <c r="O348" s="113">
        <f t="shared" si="7"/>
        <v>0</v>
      </c>
      <c r="P348" s="114">
        <f t="shared" si="8"/>
        <v>0</v>
      </c>
      <c r="Q348" s="115">
        <f t="shared" si="9"/>
        <v>0</v>
      </c>
      <c r="R348" s="117"/>
      <c r="S348" s="117">
        <f t="shared" si="10"/>
        <v>106000</v>
      </c>
    </row>
    <row r="349">
      <c r="A349" s="20">
        <f t="shared" si="1"/>
        <v>12</v>
      </c>
      <c r="B349" s="106">
        <v>44085.0</v>
      </c>
      <c r="C349" s="21" t="s">
        <v>46</v>
      </c>
      <c r="D349" s="124" t="str">
        <f t="shared" si="2"/>
        <v>ETUK EFFI12</v>
      </c>
      <c r="E349" s="93">
        <v>1531.0</v>
      </c>
      <c r="F349" s="93">
        <v>211.0</v>
      </c>
      <c r="G349" s="93"/>
      <c r="H349" s="93">
        <v>23.0</v>
      </c>
      <c r="I349" s="125"/>
      <c r="J349" s="126">
        <f t="shared" si="3"/>
        <v>860</v>
      </c>
      <c r="K349" s="119"/>
      <c r="L349" s="111">
        <f t="shared" si="4"/>
        <v>-1281400</v>
      </c>
      <c r="M349" s="127">
        <f t="shared" si="5"/>
        <v>9.17</v>
      </c>
      <c r="N349" s="113">
        <f t="shared" si="6"/>
        <v>18</v>
      </c>
      <c r="O349" s="113">
        <f t="shared" si="7"/>
        <v>23</v>
      </c>
      <c r="P349" s="114">
        <f t="shared" si="8"/>
        <v>41</v>
      </c>
      <c r="Q349" s="115">
        <f t="shared" si="9"/>
        <v>1490</v>
      </c>
      <c r="R349" s="117">
        <v>1281400.0</v>
      </c>
      <c r="S349" s="117">
        <f t="shared" si="10"/>
        <v>1500000</v>
      </c>
    </row>
    <row r="350">
      <c r="A350" s="20">
        <f t="shared" si="1"/>
        <v>2</v>
      </c>
      <c r="B350" s="106">
        <v>44086.0</v>
      </c>
      <c r="C350" s="21" t="s">
        <v>135</v>
      </c>
      <c r="D350" s="124" t="str">
        <f t="shared" si="2"/>
        <v>ABANG FREDINARD2</v>
      </c>
      <c r="E350" s="93">
        <v>122.0</v>
      </c>
      <c r="F350" s="93">
        <v>16.0</v>
      </c>
      <c r="G350" s="93"/>
      <c r="H350" s="93">
        <v>2.0</v>
      </c>
      <c r="I350" s="125"/>
      <c r="J350" s="126">
        <f t="shared" si="3"/>
        <v>666.67</v>
      </c>
      <c r="K350" s="119"/>
      <c r="L350" s="111">
        <f t="shared" si="4"/>
        <v>-80000</v>
      </c>
      <c r="M350" s="127">
        <f t="shared" si="5"/>
        <v>8</v>
      </c>
      <c r="N350" s="113">
        <f t="shared" si="6"/>
        <v>0</v>
      </c>
      <c r="O350" s="113">
        <f t="shared" si="7"/>
        <v>1</v>
      </c>
      <c r="P350" s="114">
        <f t="shared" si="8"/>
        <v>57</v>
      </c>
      <c r="Q350" s="115">
        <f t="shared" si="9"/>
        <v>120</v>
      </c>
      <c r="R350" s="117">
        <v>80000.0</v>
      </c>
      <c r="S350" s="117">
        <f t="shared" si="10"/>
        <v>-50000</v>
      </c>
    </row>
    <row r="351">
      <c r="A351" s="20" t="str">
        <f t="shared" si="1"/>
        <v/>
      </c>
      <c r="B351" s="106">
        <v>44073.0</v>
      </c>
      <c r="C351" s="21"/>
      <c r="D351" s="124" t="str">
        <f t="shared" si="2"/>
        <v/>
      </c>
      <c r="E351" s="93"/>
      <c r="F351" s="93"/>
      <c r="G351" s="93"/>
      <c r="H351" s="93"/>
      <c r="I351" s="125"/>
      <c r="J351" s="126" t="str">
        <f t="shared" si="3"/>
        <v/>
      </c>
      <c r="K351" s="119"/>
      <c r="L351" s="111">
        <f t="shared" si="4"/>
        <v>0</v>
      </c>
      <c r="M351" s="127" t="str">
        <f t="shared" si="5"/>
        <v/>
      </c>
      <c r="N351" s="113" t="str">
        <f t="shared" si="6"/>
        <v/>
      </c>
      <c r="O351" s="113" t="str">
        <f t="shared" si="7"/>
        <v/>
      </c>
      <c r="P351" s="114" t="str">
        <f t="shared" si="8"/>
        <v/>
      </c>
      <c r="Q351" s="115" t="str">
        <f t="shared" si="9"/>
        <v/>
      </c>
      <c r="R351" s="117"/>
      <c r="S351" s="117" t="str">
        <f t="shared" si="10"/>
        <v>#N/A</v>
      </c>
    </row>
    <row r="352">
      <c r="A352" s="20">
        <f t="shared" si="1"/>
        <v>13</v>
      </c>
      <c r="B352" s="106">
        <v>44086.0</v>
      </c>
      <c r="C352" s="21" t="s">
        <v>113</v>
      </c>
      <c r="D352" s="124" t="str">
        <f t="shared" si="2"/>
        <v> MAXWELL AGRO13</v>
      </c>
      <c r="E352" s="93"/>
      <c r="F352" s="93"/>
      <c r="G352" s="93"/>
      <c r="H352" s="93"/>
      <c r="I352" s="125"/>
      <c r="J352" s="126" t="str">
        <f t="shared" si="3"/>
        <v/>
      </c>
      <c r="K352" s="119">
        <v>100000.0</v>
      </c>
      <c r="L352" s="111">
        <f t="shared" si="4"/>
        <v>100000</v>
      </c>
      <c r="M352" s="127" t="str">
        <f t="shared" si="5"/>
        <v/>
      </c>
      <c r="N352" s="113">
        <f t="shared" si="6"/>
        <v>0</v>
      </c>
      <c r="O352" s="113">
        <f t="shared" si="7"/>
        <v>0</v>
      </c>
      <c r="P352" s="114">
        <f t="shared" si="8"/>
        <v>0</v>
      </c>
      <c r="Q352" s="115">
        <f t="shared" si="9"/>
        <v>0</v>
      </c>
      <c r="R352" s="117"/>
      <c r="S352" s="117">
        <f t="shared" si="10"/>
        <v>600000</v>
      </c>
    </row>
    <row r="353">
      <c r="A353" s="20">
        <f t="shared" si="1"/>
        <v>3</v>
      </c>
      <c r="B353" s="106">
        <v>44086.0</v>
      </c>
      <c r="C353" s="21" t="s">
        <v>135</v>
      </c>
      <c r="D353" s="124" t="str">
        <f t="shared" si="2"/>
        <v>ABANG FREDINARD3</v>
      </c>
      <c r="E353" s="93"/>
      <c r="F353" s="93"/>
      <c r="G353" s="93"/>
      <c r="H353" s="93"/>
      <c r="I353" s="125"/>
      <c r="J353" s="126" t="str">
        <f t="shared" si="3"/>
        <v/>
      </c>
      <c r="K353" s="119">
        <v>80000.0</v>
      </c>
      <c r="L353" s="111">
        <f t="shared" si="4"/>
        <v>80000</v>
      </c>
      <c r="M353" s="127" t="str">
        <f t="shared" si="5"/>
        <v/>
      </c>
      <c r="N353" s="113">
        <f t="shared" si="6"/>
        <v>0</v>
      </c>
      <c r="O353" s="113">
        <f t="shared" si="7"/>
        <v>0</v>
      </c>
      <c r="P353" s="114">
        <f t="shared" si="8"/>
        <v>0</v>
      </c>
      <c r="Q353" s="115">
        <f t="shared" si="9"/>
        <v>0</v>
      </c>
      <c r="R353" s="117"/>
      <c r="S353" s="117">
        <f t="shared" si="10"/>
        <v>30000</v>
      </c>
    </row>
    <row r="354">
      <c r="A354" s="20">
        <f t="shared" si="1"/>
        <v>1</v>
      </c>
      <c r="B354" s="106">
        <v>44088.0</v>
      </c>
      <c r="C354" s="21" t="s">
        <v>176</v>
      </c>
      <c r="D354" s="124" t="str">
        <f t="shared" si="2"/>
        <v>ABANG. AM1</v>
      </c>
      <c r="E354" s="93"/>
      <c r="F354" s="93"/>
      <c r="G354" s="93"/>
      <c r="H354" s="93"/>
      <c r="I354" s="125"/>
      <c r="J354" s="126" t="str">
        <f t="shared" si="3"/>
        <v/>
      </c>
      <c r="K354" s="119">
        <v>100000.0</v>
      </c>
      <c r="L354" s="111">
        <f t="shared" si="4"/>
        <v>100000</v>
      </c>
      <c r="M354" s="127" t="str">
        <f t="shared" si="5"/>
        <v/>
      </c>
      <c r="N354" s="113">
        <f t="shared" si="6"/>
        <v>0</v>
      </c>
      <c r="O354" s="113">
        <f t="shared" si="7"/>
        <v>0</v>
      </c>
      <c r="P354" s="114">
        <f t="shared" si="8"/>
        <v>0</v>
      </c>
      <c r="Q354" s="115">
        <f t="shared" si="9"/>
        <v>0</v>
      </c>
      <c r="R354" s="117"/>
      <c r="S354" s="117">
        <f t="shared" si="10"/>
        <v>100000</v>
      </c>
    </row>
    <row r="355">
      <c r="A355" s="20">
        <f t="shared" si="1"/>
        <v>8</v>
      </c>
      <c r="B355" s="106">
        <v>44088.0</v>
      </c>
      <c r="C355" s="21" t="s">
        <v>169</v>
      </c>
      <c r="D355" s="124" t="str">
        <f t="shared" si="2"/>
        <v>A. D. FREDERICK8</v>
      </c>
      <c r="E355" s="93"/>
      <c r="F355" s="93"/>
      <c r="G355" s="93"/>
      <c r="H355" s="93"/>
      <c r="I355" s="125"/>
      <c r="J355" s="126" t="str">
        <f t="shared" si="3"/>
        <v/>
      </c>
      <c r="K355" s="119">
        <v>200000.0</v>
      </c>
      <c r="L355" s="111">
        <f t="shared" si="4"/>
        <v>200000</v>
      </c>
      <c r="M355" s="127" t="str">
        <f t="shared" si="5"/>
        <v/>
      </c>
      <c r="N355" s="113">
        <f t="shared" si="6"/>
        <v>0</v>
      </c>
      <c r="O355" s="113">
        <f t="shared" si="7"/>
        <v>0</v>
      </c>
      <c r="P355" s="114">
        <f t="shared" si="8"/>
        <v>0</v>
      </c>
      <c r="Q355" s="115">
        <f t="shared" si="9"/>
        <v>0</v>
      </c>
      <c r="R355" s="117"/>
      <c r="S355" s="117">
        <f t="shared" si="10"/>
        <v>1443410</v>
      </c>
    </row>
    <row r="356">
      <c r="A356" s="20">
        <f t="shared" si="1"/>
        <v>1</v>
      </c>
      <c r="B356" s="106">
        <v>44088.0</v>
      </c>
      <c r="C356" s="21" t="s">
        <v>177</v>
      </c>
      <c r="D356" s="124" t="str">
        <f t="shared" si="2"/>
        <v>FREDERICK1</v>
      </c>
      <c r="E356" s="93"/>
      <c r="F356" s="93"/>
      <c r="G356" s="93"/>
      <c r="H356" s="93"/>
      <c r="I356" s="125"/>
      <c r="J356" s="126" t="str">
        <f t="shared" si="3"/>
        <v/>
      </c>
      <c r="K356" s="119">
        <v>50000.0</v>
      </c>
      <c r="L356" s="111">
        <f t="shared" si="4"/>
        <v>50000</v>
      </c>
      <c r="M356" s="127" t="str">
        <f t="shared" si="5"/>
        <v/>
      </c>
      <c r="N356" s="113">
        <f t="shared" si="6"/>
        <v>0</v>
      </c>
      <c r="O356" s="113">
        <f t="shared" si="7"/>
        <v>0</v>
      </c>
      <c r="P356" s="114">
        <f t="shared" si="8"/>
        <v>0</v>
      </c>
      <c r="Q356" s="115">
        <f t="shared" si="9"/>
        <v>0</v>
      </c>
      <c r="R356" s="117"/>
      <c r="S356" s="117">
        <f t="shared" si="10"/>
        <v>50000</v>
      </c>
    </row>
    <row r="357">
      <c r="A357" s="20">
        <f t="shared" si="1"/>
        <v>3</v>
      </c>
      <c r="B357" s="106">
        <v>44088.0</v>
      </c>
      <c r="C357" s="21" t="s">
        <v>139</v>
      </c>
      <c r="D357" s="124" t="str">
        <f t="shared" si="2"/>
        <v>AGEGE BOY3</v>
      </c>
      <c r="E357" s="93"/>
      <c r="F357" s="93"/>
      <c r="G357" s="93"/>
      <c r="H357" s="93"/>
      <c r="I357" s="125"/>
      <c r="J357" s="126" t="str">
        <f t="shared" si="3"/>
        <v/>
      </c>
      <c r="K357" s="119">
        <v>3000.0</v>
      </c>
      <c r="L357" s="111">
        <f t="shared" si="4"/>
        <v>3000</v>
      </c>
      <c r="M357" s="127" t="str">
        <f t="shared" si="5"/>
        <v/>
      </c>
      <c r="N357" s="113">
        <f t="shared" si="6"/>
        <v>0</v>
      </c>
      <c r="O357" s="113">
        <f t="shared" si="7"/>
        <v>0</v>
      </c>
      <c r="P357" s="114">
        <f t="shared" si="8"/>
        <v>0</v>
      </c>
      <c r="Q357" s="115">
        <f t="shared" si="9"/>
        <v>0</v>
      </c>
      <c r="R357" s="117"/>
      <c r="S357" s="117">
        <f t="shared" si="10"/>
        <v>614280</v>
      </c>
    </row>
    <row r="358">
      <c r="A358" s="20">
        <f t="shared" si="1"/>
        <v>9</v>
      </c>
      <c r="B358" s="106">
        <v>44088.0</v>
      </c>
      <c r="C358" s="21" t="s">
        <v>141</v>
      </c>
      <c r="D358" s="124" t="str">
        <f t="shared" si="2"/>
        <v>CORNWELL9</v>
      </c>
      <c r="E358" s="93"/>
      <c r="F358" s="93"/>
      <c r="G358" s="93"/>
      <c r="H358" s="93"/>
      <c r="I358" s="125"/>
      <c r="J358" s="126" t="str">
        <f t="shared" si="3"/>
        <v/>
      </c>
      <c r="K358" s="119">
        <v>250000.0</v>
      </c>
      <c r="L358" s="111">
        <f t="shared" si="4"/>
        <v>250000</v>
      </c>
      <c r="M358" s="127" t="str">
        <f t="shared" si="5"/>
        <v/>
      </c>
      <c r="N358" s="113">
        <f t="shared" si="6"/>
        <v>0</v>
      </c>
      <c r="O358" s="113">
        <f t="shared" si="7"/>
        <v>0</v>
      </c>
      <c r="P358" s="114">
        <f t="shared" si="8"/>
        <v>0</v>
      </c>
      <c r="Q358" s="115">
        <f t="shared" si="9"/>
        <v>0</v>
      </c>
      <c r="R358" s="117"/>
      <c r="S358" s="117">
        <f t="shared" si="10"/>
        <v>38432690</v>
      </c>
    </row>
    <row r="359">
      <c r="A359" s="20">
        <f t="shared" si="1"/>
        <v>17</v>
      </c>
      <c r="B359" s="106">
        <v>44088.0</v>
      </c>
      <c r="C359" s="21" t="s">
        <v>107</v>
      </c>
      <c r="D359" s="124" t="str">
        <f t="shared" si="2"/>
        <v>BOSURU  BOSURU17</v>
      </c>
      <c r="E359" s="93"/>
      <c r="F359" s="93"/>
      <c r="G359" s="93"/>
      <c r="H359" s="93"/>
      <c r="I359" s="125"/>
      <c r="J359" s="126" t="str">
        <f t="shared" si="3"/>
        <v/>
      </c>
      <c r="K359" s="119">
        <v>70000.0</v>
      </c>
      <c r="L359" s="111">
        <f t="shared" si="4"/>
        <v>70000</v>
      </c>
      <c r="M359" s="127" t="str">
        <f t="shared" si="5"/>
        <v/>
      </c>
      <c r="N359" s="113">
        <f t="shared" si="6"/>
        <v>0</v>
      </c>
      <c r="O359" s="113">
        <f t="shared" si="7"/>
        <v>0</v>
      </c>
      <c r="P359" s="114">
        <f t="shared" si="8"/>
        <v>0</v>
      </c>
      <c r="Q359" s="115">
        <f t="shared" si="9"/>
        <v>0</v>
      </c>
      <c r="R359" s="117"/>
      <c r="S359" s="117">
        <f t="shared" si="10"/>
        <v>1569700</v>
      </c>
    </row>
    <row r="360">
      <c r="A360" s="20">
        <f t="shared" si="1"/>
        <v>8</v>
      </c>
      <c r="B360" s="106">
        <v>44088.0</v>
      </c>
      <c r="C360" s="21" t="s">
        <v>124</v>
      </c>
      <c r="D360" s="124" t="str">
        <f t="shared" si="2"/>
        <v>REMMY BODES8</v>
      </c>
      <c r="E360" s="93"/>
      <c r="F360" s="93"/>
      <c r="G360" s="93"/>
      <c r="H360" s="93"/>
      <c r="I360" s="125"/>
      <c r="J360" s="126" t="str">
        <f t="shared" si="3"/>
        <v/>
      </c>
      <c r="K360" s="119">
        <v>48000.0</v>
      </c>
      <c r="L360" s="111">
        <f t="shared" si="4"/>
        <v>48000</v>
      </c>
      <c r="M360" s="127" t="str">
        <f t="shared" si="5"/>
        <v/>
      </c>
      <c r="N360" s="113">
        <f t="shared" si="6"/>
        <v>0</v>
      </c>
      <c r="O360" s="113">
        <f t="shared" si="7"/>
        <v>0</v>
      </c>
      <c r="P360" s="114">
        <f t="shared" si="8"/>
        <v>0</v>
      </c>
      <c r="Q360" s="115">
        <f t="shared" si="9"/>
        <v>0</v>
      </c>
      <c r="R360" s="117"/>
      <c r="S360" s="117">
        <f t="shared" si="10"/>
        <v>891000</v>
      </c>
    </row>
    <row r="361">
      <c r="A361" s="20">
        <f t="shared" si="1"/>
        <v>18</v>
      </c>
      <c r="B361" s="106">
        <v>44088.0</v>
      </c>
      <c r="C361" s="21" t="s">
        <v>107</v>
      </c>
      <c r="D361" s="124" t="str">
        <f t="shared" si="2"/>
        <v>BOSURU  BOSURU18</v>
      </c>
      <c r="E361" s="93"/>
      <c r="F361" s="93"/>
      <c r="G361" s="93"/>
      <c r="H361" s="93"/>
      <c r="I361" s="125"/>
      <c r="J361" s="126" t="str">
        <f t="shared" si="3"/>
        <v/>
      </c>
      <c r="K361" s="119">
        <v>48000.0</v>
      </c>
      <c r="L361" s="111">
        <f t="shared" si="4"/>
        <v>48000</v>
      </c>
      <c r="M361" s="127" t="str">
        <f t="shared" si="5"/>
        <v/>
      </c>
      <c r="N361" s="113">
        <f t="shared" si="6"/>
        <v>0</v>
      </c>
      <c r="O361" s="113">
        <f t="shared" si="7"/>
        <v>0</v>
      </c>
      <c r="P361" s="114">
        <f t="shared" si="8"/>
        <v>0</v>
      </c>
      <c r="Q361" s="115">
        <f t="shared" si="9"/>
        <v>0</v>
      </c>
      <c r="R361" s="117"/>
      <c r="S361" s="117">
        <f t="shared" si="10"/>
        <v>1617700</v>
      </c>
    </row>
    <row r="362">
      <c r="A362" s="20">
        <f t="shared" si="1"/>
        <v>8</v>
      </c>
      <c r="B362" s="106">
        <v>44088.0</v>
      </c>
      <c r="C362" s="21" t="s">
        <v>109</v>
      </c>
      <c r="D362" s="124" t="str">
        <f t="shared" si="2"/>
        <v>OTU KOKO KEIBO8</v>
      </c>
      <c r="E362" s="93"/>
      <c r="F362" s="93"/>
      <c r="G362" s="93"/>
      <c r="H362" s="93"/>
      <c r="I362" s="125"/>
      <c r="J362" s="126" t="str">
        <f t="shared" si="3"/>
        <v/>
      </c>
      <c r="K362" s="119">
        <v>56000.0</v>
      </c>
      <c r="L362" s="111">
        <f t="shared" si="4"/>
        <v>56000</v>
      </c>
      <c r="M362" s="127" t="str">
        <f t="shared" si="5"/>
        <v/>
      </c>
      <c r="N362" s="113">
        <f t="shared" si="6"/>
        <v>0</v>
      </c>
      <c r="O362" s="113">
        <f t="shared" si="7"/>
        <v>0</v>
      </c>
      <c r="P362" s="114">
        <f t="shared" si="8"/>
        <v>0</v>
      </c>
      <c r="Q362" s="115">
        <f t="shared" si="9"/>
        <v>0</v>
      </c>
      <c r="R362" s="117"/>
      <c r="S362" s="117">
        <f t="shared" si="10"/>
        <v>26165925</v>
      </c>
    </row>
    <row r="363">
      <c r="A363" s="20">
        <f t="shared" si="1"/>
        <v>10</v>
      </c>
      <c r="B363" s="106">
        <v>44088.0</v>
      </c>
      <c r="C363" s="21" t="s">
        <v>141</v>
      </c>
      <c r="D363" s="124" t="str">
        <f t="shared" si="2"/>
        <v>CORNWELL10</v>
      </c>
      <c r="E363" s="93"/>
      <c r="F363" s="93"/>
      <c r="G363" s="93"/>
      <c r="H363" s="93"/>
      <c r="I363" s="125"/>
      <c r="J363" s="126" t="str">
        <f t="shared" si="3"/>
        <v/>
      </c>
      <c r="K363" s="119">
        <v>36000.0</v>
      </c>
      <c r="L363" s="111">
        <f t="shared" si="4"/>
        <v>36000</v>
      </c>
      <c r="M363" s="127" t="str">
        <f t="shared" si="5"/>
        <v/>
      </c>
      <c r="N363" s="113">
        <f t="shared" si="6"/>
        <v>0</v>
      </c>
      <c r="O363" s="113">
        <f t="shared" si="7"/>
        <v>0</v>
      </c>
      <c r="P363" s="114">
        <f t="shared" si="8"/>
        <v>0</v>
      </c>
      <c r="Q363" s="115">
        <f t="shared" si="9"/>
        <v>0</v>
      </c>
      <c r="R363" s="117"/>
      <c r="S363" s="117">
        <f t="shared" si="10"/>
        <v>38468690</v>
      </c>
    </row>
    <row r="364">
      <c r="A364" s="20">
        <f t="shared" si="1"/>
        <v>11</v>
      </c>
      <c r="B364" s="106">
        <v>44089.0</v>
      </c>
      <c r="C364" s="21" t="s">
        <v>157</v>
      </c>
      <c r="D364" s="124" t="str">
        <f t="shared" si="2"/>
        <v>ALFRED ALABI11</v>
      </c>
      <c r="E364" s="93">
        <v>1429.0</v>
      </c>
      <c r="F364" s="93">
        <v>199.0</v>
      </c>
      <c r="G364" s="93"/>
      <c r="H364" s="93">
        <v>21.0</v>
      </c>
      <c r="I364" s="125">
        <v>0.0</v>
      </c>
      <c r="J364" s="126">
        <f t="shared" si="3"/>
        <v>837.06</v>
      </c>
      <c r="K364" s="119"/>
      <c r="L364" s="111">
        <f t="shared" si="4"/>
        <v>-1161000</v>
      </c>
      <c r="M364" s="127">
        <f t="shared" si="5"/>
        <v>9.48</v>
      </c>
      <c r="N364" s="113">
        <f t="shared" si="6"/>
        <v>21</v>
      </c>
      <c r="O364" s="113">
        <f t="shared" si="7"/>
        <v>22</v>
      </c>
      <c r="P364" s="114">
        <f t="shared" si="8"/>
        <v>0</v>
      </c>
      <c r="Q364" s="115">
        <f t="shared" si="9"/>
        <v>1387</v>
      </c>
      <c r="R364" s="117">
        <v>1161000.0</v>
      </c>
      <c r="S364" s="117">
        <f t="shared" si="10"/>
        <v>-160980</v>
      </c>
    </row>
    <row r="365">
      <c r="A365" s="20">
        <f t="shared" si="1"/>
        <v>4</v>
      </c>
      <c r="B365" s="106">
        <v>44085.0</v>
      </c>
      <c r="C365" s="21" t="s">
        <v>139</v>
      </c>
      <c r="D365" s="124" t="str">
        <f t="shared" si="2"/>
        <v>AGEGE BOY4</v>
      </c>
      <c r="E365" s="93"/>
      <c r="F365" s="93"/>
      <c r="G365" s="93"/>
      <c r="H365" s="93"/>
      <c r="I365" s="125"/>
      <c r="J365" s="126" t="str">
        <f t="shared" si="3"/>
        <v/>
      </c>
      <c r="K365" s="119">
        <v>600.0</v>
      </c>
      <c r="L365" s="111">
        <f t="shared" si="4"/>
        <v>600</v>
      </c>
      <c r="M365" s="127" t="str">
        <f t="shared" si="5"/>
        <v/>
      </c>
      <c r="N365" s="113">
        <f t="shared" si="6"/>
        <v>0</v>
      </c>
      <c r="O365" s="113">
        <f t="shared" si="7"/>
        <v>0</v>
      </c>
      <c r="P365" s="114">
        <f t="shared" si="8"/>
        <v>0</v>
      </c>
      <c r="Q365" s="115">
        <f t="shared" si="9"/>
        <v>0</v>
      </c>
      <c r="R365" s="117"/>
      <c r="S365" s="117">
        <f t="shared" si="10"/>
        <v>614880</v>
      </c>
    </row>
    <row r="366">
      <c r="A366" s="20">
        <f t="shared" si="1"/>
        <v>21</v>
      </c>
      <c r="B366" s="106">
        <v>44074.0</v>
      </c>
      <c r="C366" s="21" t="s">
        <v>117</v>
      </c>
      <c r="D366" s="124" t="str">
        <f t="shared" si="2"/>
        <v>LYDIA HNSON 21</v>
      </c>
      <c r="E366" s="93"/>
      <c r="F366" s="93"/>
      <c r="G366" s="93"/>
      <c r="H366" s="93"/>
      <c r="I366" s="125"/>
      <c r="J366" s="126" t="str">
        <f t="shared" si="3"/>
        <v/>
      </c>
      <c r="K366" s="119">
        <v>-35000.0</v>
      </c>
      <c r="L366" s="111">
        <f t="shared" si="4"/>
        <v>-35000</v>
      </c>
      <c r="M366" s="127" t="str">
        <f t="shared" si="5"/>
        <v/>
      </c>
      <c r="N366" s="113">
        <f t="shared" si="6"/>
        <v>0</v>
      </c>
      <c r="O366" s="113">
        <f t="shared" si="7"/>
        <v>0</v>
      </c>
      <c r="P366" s="114">
        <f t="shared" si="8"/>
        <v>0</v>
      </c>
      <c r="Q366" s="115">
        <f t="shared" si="9"/>
        <v>0</v>
      </c>
      <c r="R366" s="117"/>
      <c r="S366" s="117">
        <f t="shared" si="10"/>
        <v>3218640</v>
      </c>
    </row>
    <row r="367">
      <c r="A367" s="20">
        <f t="shared" si="1"/>
        <v>5</v>
      </c>
      <c r="B367" s="106">
        <v>44074.0</v>
      </c>
      <c r="C367" s="21" t="s">
        <v>139</v>
      </c>
      <c r="D367" s="124" t="str">
        <f t="shared" si="2"/>
        <v>AGEGE BOY5</v>
      </c>
      <c r="E367" s="93"/>
      <c r="F367" s="93"/>
      <c r="G367" s="93"/>
      <c r="H367" s="93"/>
      <c r="I367" s="125"/>
      <c r="J367" s="126" t="str">
        <f t="shared" si="3"/>
        <v/>
      </c>
      <c r="K367" s="119">
        <v>35000.0</v>
      </c>
      <c r="L367" s="111">
        <f t="shared" si="4"/>
        <v>35000</v>
      </c>
      <c r="M367" s="127" t="str">
        <f t="shared" si="5"/>
        <v/>
      </c>
      <c r="N367" s="113">
        <f t="shared" si="6"/>
        <v>0</v>
      </c>
      <c r="O367" s="113">
        <f t="shared" si="7"/>
        <v>0</v>
      </c>
      <c r="P367" s="114">
        <f t="shared" si="8"/>
        <v>0</v>
      </c>
      <c r="Q367" s="115">
        <f t="shared" si="9"/>
        <v>0</v>
      </c>
      <c r="R367" s="117"/>
      <c r="S367" s="117">
        <f t="shared" si="10"/>
        <v>649880</v>
      </c>
    </row>
    <row r="368">
      <c r="A368" s="20">
        <f t="shared" si="1"/>
        <v>1</v>
      </c>
      <c r="B368" s="106">
        <v>44089.0</v>
      </c>
      <c r="C368" s="21" t="s">
        <v>178</v>
      </c>
      <c r="D368" s="124" t="str">
        <f t="shared" si="2"/>
        <v>ABANG. ODI1</v>
      </c>
      <c r="E368" s="93"/>
      <c r="F368" s="93"/>
      <c r="G368" s="93"/>
      <c r="H368" s="93"/>
      <c r="I368" s="125"/>
      <c r="J368" s="126" t="str">
        <f t="shared" si="3"/>
        <v/>
      </c>
      <c r="K368" s="119">
        <v>10000.0</v>
      </c>
      <c r="L368" s="111">
        <f t="shared" si="4"/>
        <v>10000</v>
      </c>
      <c r="M368" s="127" t="str">
        <f t="shared" si="5"/>
        <v/>
      </c>
      <c r="N368" s="113">
        <f t="shared" si="6"/>
        <v>0</v>
      </c>
      <c r="O368" s="113">
        <f t="shared" si="7"/>
        <v>0</v>
      </c>
      <c r="P368" s="114">
        <f t="shared" si="8"/>
        <v>0</v>
      </c>
      <c r="Q368" s="115">
        <f t="shared" si="9"/>
        <v>0</v>
      </c>
      <c r="R368" s="117"/>
      <c r="S368" s="117">
        <f t="shared" si="10"/>
        <v>10000</v>
      </c>
    </row>
    <row r="369">
      <c r="A369" s="20">
        <f t="shared" si="1"/>
        <v>1</v>
      </c>
      <c r="B369" s="106">
        <v>44089.0</v>
      </c>
      <c r="C369" s="21" t="s">
        <v>58</v>
      </c>
      <c r="D369" s="124" t="str">
        <f t="shared" si="2"/>
        <v>ABANG. ORU1</v>
      </c>
      <c r="E369" s="93"/>
      <c r="F369" s="93"/>
      <c r="G369" s="93"/>
      <c r="H369" s="93"/>
      <c r="I369" s="125"/>
      <c r="J369" s="126" t="str">
        <f t="shared" si="3"/>
        <v/>
      </c>
      <c r="K369" s="119">
        <v>50000.0</v>
      </c>
      <c r="L369" s="111">
        <f t="shared" si="4"/>
        <v>50000</v>
      </c>
      <c r="M369" s="127" t="str">
        <f t="shared" si="5"/>
        <v/>
      </c>
      <c r="N369" s="113">
        <f t="shared" si="6"/>
        <v>0</v>
      </c>
      <c r="O369" s="113">
        <f t="shared" si="7"/>
        <v>0</v>
      </c>
      <c r="P369" s="114">
        <f t="shared" si="8"/>
        <v>0</v>
      </c>
      <c r="Q369" s="115">
        <f t="shared" si="9"/>
        <v>0</v>
      </c>
      <c r="R369" s="117"/>
      <c r="S369" s="117">
        <f t="shared" si="10"/>
        <v>50000</v>
      </c>
    </row>
    <row r="370">
      <c r="A370" s="20">
        <f t="shared" si="1"/>
        <v>14</v>
      </c>
      <c r="B370" s="106">
        <v>44089.0</v>
      </c>
      <c r="C370" s="21" t="s">
        <v>113</v>
      </c>
      <c r="D370" s="124" t="str">
        <f t="shared" si="2"/>
        <v> MAXWELL AGRO14</v>
      </c>
      <c r="E370" s="93"/>
      <c r="F370" s="93"/>
      <c r="G370" s="93"/>
      <c r="H370" s="93"/>
      <c r="I370" s="125"/>
      <c r="J370" s="126" t="str">
        <f t="shared" si="3"/>
        <v/>
      </c>
      <c r="K370" s="119">
        <v>4500.0</v>
      </c>
      <c r="L370" s="111">
        <f t="shared" si="4"/>
        <v>4500</v>
      </c>
      <c r="M370" s="127" t="str">
        <f t="shared" si="5"/>
        <v/>
      </c>
      <c r="N370" s="113">
        <f t="shared" si="6"/>
        <v>0</v>
      </c>
      <c r="O370" s="113">
        <f t="shared" si="7"/>
        <v>0</v>
      </c>
      <c r="P370" s="114">
        <f t="shared" si="8"/>
        <v>0</v>
      </c>
      <c r="Q370" s="115">
        <f t="shared" si="9"/>
        <v>0</v>
      </c>
      <c r="R370" s="117"/>
      <c r="S370" s="117">
        <f t="shared" si="10"/>
        <v>604500</v>
      </c>
    </row>
    <row r="371">
      <c r="A371" s="20">
        <f t="shared" si="1"/>
        <v>19</v>
      </c>
      <c r="B371" s="106">
        <v>44089.0</v>
      </c>
      <c r="C371" s="21" t="s">
        <v>107</v>
      </c>
      <c r="D371" s="124" t="str">
        <f t="shared" si="2"/>
        <v>BOSURU  BOSURU19</v>
      </c>
      <c r="E371" s="93"/>
      <c r="F371" s="93"/>
      <c r="G371" s="93"/>
      <c r="H371" s="93"/>
      <c r="I371" s="125"/>
      <c r="J371" s="126" t="str">
        <f t="shared" si="3"/>
        <v/>
      </c>
      <c r="K371" s="119">
        <v>750000.0</v>
      </c>
      <c r="L371" s="111">
        <f t="shared" si="4"/>
        <v>750000</v>
      </c>
      <c r="M371" s="127" t="str">
        <f t="shared" si="5"/>
        <v/>
      </c>
      <c r="N371" s="113">
        <f t="shared" si="6"/>
        <v>0</v>
      </c>
      <c r="O371" s="113">
        <f t="shared" si="7"/>
        <v>0</v>
      </c>
      <c r="P371" s="114">
        <f t="shared" si="8"/>
        <v>0</v>
      </c>
      <c r="Q371" s="115">
        <f t="shared" si="9"/>
        <v>0</v>
      </c>
      <c r="R371" s="117"/>
      <c r="S371" s="117">
        <f t="shared" si="10"/>
        <v>2367700</v>
      </c>
    </row>
    <row r="372">
      <c r="A372" s="20">
        <f t="shared" si="1"/>
        <v>9</v>
      </c>
      <c r="B372" s="106">
        <v>44089.0</v>
      </c>
      <c r="C372" s="21" t="s">
        <v>124</v>
      </c>
      <c r="D372" s="124" t="str">
        <f t="shared" si="2"/>
        <v>REMMY BODES9</v>
      </c>
      <c r="E372" s="93"/>
      <c r="F372" s="93"/>
      <c r="G372" s="93"/>
      <c r="H372" s="93"/>
      <c r="I372" s="125"/>
      <c r="J372" s="126" t="str">
        <f t="shared" si="3"/>
        <v/>
      </c>
      <c r="K372" s="119">
        <v>500000.0</v>
      </c>
      <c r="L372" s="111">
        <f t="shared" si="4"/>
        <v>500000</v>
      </c>
      <c r="M372" s="127" t="str">
        <f t="shared" si="5"/>
        <v/>
      </c>
      <c r="N372" s="113">
        <f t="shared" si="6"/>
        <v>0</v>
      </c>
      <c r="O372" s="113">
        <f t="shared" si="7"/>
        <v>0</v>
      </c>
      <c r="P372" s="114">
        <f t="shared" si="8"/>
        <v>0</v>
      </c>
      <c r="Q372" s="115">
        <f t="shared" si="9"/>
        <v>0</v>
      </c>
      <c r="R372" s="117"/>
      <c r="S372" s="117">
        <f t="shared" si="10"/>
        <v>1391000</v>
      </c>
    </row>
    <row r="373">
      <c r="A373" s="20">
        <f t="shared" si="1"/>
        <v>9</v>
      </c>
      <c r="B373" s="106">
        <v>44089.0</v>
      </c>
      <c r="C373" s="21" t="s">
        <v>169</v>
      </c>
      <c r="D373" s="124" t="str">
        <f t="shared" si="2"/>
        <v>A. D. FREDERICK9</v>
      </c>
      <c r="E373" s="93"/>
      <c r="F373" s="93"/>
      <c r="G373" s="93"/>
      <c r="H373" s="93"/>
      <c r="I373" s="125"/>
      <c r="J373" s="126" t="str">
        <f t="shared" si="3"/>
        <v/>
      </c>
      <c r="K373" s="119">
        <v>340000.0</v>
      </c>
      <c r="L373" s="111">
        <f t="shared" si="4"/>
        <v>340000</v>
      </c>
      <c r="M373" s="127" t="str">
        <f t="shared" si="5"/>
        <v/>
      </c>
      <c r="N373" s="113">
        <f t="shared" si="6"/>
        <v>0</v>
      </c>
      <c r="O373" s="113">
        <f t="shared" si="7"/>
        <v>0</v>
      </c>
      <c r="P373" s="114">
        <f t="shared" si="8"/>
        <v>0</v>
      </c>
      <c r="Q373" s="115">
        <f t="shared" si="9"/>
        <v>0</v>
      </c>
      <c r="R373" s="117"/>
      <c r="S373" s="117">
        <f t="shared" si="10"/>
        <v>1783410</v>
      </c>
    </row>
    <row r="374">
      <c r="A374" s="20">
        <f t="shared" si="1"/>
        <v>5</v>
      </c>
      <c r="B374" s="106">
        <v>44089.0</v>
      </c>
      <c r="C374" s="21" t="s">
        <v>140</v>
      </c>
      <c r="D374" s="124" t="str">
        <f t="shared" si="2"/>
        <v>PRINNESS5</v>
      </c>
      <c r="E374" s="93"/>
      <c r="F374" s="93"/>
      <c r="G374" s="93"/>
      <c r="H374" s="93"/>
      <c r="I374" s="125"/>
      <c r="J374" s="126" t="str">
        <f t="shared" si="3"/>
        <v/>
      </c>
      <c r="K374" s="119">
        <v>10000.0</v>
      </c>
      <c r="L374" s="111">
        <f t="shared" si="4"/>
        <v>10000</v>
      </c>
      <c r="M374" s="127" t="str">
        <f t="shared" si="5"/>
        <v/>
      </c>
      <c r="N374" s="113">
        <f t="shared" si="6"/>
        <v>0</v>
      </c>
      <c r="O374" s="113">
        <f t="shared" si="7"/>
        <v>0</v>
      </c>
      <c r="P374" s="114">
        <f t="shared" si="8"/>
        <v>0</v>
      </c>
      <c r="Q374" s="115">
        <f t="shared" si="9"/>
        <v>0</v>
      </c>
      <c r="R374" s="117"/>
      <c r="S374" s="117">
        <f t="shared" si="10"/>
        <v>824980</v>
      </c>
    </row>
    <row r="375">
      <c r="A375" s="20">
        <f t="shared" si="1"/>
        <v>22</v>
      </c>
      <c r="B375" s="106">
        <v>44076.0</v>
      </c>
      <c r="C375" s="21" t="s">
        <v>117</v>
      </c>
      <c r="D375" s="124" t="str">
        <f t="shared" si="2"/>
        <v>LYDIA HNSON 22</v>
      </c>
      <c r="E375" s="93">
        <v>203.0</v>
      </c>
      <c r="F375" s="93">
        <v>32.0</v>
      </c>
      <c r="G375" s="93"/>
      <c r="H375" s="93">
        <v>4.0</v>
      </c>
      <c r="I375" s="125"/>
      <c r="J375" s="126">
        <f t="shared" si="3"/>
        <v>890</v>
      </c>
      <c r="K375" s="119"/>
      <c r="L375" s="111">
        <f t="shared" si="4"/>
        <v>-177110</v>
      </c>
      <c r="M375" s="127">
        <f t="shared" si="5"/>
        <v>8</v>
      </c>
      <c r="N375" s="113">
        <f t="shared" si="6"/>
        <v>0</v>
      </c>
      <c r="O375" s="113">
        <f t="shared" si="7"/>
        <v>3</v>
      </c>
      <c r="P375" s="114">
        <f t="shared" si="8"/>
        <v>9</v>
      </c>
      <c r="Q375" s="115">
        <f t="shared" si="9"/>
        <v>199</v>
      </c>
      <c r="R375" s="117">
        <v>177110.0</v>
      </c>
      <c r="S375" s="117">
        <f t="shared" si="10"/>
        <v>3041530</v>
      </c>
    </row>
    <row r="376">
      <c r="A376" s="20">
        <f t="shared" si="1"/>
        <v>23</v>
      </c>
      <c r="B376" s="106">
        <v>44086.0</v>
      </c>
      <c r="C376" s="21" t="s">
        <v>117</v>
      </c>
      <c r="D376" s="124" t="str">
        <f t="shared" si="2"/>
        <v>LYDIA HNSON 23</v>
      </c>
      <c r="E376" s="93">
        <v>502.0</v>
      </c>
      <c r="F376" s="93">
        <v>64.0</v>
      </c>
      <c r="G376" s="93"/>
      <c r="H376" s="93">
        <v>8.0</v>
      </c>
      <c r="I376" s="125"/>
      <c r="J376" s="126">
        <f t="shared" si="3"/>
        <v>890</v>
      </c>
      <c r="K376" s="119"/>
      <c r="L376" s="111">
        <f t="shared" si="4"/>
        <v>-439660</v>
      </c>
      <c r="M376" s="127">
        <f t="shared" si="5"/>
        <v>8</v>
      </c>
      <c r="N376" s="113">
        <f t="shared" si="6"/>
        <v>0</v>
      </c>
      <c r="O376" s="113">
        <f t="shared" si="7"/>
        <v>7</v>
      </c>
      <c r="P376" s="114">
        <f t="shared" si="8"/>
        <v>53</v>
      </c>
      <c r="Q376" s="115">
        <f t="shared" si="9"/>
        <v>494</v>
      </c>
      <c r="R376" s="117">
        <v>439660.0</v>
      </c>
      <c r="S376" s="117">
        <f t="shared" si="10"/>
        <v>2601870</v>
      </c>
    </row>
    <row r="377">
      <c r="A377" s="20">
        <f t="shared" si="1"/>
        <v>24</v>
      </c>
      <c r="B377" s="106">
        <v>44088.0</v>
      </c>
      <c r="C377" s="21" t="s">
        <v>117</v>
      </c>
      <c r="D377" s="124" t="str">
        <f t="shared" si="2"/>
        <v>LYDIA HNSON 24</v>
      </c>
      <c r="E377" s="93">
        <v>179.0</v>
      </c>
      <c r="F377" s="93">
        <v>24.0</v>
      </c>
      <c r="G377" s="93"/>
      <c r="H377" s="93">
        <v>3.0</v>
      </c>
      <c r="I377" s="125"/>
      <c r="J377" s="126">
        <f t="shared" si="3"/>
        <v>890</v>
      </c>
      <c r="K377" s="119"/>
      <c r="L377" s="111">
        <f t="shared" si="4"/>
        <v>-156640</v>
      </c>
      <c r="M377" s="127">
        <f t="shared" si="5"/>
        <v>8</v>
      </c>
      <c r="N377" s="113">
        <f t="shared" si="6"/>
        <v>0</v>
      </c>
      <c r="O377" s="113">
        <f t="shared" si="7"/>
        <v>2</v>
      </c>
      <c r="P377" s="114">
        <f t="shared" si="8"/>
        <v>50</v>
      </c>
      <c r="Q377" s="115">
        <f t="shared" si="9"/>
        <v>176</v>
      </c>
      <c r="R377" s="117">
        <v>156640.0</v>
      </c>
      <c r="S377" s="117">
        <f t="shared" si="10"/>
        <v>2445230</v>
      </c>
    </row>
    <row r="378">
      <c r="A378" s="20">
        <f t="shared" si="1"/>
        <v>25</v>
      </c>
      <c r="B378" s="106">
        <v>44088.0</v>
      </c>
      <c r="C378" s="21" t="s">
        <v>117</v>
      </c>
      <c r="D378" s="124" t="str">
        <f t="shared" si="2"/>
        <v>LYDIA HNSON 25</v>
      </c>
      <c r="E378" s="93">
        <v>39.0</v>
      </c>
      <c r="F378" s="93">
        <v>8.0</v>
      </c>
      <c r="G378" s="93"/>
      <c r="H378" s="93">
        <v>1.0</v>
      </c>
      <c r="I378" s="125">
        <v>1.0</v>
      </c>
      <c r="J378" s="126">
        <f t="shared" si="3"/>
        <v>890</v>
      </c>
      <c r="K378" s="119"/>
      <c r="L378" s="111">
        <f t="shared" si="4"/>
        <v>-34710</v>
      </c>
      <c r="M378" s="127">
        <f t="shared" si="5"/>
        <v>8</v>
      </c>
      <c r="N378" s="113">
        <f t="shared" si="6"/>
        <v>0</v>
      </c>
      <c r="O378" s="113">
        <f t="shared" si="7"/>
        <v>0</v>
      </c>
      <c r="P378" s="114">
        <f t="shared" si="8"/>
        <v>39</v>
      </c>
      <c r="Q378" s="115">
        <f t="shared" si="9"/>
        <v>39</v>
      </c>
      <c r="R378" s="117">
        <v>34710.0</v>
      </c>
      <c r="S378" s="117">
        <f t="shared" si="10"/>
        <v>2410520</v>
      </c>
    </row>
    <row r="379">
      <c r="A379" s="20">
        <f t="shared" si="1"/>
        <v>15</v>
      </c>
      <c r="B379" s="106">
        <v>44089.0</v>
      </c>
      <c r="C379" s="21" t="s">
        <v>113</v>
      </c>
      <c r="D379" s="124" t="str">
        <f t="shared" si="2"/>
        <v> MAXWELL AGRO15</v>
      </c>
      <c r="E379" s="93">
        <v>668.0</v>
      </c>
      <c r="F379" s="93">
        <v>160.0</v>
      </c>
      <c r="G379" s="93"/>
      <c r="H379" s="93">
        <v>10.0</v>
      </c>
      <c r="I379" s="125"/>
      <c r="J379" s="126">
        <f t="shared" si="3"/>
        <v>2568.54</v>
      </c>
      <c r="K379" s="119"/>
      <c r="L379" s="111">
        <f t="shared" si="4"/>
        <v>-1553968</v>
      </c>
      <c r="M379" s="127">
        <f t="shared" si="5"/>
        <v>16</v>
      </c>
      <c r="N379" s="113">
        <f t="shared" si="6"/>
        <v>53</v>
      </c>
      <c r="O379" s="113">
        <f t="shared" si="7"/>
        <v>9</v>
      </c>
      <c r="P379" s="114">
        <f t="shared" si="8"/>
        <v>38</v>
      </c>
      <c r="Q379" s="115">
        <f t="shared" si="9"/>
        <v>605</v>
      </c>
      <c r="R379" s="117">
        <v>1553968.0</v>
      </c>
      <c r="S379" s="117">
        <f t="shared" si="10"/>
        <v>-949468</v>
      </c>
    </row>
    <row r="380">
      <c r="A380" s="20">
        <f t="shared" si="1"/>
        <v>6</v>
      </c>
      <c r="B380" s="106">
        <v>44089.0</v>
      </c>
      <c r="C380" s="21" t="s">
        <v>140</v>
      </c>
      <c r="D380" s="124" t="str">
        <f t="shared" si="2"/>
        <v>PRINNESS6</v>
      </c>
      <c r="E380" s="93">
        <v>324.0</v>
      </c>
      <c r="F380" s="93">
        <v>57.0</v>
      </c>
      <c r="G380" s="93"/>
      <c r="H380" s="93">
        <v>4.0</v>
      </c>
      <c r="I380" s="125"/>
      <c r="J380" s="126">
        <f t="shared" si="3"/>
        <v>1766.67</v>
      </c>
      <c r="K380" s="119"/>
      <c r="L380" s="111">
        <f t="shared" si="4"/>
        <v>-530000</v>
      </c>
      <c r="M380" s="127">
        <f t="shared" si="5"/>
        <v>14.25</v>
      </c>
      <c r="N380" s="113">
        <f t="shared" si="6"/>
        <v>20</v>
      </c>
      <c r="O380" s="113">
        <f t="shared" si="7"/>
        <v>4</v>
      </c>
      <c r="P380" s="114">
        <f t="shared" si="8"/>
        <v>48</v>
      </c>
      <c r="Q380" s="115">
        <f t="shared" si="9"/>
        <v>300</v>
      </c>
      <c r="R380" s="117">
        <v>530000.0</v>
      </c>
      <c r="S380" s="117">
        <f t="shared" si="10"/>
        <v>294980</v>
      </c>
    </row>
    <row r="381">
      <c r="A381" s="20">
        <f t="shared" si="1"/>
        <v>10</v>
      </c>
      <c r="B381" s="106">
        <v>44091.0</v>
      </c>
      <c r="C381" s="21" t="s">
        <v>125</v>
      </c>
      <c r="D381" s="124" t="str">
        <f t="shared" si="2"/>
        <v>ANDRDEW GREAT10</v>
      </c>
      <c r="E381" s="93">
        <v>1458.0</v>
      </c>
      <c r="F381" s="93">
        <v>228.5</v>
      </c>
      <c r="G381" s="93"/>
      <c r="H381" s="93">
        <v>19.0</v>
      </c>
      <c r="I381" s="125"/>
      <c r="J381" s="126">
        <f t="shared" si="3"/>
        <v>890</v>
      </c>
      <c r="K381" s="119"/>
      <c r="L381" s="111">
        <f t="shared" si="4"/>
        <v>-1229090</v>
      </c>
      <c r="M381" s="127">
        <f t="shared" si="5"/>
        <v>12.03</v>
      </c>
      <c r="N381" s="113">
        <f t="shared" si="6"/>
        <v>58</v>
      </c>
      <c r="O381" s="113">
        <f t="shared" si="7"/>
        <v>21</v>
      </c>
      <c r="P381" s="114">
        <f t="shared" si="8"/>
        <v>58</v>
      </c>
      <c r="Q381" s="115">
        <f t="shared" si="9"/>
        <v>1381</v>
      </c>
      <c r="R381" s="117">
        <v>1229090.0</v>
      </c>
      <c r="S381" s="117">
        <f t="shared" si="10"/>
        <v>1227860</v>
      </c>
    </row>
    <row r="382">
      <c r="A382" s="20">
        <f t="shared" si="1"/>
        <v>16</v>
      </c>
      <c r="B382" s="106">
        <v>44090.0</v>
      </c>
      <c r="C382" s="21" t="s">
        <v>113</v>
      </c>
      <c r="D382" s="124" t="str">
        <f t="shared" si="2"/>
        <v> MAXWELL AGRO16</v>
      </c>
      <c r="E382" s="93"/>
      <c r="F382" s="93"/>
      <c r="G382" s="93"/>
      <c r="H382" s="93"/>
      <c r="I382" s="125"/>
      <c r="J382" s="126" t="str">
        <f t="shared" si="3"/>
        <v/>
      </c>
      <c r="K382" s="119">
        <v>1553900.0</v>
      </c>
      <c r="L382" s="111">
        <f t="shared" si="4"/>
        <v>1553900</v>
      </c>
      <c r="M382" s="127" t="str">
        <f t="shared" si="5"/>
        <v/>
      </c>
      <c r="N382" s="113">
        <f t="shared" si="6"/>
        <v>0</v>
      </c>
      <c r="O382" s="113">
        <f t="shared" si="7"/>
        <v>0</v>
      </c>
      <c r="P382" s="114">
        <f t="shared" si="8"/>
        <v>0</v>
      </c>
      <c r="Q382" s="115">
        <f t="shared" si="9"/>
        <v>0</v>
      </c>
      <c r="R382" s="117"/>
      <c r="S382" s="117">
        <f t="shared" si="10"/>
        <v>604432</v>
      </c>
    </row>
    <row r="383">
      <c r="A383" s="20">
        <f t="shared" si="1"/>
        <v>12</v>
      </c>
      <c r="B383" s="106">
        <v>44090.0</v>
      </c>
      <c r="C383" s="21" t="s">
        <v>157</v>
      </c>
      <c r="D383" s="124" t="str">
        <f t="shared" si="2"/>
        <v>ALFRED ALABI12</v>
      </c>
      <c r="E383" s="93"/>
      <c r="F383" s="93"/>
      <c r="G383" s="93"/>
      <c r="H383" s="93"/>
      <c r="I383" s="125"/>
      <c r="J383" s="126" t="str">
        <f t="shared" si="3"/>
        <v/>
      </c>
      <c r="K383" s="119">
        <v>1161000.0</v>
      </c>
      <c r="L383" s="111">
        <f t="shared" si="4"/>
        <v>1161000</v>
      </c>
      <c r="M383" s="127" t="str">
        <f t="shared" si="5"/>
        <v/>
      </c>
      <c r="N383" s="113">
        <f t="shared" si="6"/>
        <v>0</v>
      </c>
      <c r="O383" s="113">
        <f t="shared" si="7"/>
        <v>0</v>
      </c>
      <c r="P383" s="114">
        <f t="shared" si="8"/>
        <v>0</v>
      </c>
      <c r="Q383" s="115">
        <f t="shared" si="9"/>
        <v>0</v>
      </c>
      <c r="R383" s="117"/>
      <c r="S383" s="117">
        <f t="shared" si="10"/>
        <v>1000020</v>
      </c>
    </row>
    <row r="384">
      <c r="A384" s="20">
        <f t="shared" si="1"/>
        <v>7</v>
      </c>
      <c r="B384" s="106">
        <v>44090.0</v>
      </c>
      <c r="C384" s="21" t="s">
        <v>110</v>
      </c>
      <c r="D384" s="124" t="str">
        <f t="shared" si="2"/>
        <v>AUGUSTINE IGBA7</v>
      </c>
      <c r="E384" s="93"/>
      <c r="F384" s="93"/>
      <c r="G384" s="93"/>
      <c r="H384" s="93"/>
      <c r="I384" s="125"/>
      <c r="J384" s="126" t="str">
        <f t="shared" si="3"/>
        <v/>
      </c>
      <c r="K384" s="119">
        <v>2000000.0</v>
      </c>
      <c r="L384" s="111">
        <f t="shared" si="4"/>
        <v>2000000</v>
      </c>
      <c r="M384" s="127" t="str">
        <f t="shared" si="5"/>
        <v/>
      </c>
      <c r="N384" s="113">
        <f t="shared" si="6"/>
        <v>0</v>
      </c>
      <c r="O384" s="113">
        <f t="shared" si="7"/>
        <v>0</v>
      </c>
      <c r="P384" s="114">
        <f t="shared" si="8"/>
        <v>0</v>
      </c>
      <c r="Q384" s="115">
        <f t="shared" si="9"/>
        <v>0</v>
      </c>
      <c r="R384" s="117"/>
      <c r="S384" s="117">
        <f t="shared" si="10"/>
        <v>29134140</v>
      </c>
    </row>
    <row r="385">
      <c r="A385" s="20">
        <f t="shared" si="1"/>
        <v>4</v>
      </c>
      <c r="B385" s="106">
        <v>44090.0</v>
      </c>
      <c r="C385" s="21" t="s">
        <v>172</v>
      </c>
      <c r="D385" s="124" t="str">
        <f t="shared" si="2"/>
        <v>NDOMA PRIN4</v>
      </c>
      <c r="E385" s="93"/>
      <c r="F385" s="93"/>
      <c r="G385" s="93"/>
      <c r="H385" s="93"/>
      <c r="I385" s="125"/>
      <c r="J385" s="126" t="str">
        <f t="shared" si="3"/>
        <v/>
      </c>
      <c r="K385" s="119">
        <v>261700.0</v>
      </c>
      <c r="L385" s="111">
        <f t="shared" si="4"/>
        <v>261700</v>
      </c>
      <c r="M385" s="127" t="str">
        <f t="shared" si="5"/>
        <v/>
      </c>
      <c r="N385" s="113">
        <f t="shared" si="6"/>
        <v>0</v>
      </c>
      <c r="O385" s="113">
        <f t="shared" si="7"/>
        <v>0</v>
      </c>
      <c r="P385" s="114">
        <f t="shared" si="8"/>
        <v>0</v>
      </c>
      <c r="Q385" s="115">
        <f t="shared" si="9"/>
        <v>0</v>
      </c>
      <c r="R385" s="117"/>
      <c r="S385" s="117">
        <f t="shared" si="10"/>
        <v>419900</v>
      </c>
    </row>
    <row r="386">
      <c r="A386" s="20">
        <f t="shared" si="1"/>
        <v>7</v>
      </c>
      <c r="B386" s="106">
        <v>44090.0</v>
      </c>
      <c r="C386" s="21" t="s">
        <v>140</v>
      </c>
      <c r="D386" s="124" t="str">
        <f t="shared" si="2"/>
        <v>PRINNESS7</v>
      </c>
      <c r="E386" s="93"/>
      <c r="F386" s="93"/>
      <c r="G386" s="93"/>
      <c r="H386" s="93"/>
      <c r="I386" s="125"/>
      <c r="J386" s="126" t="str">
        <f t="shared" si="3"/>
        <v/>
      </c>
      <c r="K386" s="119">
        <v>520000.0</v>
      </c>
      <c r="L386" s="111">
        <f t="shared" si="4"/>
        <v>520000</v>
      </c>
      <c r="M386" s="127" t="str">
        <f t="shared" si="5"/>
        <v/>
      </c>
      <c r="N386" s="113">
        <f t="shared" si="6"/>
        <v>0</v>
      </c>
      <c r="O386" s="113">
        <f t="shared" si="7"/>
        <v>0</v>
      </c>
      <c r="P386" s="114">
        <f t="shared" si="8"/>
        <v>0</v>
      </c>
      <c r="Q386" s="115">
        <f t="shared" si="9"/>
        <v>0</v>
      </c>
      <c r="R386" s="117"/>
      <c r="S386" s="117">
        <f t="shared" si="10"/>
        <v>814980</v>
      </c>
    </row>
    <row r="387">
      <c r="A387" s="20">
        <f t="shared" si="1"/>
        <v>17</v>
      </c>
      <c r="B387" s="106">
        <v>44091.0</v>
      </c>
      <c r="C387" s="21" t="s">
        <v>150</v>
      </c>
      <c r="D387" s="124" t="str">
        <f t="shared" si="2"/>
        <v>LIVINUS17</v>
      </c>
      <c r="E387" s="93"/>
      <c r="F387" s="93"/>
      <c r="G387" s="93"/>
      <c r="H387" s="93"/>
      <c r="I387" s="125"/>
      <c r="J387" s="126" t="str">
        <f t="shared" si="3"/>
        <v/>
      </c>
      <c r="K387" s="119">
        <v>1060000.0</v>
      </c>
      <c r="L387" s="111">
        <f t="shared" si="4"/>
        <v>1060000</v>
      </c>
      <c r="M387" s="127" t="str">
        <f t="shared" si="5"/>
        <v/>
      </c>
      <c r="N387" s="113">
        <f t="shared" si="6"/>
        <v>0</v>
      </c>
      <c r="O387" s="113">
        <f t="shared" si="7"/>
        <v>0</v>
      </c>
      <c r="P387" s="114">
        <f t="shared" si="8"/>
        <v>0</v>
      </c>
      <c r="Q387" s="115">
        <f t="shared" si="9"/>
        <v>0</v>
      </c>
      <c r="R387" s="117"/>
      <c r="S387" s="117">
        <f t="shared" si="10"/>
        <v>10414500</v>
      </c>
    </row>
    <row r="388">
      <c r="A388" s="20">
        <f t="shared" si="1"/>
        <v>11</v>
      </c>
      <c r="B388" s="106">
        <v>44091.0</v>
      </c>
      <c r="C388" s="21" t="s">
        <v>125</v>
      </c>
      <c r="D388" s="124" t="str">
        <f t="shared" si="2"/>
        <v>ANDRDEW GREAT11</v>
      </c>
      <c r="E388" s="93"/>
      <c r="F388" s="93"/>
      <c r="G388" s="93"/>
      <c r="H388" s="93"/>
      <c r="I388" s="125"/>
      <c r="J388" s="126" t="str">
        <f t="shared" si="3"/>
        <v/>
      </c>
      <c r="K388" s="119">
        <v>1229000.0</v>
      </c>
      <c r="L388" s="111">
        <f t="shared" si="4"/>
        <v>1229000</v>
      </c>
      <c r="M388" s="127" t="str">
        <f t="shared" si="5"/>
        <v/>
      </c>
      <c r="N388" s="113">
        <f t="shared" si="6"/>
        <v>0</v>
      </c>
      <c r="O388" s="113">
        <f t="shared" si="7"/>
        <v>0</v>
      </c>
      <c r="P388" s="114">
        <f t="shared" si="8"/>
        <v>0</v>
      </c>
      <c r="Q388" s="115">
        <f t="shared" si="9"/>
        <v>0</v>
      </c>
      <c r="R388" s="117"/>
      <c r="S388" s="117">
        <f t="shared" si="10"/>
        <v>2456860</v>
      </c>
    </row>
    <row r="389">
      <c r="A389" s="20">
        <f t="shared" si="1"/>
        <v>18</v>
      </c>
      <c r="B389" s="106">
        <v>44091.0</v>
      </c>
      <c r="C389" s="21" t="s">
        <v>146</v>
      </c>
      <c r="D389" s="124" t="str">
        <f t="shared" si="2"/>
        <v>CONNECT18</v>
      </c>
      <c r="E389" s="93"/>
      <c r="F389" s="93"/>
      <c r="G389" s="93"/>
      <c r="H389" s="93"/>
      <c r="I389" s="125"/>
      <c r="J389" s="126" t="str">
        <f t="shared" si="3"/>
        <v/>
      </c>
      <c r="K389" s="119">
        <v>1000000.0</v>
      </c>
      <c r="L389" s="111">
        <f t="shared" si="4"/>
        <v>1000000</v>
      </c>
      <c r="M389" s="127" t="str">
        <f t="shared" si="5"/>
        <v/>
      </c>
      <c r="N389" s="113">
        <f t="shared" si="6"/>
        <v>0</v>
      </c>
      <c r="O389" s="113">
        <f t="shared" si="7"/>
        <v>0</v>
      </c>
      <c r="P389" s="114">
        <f t="shared" si="8"/>
        <v>0</v>
      </c>
      <c r="Q389" s="115">
        <f t="shared" si="9"/>
        <v>0</v>
      </c>
      <c r="R389" s="117"/>
      <c r="S389" s="117">
        <f t="shared" si="10"/>
        <v>4007450</v>
      </c>
    </row>
    <row r="390">
      <c r="A390" s="20">
        <f t="shared" si="1"/>
        <v>26</v>
      </c>
      <c r="B390" s="106">
        <v>44092.0</v>
      </c>
      <c r="C390" s="21" t="s">
        <v>117</v>
      </c>
      <c r="D390" s="124" t="str">
        <f t="shared" si="2"/>
        <v>LYDIA HNSON 26</v>
      </c>
      <c r="E390" s="93"/>
      <c r="F390" s="93"/>
      <c r="G390" s="93"/>
      <c r="H390" s="93"/>
      <c r="I390" s="125"/>
      <c r="J390" s="126" t="str">
        <f t="shared" si="3"/>
        <v/>
      </c>
      <c r="K390" s="119">
        <v>2000000.0</v>
      </c>
      <c r="L390" s="111">
        <f t="shared" si="4"/>
        <v>2000000</v>
      </c>
      <c r="M390" s="127" t="str">
        <f t="shared" si="5"/>
        <v/>
      </c>
      <c r="N390" s="113">
        <f t="shared" si="6"/>
        <v>0</v>
      </c>
      <c r="O390" s="113">
        <f t="shared" si="7"/>
        <v>0</v>
      </c>
      <c r="P390" s="114">
        <f t="shared" si="8"/>
        <v>0</v>
      </c>
      <c r="Q390" s="115">
        <f t="shared" si="9"/>
        <v>0</v>
      </c>
      <c r="R390" s="117"/>
      <c r="S390" s="117">
        <f t="shared" si="10"/>
        <v>4410520</v>
      </c>
    </row>
    <row r="391">
      <c r="A391" s="20">
        <f t="shared" si="1"/>
        <v>27</v>
      </c>
      <c r="B391" s="106">
        <v>44092.0</v>
      </c>
      <c r="C391" s="21" t="s">
        <v>117</v>
      </c>
      <c r="D391" s="124" t="str">
        <f t="shared" si="2"/>
        <v>LYDIA HNSON 27</v>
      </c>
      <c r="E391" s="93"/>
      <c r="F391" s="93"/>
      <c r="G391" s="93"/>
      <c r="H391" s="93"/>
      <c r="I391" s="125"/>
      <c r="J391" s="126" t="str">
        <f t="shared" si="3"/>
        <v/>
      </c>
      <c r="K391" s="119">
        <v>300000.0</v>
      </c>
      <c r="L391" s="111">
        <f t="shared" si="4"/>
        <v>300000</v>
      </c>
      <c r="M391" s="127" t="str">
        <f t="shared" si="5"/>
        <v/>
      </c>
      <c r="N391" s="113">
        <f t="shared" si="6"/>
        <v>0</v>
      </c>
      <c r="O391" s="113">
        <f t="shared" si="7"/>
        <v>0</v>
      </c>
      <c r="P391" s="114">
        <f t="shared" si="8"/>
        <v>0</v>
      </c>
      <c r="Q391" s="115">
        <f t="shared" si="9"/>
        <v>0</v>
      </c>
      <c r="R391" s="117"/>
      <c r="S391" s="117">
        <f t="shared" si="10"/>
        <v>4710520</v>
      </c>
    </row>
    <row r="392">
      <c r="A392" s="20">
        <f t="shared" si="1"/>
        <v>3</v>
      </c>
      <c r="B392" s="106">
        <v>44092.0</v>
      </c>
      <c r="C392" s="21" t="s">
        <v>174</v>
      </c>
      <c r="D392" s="124" t="str">
        <f t="shared" si="2"/>
        <v>ZULU 3</v>
      </c>
      <c r="E392" s="93"/>
      <c r="F392" s="93"/>
      <c r="G392" s="93"/>
      <c r="H392" s="93"/>
      <c r="I392" s="125"/>
      <c r="J392" s="126" t="str">
        <f t="shared" si="3"/>
        <v/>
      </c>
      <c r="K392" s="119">
        <v>275000.0</v>
      </c>
      <c r="L392" s="111">
        <f t="shared" si="4"/>
        <v>275000</v>
      </c>
      <c r="M392" s="127" t="str">
        <f t="shared" si="5"/>
        <v/>
      </c>
      <c r="N392" s="113">
        <f t="shared" si="6"/>
        <v>0</v>
      </c>
      <c r="O392" s="113">
        <f t="shared" si="7"/>
        <v>0</v>
      </c>
      <c r="P392" s="114">
        <f t="shared" si="8"/>
        <v>0</v>
      </c>
      <c r="Q392" s="115">
        <f t="shared" si="9"/>
        <v>0</v>
      </c>
      <c r="R392" s="117"/>
      <c r="S392" s="117">
        <f t="shared" si="10"/>
        <v>479000</v>
      </c>
    </row>
    <row r="393">
      <c r="A393" s="20">
        <f t="shared" si="1"/>
        <v>9</v>
      </c>
      <c r="B393" s="106">
        <v>44092.0</v>
      </c>
      <c r="C393" s="21" t="s">
        <v>109</v>
      </c>
      <c r="D393" s="124" t="str">
        <f t="shared" si="2"/>
        <v>OTU KOKO KEIBO9</v>
      </c>
      <c r="E393" s="93"/>
      <c r="F393" s="93"/>
      <c r="G393" s="93"/>
      <c r="H393" s="93"/>
      <c r="I393" s="125"/>
      <c r="J393" s="126" t="str">
        <f t="shared" si="3"/>
        <v/>
      </c>
      <c r="K393" s="119">
        <v>20500.0</v>
      </c>
      <c r="L393" s="111">
        <f t="shared" si="4"/>
        <v>20500</v>
      </c>
      <c r="M393" s="127" t="str">
        <f t="shared" si="5"/>
        <v/>
      </c>
      <c r="N393" s="113">
        <f t="shared" si="6"/>
        <v>0</v>
      </c>
      <c r="O393" s="113">
        <f t="shared" si="7"/>
        <v>0</v>
      </c>
      <c r="P393" s="114">
        <f t="shared" si="8"/>
        <v>0</v>
      </c>
      <c r="Q393" s="115">
        <f t="shared" si="9"/>
        <v>0</v>
      </c>
      <c r="R393" s="117"/>
      <c r="S393" s="117">
        <f t="shared" si="10"/>
        <v>26186425</v>
      </c>
    </row>
    <row r="394">
      <c r="A394" s="20">
        <f t="shared" si="1"/>
        <v>10</v>
      </c>
      <c r="B394" s="106">
        <v>44092.0</v>
      </c>
      <c r="C394" s="21" t="s">
        <v>109</v>
      </c>
      <c r="D394" s="124" t="str">
        <f t="shared" si="2"/>
        <v>OTU KOKO KEIBO10</v>
      </c>
      <c r="E394" s="93"/>
      <c r="F394" s="93"/>
      <c r="G394" s="93"/>
      <c r="H394" s="93"/>
      <c r="I394" s="125"/>
      <c r="J394" s="126" t="str">
        <f t="shared" si="3"/>
        <v/>
      </c>
      <c r="K394" s="119">
        <v>116000.0</v>
      </c>
      <c r="L394" s="111">
        <f t="shared" si="4"/>
        <v>116000</v>
      </c>
      <c r="M394" s="127" t="str">
        <f t="shared" si="5"/>
        <v/>
      </c>
      <c r="N394" s="113">
        <f t="shared" si="6"/>
        <v>0</v>
      </c>
      <c r="O394" s="113">
        <f t="shared" si="7"/>
        <v>0</v>
      </c>
      <c r="P394" s="114">
        <f t="shared" si="8"/>
        <v>0</v>
      </c>
      <c r="Q394" s="115">
        <f t="shared" si="9"/>
        <v>0</v>
      </c>
      <c r="R394" s="117"/>
      <c r="S394" s="117">
        <f t="shared" si="10"/>
        <v>26302425</v>
      </c>
    </row>
    <row r="395">
      <c r="A395" s="20">
        <f t="shared" si="1"/>
        <v>3</v>
      </c>
      <c r="B395" s="106">
        <v>44092.0</v>
      </c>
      <c r="C395" s="21" t="s">
        <v>166</v>
      </c>
      <c r="D395" s="124" t="str">
        <f t="shared" si="2"/>
        <v>ABANG. DUNLOP3</v>
      </c>
      <c r="E395" s="93"/>
      <c r="F395" s="93"/>
      <c r="G395" s="93"/>
      <c r="H395" s="93"/>
      <c r="I395" s="125"/>
      <c r="J395" s="126" t="str">
        <f t="shared" si="3"/>
        <v/>
      </c>
      <c r="K395" s="119">
        <v>500000.0</v>
      </c>
      <c r="L395" s="111">
        <f t="shared" si="4"/>
        <v>500000</v>
      </c>
      <c r="M395" s="127" t="str">
        <f t="shared" si="5"/>
        <v/>
      </c>
      <c r="N395" s="113">
        <f t="shared" si="6"/>
        <v>0</v>
      </c>
      <c r="O395" s="113">
        <f t="shared" si="7"/>
        <v>0</v>
      </c>
      <c r="P395" s="114">
        <f t="shared" si="8"/>
        <v>0</v>
      </c>
      <c r="Q395" s="115">
        <f t="shared" si="9"/>
        <v>0</v>
      </c>
      <c r="R395" s="117"/>
      <c r="S395" s="117">
        <f t="shared" si="10"/>
        <v>500000</v>
      </c>
    </row>
    <row r="396">
      <c r="A396" s="20">
        <f t="shared" si="1"/>
        <v>19</v>
      </c>
      <c r="B396" s="106">
        <v>44093.0</v>
      </c>
      <c r="C396" s="21" t="s">
        <v>146</v>
      </c>
      <c r="D396" s="124" t="str">
        <f t="shared" si="2"/>
        <v>CONNECT19</v>
      </c>
      <c r="E396" s="93">
        <v>1907.0</v>
      </c>
      <c r="F396" s="93">
        <v>232.0</v>
      </c>
      <c r="G396" s="93"/>
      <c r="H396" s="93">
        <v>29.0</v>
      </c>
      <c r="I396" s="125"/>
      <c r="J396" s="126">
        <f t="shared" si="3"/>
        <v>900</v>
      </c>
      <c r="K396" s="119"/>
      <c r="L396" s="111">
        <f t="shared" si="4"/>
        <v>-1690200</v>
      </c>
      <c r="M396" s="127">
        <f t="shared" si="5"/>
        <v>8</v>
      </c>
      <c r="N396" s="113">
        <f t="shared" si="6"/>
        <v>0</v>
      </c>
      <c r="O396" s="113">
        <f t="shared" si="7"/>
        <v>29</v>
      </c>
      <c r="P396" s="114">
        <f t="shared" si="8"/>
        <v>51</v>
      </c>
      <c r="Q396" s="115">
        <f t="shared" si="9"/>
        <v>1878</v>
      </c>
      <c r="R396" s="117">
        <v>1690200.0</v>
      </c>
      <c r="S396" s="117">
        <f t="shared" si="10"/>
        <v>2317250</v>
      </c>
    </row>
    <row r="397">
      <c r="A397" s="20">
        <f t="shared" si="1"/>
        <v>3</v>
      </c>
      <c r="B397" s="106">
        <v>44093.0</v>
      </c>
      <c r="C397" s="21" t="s">
        <v>105</v>
      </c>
      <c r="D397" s="124" t="str">
        <f t="shared" si="2"/>
        <v>OSIM MARIAM3</v>
      </c>
      <c r="E397" s="93"/>
      <c r="F397" s="93"/>
      <c r="G397" s="93"/>
      <c r="H397" s="93"/>
      <c r="I397" s="125"/>
      <c r="J397" s="126" t="str">
        <f t="shared" si="3"/>
        <v/>
      </c>
      <c r="K397" s="119">
        <v>50000.0</v>
      </c>
      <c r="L397" s="111">
        <f t="shared" si="4"/>
        <v>50000</v>
      </c>
      <c r="M397" s="127" t="str">
        <f t="shared" si="5"/>
        <v/>
      </c>
      <c r="N397" s="113">
        <f t="shared" si="6"/>
        <v>0</v>
      </c>
      <c r="O397" s="113">
        <f t="shared" si="7"/>
        <v>0</v>
      </c>
      <c r="P397" s="114">
        <f t="shared" si="8"/>
        <v>0</v>
      </c>
      <c r="Q397" s="115">
        <f t="shared" si="9"/>
        <v>0</v>
      </c>
      <c r="R397" s="117"/>
      <c r="S397" s="117">
        <f t="shared" si="10"/>
        <v>700000</v>
      </c>
    </row>
    <row r="398">
      <c r="A398" s="20">
        <f t="shared" si="1"/>
        <v>4</v>
      </c>
      <c r="B398" s="106">
        <v>44095.0</v>
      </c>
      <c r="C398" s="21" t="s">
        <v>105</v>
      </c>
      <c r="D398" s="124" t="str">
        <f t="shared" si="2"/>
        <v>OSIM MARIAM4</v>
      </c>
      <c r="E398" s="93"/>
      <c r="F398" s="93"/>
      <c r="G398" s="93"/>
      <c r="H398" s="93"/>
      <c r="I398" s="125"/>
      <c r="J398" s="126" t="str">
        <f t="shared" si="3"/>
        <v/>
      </c>
      <c r="K398" s="119">
        <v>500000.0</v>
      </c>
      <c r="L398" s="111">
        <f t="shared" si="4"/>
        <v>500000</v>
      </c>
      <c r="M398" s="127" t="str">
        <f t="shared" si="5"/>
        <v/>
      </c>
      <c r="N398" s="113">
        <f t="shared" si="6"/>
        <v>0</v>
      </c>
      <c r="O398" s="113">
        <f t="shared" si="7"/>
        <v>0</v>
      </c>
      <c r="P398" s="114">
        <f t="shared" si="8"/>
        <v>0</v>
      </c>
      <c r="Q398" s="115">
        <f t="shared" si="9"/>
        <v>0</v>
      </c>
      <c r="R398" s="117"/>
      <c r="S398" s="117">
        <f t="shared" si="10"/>
        <v>1200000</v>
      </c>
    </row>
    <row r="399">
      <c r="A399" s="20">
        <f t="shared" si="1"/>
        <v>7</v>
      </c>
      <c r="B399" s="106">
        <v>44095.0</v>
      </c>
      <c r="C399" s="21" t="s">
        <v>165</v>
      </c>
      <c r="D399" s="124" t="str">
        <f t="shared" si="2"/>
        <v>EUGENE7</v>
      </c>
      <c r="E399" s="93"/>
      <c r="F399" s="93"/>
      <c r="G399" s="93"/>
      <c r="H399" s="93"/>
      <c r="I399" s="125"/>
      <c r="J399" s="126" t="str">
        <f t="shared" si="3"/>
        <v/>
      </c>
      <c r="K399" s="119">
        <v>600000.0</v>
      </c>
      <c r="L399" s="111">
        <f t="shared" si="4"/>
        <v>600000</v>
      </c>
      <c r="M399" s="127" t="str">
        <f t="shared" si="5"/>
        <v/>
      </c>
      <c r="N399" s="113">
        <f t="shared" si="6"/>
        <v>0</v>
      </c>
      <c r="O399" s="113">
        <f t="shared" si="7"/>
        <v>0</v>
      </c>
      <c r="P399" s="114">
        <f t="shared" si="8"/>
        <v>0</v>
      </c>
      <c r="Q399" s="115">
        <f t="shared" si="9"/>
        <v>0</v>
      </c>
      <c r="R399" s="117"/>
      <c r="S399" s="117">
        <f t="shared" si="10"/>
        <v>1650000</v>
      </c>
    </row>
    <row r="400">
      <c r="A400" s="20">
        <f t="shared" si="1"/>
        <v>11</v>
      </c>
      <c r="B400" s="106">
        <v>44095.0</v>
      </c>
      <c r="C400" s="21" t="s">
        <v>109</v>
      </c>
      <c r="D400" s="124" t="str">
        <f t="shared" si="2"/>
        <v>OTU KOKO KEIBO11</v>
      </c>
      <c r="E400" s="93"/>
      <c r="F400" s="93"/>
      <c r="G400" s="93"/>
      <c r="H400" s="93"/>
      <c r="I400" s="125"/>
      <c r="J400" s="126" t="str">
        <f t="shared" si="3"/>
        <v/>
      </c>
      <c r="K400" s="119">
        <v>200000.0</v>
      </c>
      <c r="L400" s="111">
        <f t="shared" si="4"/>
        <v>200000</v>
      </c>
      <c r="M400" s="127" t="str">
        <f t="shared" si="5"/>
        <v/>
      </c>
      <c r="N400" s="113">
        <f t="shared" si="6"/>
        <v>0</v>
      </c>
      <c r="O400" s="113">
        <f t="shared" si="7"/>
        <v>0</v>
      </c>
      <c r="P400" s="114">
        <f t="shared" si="8"/>
        <v>0</v>
      </c>
      <c r="Q400" s="115">
        <f t="shared" si="9"/>
        <v>0</v>
      </c>
      <c r="R400" s="117"/>
      <c r="S400" s="117">
        <f t="shared" si="10"/>
        <v>26502425</v>
      </c>
    </row>
    <row r="401">
      <c r="A401" s="20">
        <f t="shared" si="1"/>
        <v>20</v>
      </c>
      <c r="B401" s="106">
        <v>44096.0</v>
      </c>
      <c r="C401" s="21" t="s">
        <v>146</v>
      </c>
      <c r="D401" s="124" t="str">
        <f t="shared" si="2"/>
        <v>CONNECT20</v>
      </c>
      <c r="E401" s="93"/>
      <c r="F401" s="93"/>
      <c r="G401" s="93"/>
      <c r="H401" s="93"/>
      <c r="I401" s="125"/>
      <c r="J401" s="126" t="str">
        <f t="shared" si="3"/>
        <v/>
      </c>
      <c r="K401" s="119">
        <v>4000000.0</v>
      </c>
      <c r="L401" s="111">
        <f t="shared" si="4"/>
        <v>4000000</v>
      </c>
      <c r="M401" s="127" t="str">
        <f t="shared" si="5"/>
        <v/>
      </c>
      <c r="N401" s="113">
        <f t="shared" si="6"/>
        <v>0</v>
      </c>
      <c r="O401" s="113">
        <f t="shared" si="7"/>
        <v>0</v>
      </c>
      <c r="P401" s="114">
        <f t="shared" si="8"/>
        <v>0</v>
      </c>
      <c r="Q401" s="115">
        <f t="shared" si="9"/>
        <v>0</v>
      </c>
      <c r="R401" s="117"/>
      <c r="S401" s="117">
        <f t="shared" si="10"/>
        <v>6317250</v>
      </c>
    </row>
    <row r="402">
      <c r="A402" s="20">
        <f t="shared" si="1"/>
        <v>2</v>
      </c>
      <c r="B402" s="106">
        <v>44096.0</v>
      </c>
      <c r="C402" s="21" t="s">
        <v>145</v>
      </c>
      <c r="D402" s="124" t="str">
        <f t="shared" si="2"/>
        <v>COLLABS2</v>
      </c>
      <c r="E402" s="93"/>
      <c r="F402" s="93"/>
      <c r="G402" s="93"/>
      <c r="H402" s="93"/>
      <c r="I402" s="125"/>
      <c r="J402" s="126" t="str">
        <f t="shared" si="3"/>
        <v/>
      </c>
      <c r="K402" s="119">
        <v>200000.0</v>
      </c>
      <c r="L402" s="111">
        <f t="shared" si="4"/>
        <v>200000</v>
      </c>
      <c r="M402" s="127" t="str">
        <f t="shared" si="5"/>
        <v/>
      </c>
      <c r="N402" s="113">
        <f t="shared" si="6"/>
        <v>0</v>
      </c>
      <c r="O402" s="113">
        <f t="shared" si="7"/>
        <v>0</v>
      </c>
      <c r="P402" s="114">
        <f t="shared" si="8"/>
        <v>0</v>
      </c>
      <c r="Q402" s="115">
        <f t="shared" si="9"/>
        <v>0</v>
      </c>
      <c r="R402" s="117"/>
      <c r="S402" s="117">
        <f t="shared" si="10"/>
        <v>420000</v>
      </c>
    </row>
    <row r="403">
      <c r="A403" s="20">
        <f t="shared" si="1"/>
        <v>8</v>
      </c>
      <c r="B403" s="106">
        <v>44096.0</v>
      </c>
      <c r="C403" s="21" t="s">
        <v>25</v>
      </c>
      <c r="D403" s="124" t="str">
        <f t="shared" si="2"/>
        <v>KARIEN EBAN8</v>
      </c>
      <c r="E403" s="93"/>
      <c r="F403" s="93"/>
      <c r="G403" s="93"/>
      <c r="H403" s="93"/>
      <c r="I403" s="125"/>
      <c r="J403" s="126" t="str">
        <f t="shared" si="3"/>
        <v/>
      </c>
      <c r="K403" s="119">
        <v>5000.0</v>
      </c>
      <c r="L403" s="111">
        <f t="shared" si="4"/>
        <v>5000</v>
      </c>
      <c r="M403" s="127" t="str">
        <f t="shared" si="5"/>
        <v/>
      </c>
      <c r="N403" s="113">
        <f t="shared" si="6"/>
        <v>0</v>
      </c>
      <c r="O403" s="113">
        <f t="shared" si="7"/>
        <v>0</v>
      </c>
      <c r="P403" s="114">
        <f t="shared" si="8"/>
        <v>0</v>
      </c>
      <c r="Q403" s="115">
        <f t="shared" si="9"/>
        <v>0</v>
      </c>
      <c r="R403" s="117"/>
      <c r="S403" s="117">
        <f t="shared" si="10"/>
        <v>3004810</v>
      </c>
    </row>
    <row r="404">
      <c r="A404" s="20">
        <f t="shared" si="1"/>
        <v>5</v>
      </c>
      <c r="B404" s="106">
        <v>44096.0</v>
      </c>
      <c r="C404" s="21" t="s">
        <v>172</v>
      </c>
      <c r="D404" s="124" t="str">
        <f t="shared" si="2"/>
        <v>NDOMA PRIN5</v>
      </c>
      <c r="E404" s="93"/>
      <c r="F404" s="93"/>
      <c r="G404" s="93"/>
      <c r="H404" s="93"/>
      <c r="I404" s="125"/>
      <c r="J404" s="126" t="str">
        <f t="shared" si="3"/>
        <v/>
      </c>
      <c r="K404" s="119">
        <v>456000.0</v>
      </c>
      <c r="L404" s="111">
        <f t="shared" si="4"/>
        <v>456000</v>
      </c>
      <c r="M404" s="127" t="str">
        <f t="shared" si="5"/>
        <v/>
      </c>
      <c r="N404" s="113">
        <f t="shared" si="6"/>
        <v>0</v>
      </c>
      <c r="O404" s="113">
        <f t="shared" si="7"/>
        <v>0</v>
      </c>
      <c r="P404" s="114">
        <f t="shared" si="8"/>
        <v>0</v>
      </c>
      <c r="Q404" s="115">
        <f t="shared" si="9"/>
        <v>0</v>
      </c>
      <c r="R404" s="117"/>
      <c r="S404" s="117">
        <f t="shared" si="10"/>
        <v>875900</v>
      </c>
    </row>
    <row r="405">
      <c r="A405" s="20">
        <f t="shared" si="1"/>
        <v>3</v>
      </c>
      <c r="B405" s="106">
        <v>44096.0</v>
      </c>
      <c r="C405" s="21" t="s">
        <v>143</v>
      </c>
      <c r="D405" s="124" t="str">
        <f t="shared" si="2"/>
        <v>MAXWELL AGRO PRIN3</v>
      </c>
      <c r="E405" s="93"/>
      <c r="F405" s="93"/>
      <c r="G405" s="93"/>
      <c r="H405" s="93"/>
      <c r="I405" s="125"/>
      <c r="J405" s="126" t="str">
        <f t="shared" si="3"/>
        <v/>
      </c>
      <c r="K405" s="119">
        <v>10000.0</v>
      </c>
      <c r="L405" s="111">
        <f t="shared" si="4"/>
        <v>10000</v>
      </c>
      <c r="M405" s="127" t="str">
        <f t="shared" si="5"/>
        <v/>
      </c>
      <c r="N405" s="113">
        <f t="shared" si="6"/>
        <v>0</v>
      </c>
      <c r="O405" s="113">
        <f t="shared" si="7"/>
        <v>0</v>
      </c>
      <c r="P405" s="114">
        <f t="shared" si="8"/>
        <v>0</v>
      </c>
      <c r="Q405" s="115">
        <f t="shared" si="9"/>
        <v>0</v>
      </c>
      <c r="R405" s="117"/>
      <c r="S405" s="117">
        <f t="shared" si="10"/>
        <v>340000</v>
      </c>
    </row>
    <row r="406">
      <c r="A406" s="20">
        <f t="shared" si="1"/>
        <v>18</v>
      </c>
      <c r="B406" s="106">
        <v>44096.0</v>
      </c>
      <c r="C406" s="21" t="s">
        <v>150</v>
      </c>
      <c r="D406" s="124" t="str">
        <f t="shared" si="2"/>
        <v>LIVINUS18</v>
      </c>
      <c r="E406" s="93"/>
      <c r="F406" s="93"/>
      <c r="G406" s="93"/>
      <c r="H406" s="93"/>
      <c r="I406" s="125"/>
      <c r="J406" s="126" t="str">
        <f t="shared" si="3"/>
        <v/>
      </c>
      <c r="K406" s="119">
        <v>367000.0</v>
      </c>
      <c r="L406" s="111">
        <f t="shared" si="4"/>
        <v>367000</v>
      </c>
      <c r="M406" s="127" t="str">
        <f t="shared" si="5"/>
        <v/>
      </c>
      <c r="N406" s="113">
        <f t="shared" si="6"/>
        <v>0</v>
      </c>
      <c r="O406" s="113">
        <f t="shared" si="7"/>
        <v>0</v>
      </c>
      <c r="P406" s="114">
        <f t="shared" si="8"/>
        <v>0</v>
      </c>
      <c r="Q406" s="115">
        <f t="shared" si="9"/>
        <v>0</v>
      </c>
      <c r="R406" s="117"/>
      <c r="S406" s="117">
        <f t="shared" si="10"/>
        <v>10781500</v>
      </c>
    </row>
    <row r="407">
      <c r="A407" s="20">
        <f t="shared" si="1"/>
        <v>13</v>
      </c>
      <c r="B407" s="106">
        <v>44096.0</v>
      </c>
      <c r="C407" s="21" t="s">
        <v>46</v>
      </c>
      <c r="D407" s="124" t="str">
        <f t="shared" si="2"/>
        <v>ETUK EFFI13</v>
      </c>
      <c r="E407" s="93"/>
      <c r="F407" s="93"/>
      <c r="G407" s="93"/>
      <c r="H407" s="93"/>
      <c r="I407" s="125"/>
      <c r="J407" s="126" t="str">
        <f t="shared" si="3"/>
        <v/>
      </c>
      <c r="K407" s="119">
        <v>1500000.0</v>
      </c>
      <c r="L407" s="111">
        <f t="shared" si="4"/>
        <v>1500000</v>
      </c>
      <c r="M407" s="127" t="str">
        <f t="shared" si="5"/>
        <v/>
      </c>
      <c r="N407" s="113">
        <f t="shared" si="6"/>
        <v>0</v>
      </c>
      <c r="O407" s="113">
        <f t="shared" si="7"/>
        <v>0</v>
      </c>
      <c r="P407" s="114">
        <f t="shared" si="8"/>
        <v>0</v>
      </c>
      <c r="Q407" s="115">
        <f t="shared" si="9"/>
        <v>0</v>
      </c>
      <c r="R407" s="117"/>
      <c r="S407" s="117">
        <f t="shared" si="10"/>
        <v>3000000</v>
      </c>
    </row>
    <row r="408">
      <c r="A408" s="20">
        <f t="shared" si="1"/>
        <v>15</v>
      </c>
      <c r="B408" s="106">
        <v>44096.0</v>
      </c>
      <c r="C408" s="21" t="s">
        <v>126</v>
      </c>
      <c r="D408" s="124" t="str">
        <f t="shared" si="2"/>
        <v>NDOMA BODE I.D15</v>
      </c>
      <c r="E408" s="93"/>
      <c r="F408" s="93"/>
      <c r="G408" s="93"/>
      <c r="H408" s="93"/>
      <c r="I408" s="125"/>
      <c r="J408" s="126" t="str">
        <f t="shared" si="3"/>
        <v/>
      </c>
      <c r="K408" s="119">
        <v>500000.0</v>
      </c>
      <c r="L408" s="111">
        <f t="shared" si="4"/>
        <v>500000</v>
      </c>
      <c r="M408" s="127" t="str">
        <f t="shared" si="5"/>
        <v/>
      </c>
      <c r="N408" s="113">
        <f t="shared" si="6"/>
        <v>0</v>
      </c>
      <c r="O408" s="113">
        <f t="shared" si="7"/>
        <v>0</v>
      </c>
      <c r="P408" s="114">
        <f t="shared" si="8"/>
        <v>0</v>
      </c>
      <c r="Q408" s="115">
        <f t="shared" si="9"/>
        <v>0</v>
      </c>
      <c r="R408" s="117"/>
      <c r="S408" s="117">
        <f t="shared" si="10"/>
        <v>1499940</v>
      </c>
    </row>
    <row r="409">
      <c r="A409" s="20">
        <f t="shared" si="1"/>
        <v>10</v>
      </c>
      <c r="B409" s="106">
        <v>44097.0</v>
      </c>
      <c r="C409" s="21" t="s">
        <v>169</v>
      </c>
      <c r="D409" s="124" t="str">
        <f t="shared" si="2"/>
        <v>A. D. FREDERICK10</v>
      </c>
      <c r="E409" s="93"/>
      <c r="F409" s="93"/>
      <c r="G409" s="93"/>
      <c r="H409" s="93"/>
      <c r="I409" s="125"/>
      <c r="J409" s="126" t="str">
        <f t="shared" si="3"/>
        <v/>
      </c>
      <c r="K409" s="119">
        <v>1824000.0</v>
      </c>
      <c r="L409" s="111">
        <f t="shared" si="4"/>
        <v>1824000</v>
      </c>
      <c r="M409" s="127" t="str">
        <f t="shared" si="5"/>
        <v/>
      </c>
      <c r="N409" s="113">
        <f t="shared" si="6"/>
        <v>0</v>
      </c>
      <c r="O409" s="113">
        <f t="shared" si="7"/>
        <v>0</v>
      </c>
      <c r="P409" s="114">
        <f t="shared" si="8"/>
        <v>0</v>
      </c>
      <c r="Q409" s="115">
        <f t="shared" si="9"/>
        <v>0</v>
      </c>
      <c r="R409" s="117"/>
      <c r="S409" s="117">
        <f t="shared" si="10"/>
        <v>3607410</v>
      </c>
    </row>
    <row r="410">
      <c r="A410" s="20">
        <f t="shared" si="1"/>
        <v>5</v>
      </c>
      <c r="B410" s="106">
        <v>44097.0</v>
      </c>
      <c r="C410" s="21" t="s">
        <v>161</v>
      </c>
      <c r="D410" s="124" t="str">
        <f t="shared" si="2"/>
        <v>MATIAT LOVE5</v>
      </c>
      <c r="E410" s="93"/>
      <c r="F410" s="93"/>
      <c r="G410" s="93"/>
      <c r="H410" s="93"/>
      <c r="I410" s="125"/>
      <c r="J410" s="126" t="str">
        <f t="shared" si="3"/>
        <v/>
      </c>
      <c r="K410" s="119">
        <v>20000.0</v>
      </c>
      <c r="L410" s="111">
        <f t="shared" si="4"/>
        <v>20000</v>
      </c>
      <c r="M410" s="127" t="str">
        <f t="shared" si="5"/>
        <v/>
      </c>
      <c r="N410" s="113">
        <f t="shared" si="6"/>
        <v>0</v>
      </c>
      <c r="O410" s="113">
        <f t="shared" si="7"/>
        <v>0</v>
      </c>
      <c r="P410" s="114">
        <f t="shared" si="8"/>
        <v>0</v>
      </c>
      <c r="Q410" s="115">
        <f t="shared" si="9"/>
        <v>0</v>
      </c>
      <c r="R410" s="117"/>
      <c r="S410" s="117">
        <f t="shared" si="10"/>
        <v>69920</v>
      </c>
    </row>
    <row r="411">
      <c r="A411" s="20">
        <f t="shared" si="1"/>
        <v>12</v>
      </c>
      <c r="B411" s="106">
        <v>44097.0</v>
      </c>
      <c r="C411" s="21" t="s">
        <v>109</v>
      </c>
      <c r="D411" s="124" t="str">
        <f t="shared" si="2"/>
        <v>OTU KOKO KEIBO12</v>
      </c>
      <c r="E411" s="93"/>
      <c r="F411" s="93"/>
      <c r="G411" s="93"/>
      <c r="H411" s="93"/>
      <c r="I411" s="125"/>
      <c r="J411" s="126" t="str">
        <f t="shared" si="3"/>
        <v/>
      </c>
      <c r="K411" s="119">
        <v>1600000.0</v>
      </c>
      <c r="L411" s="111">
        <f t="shared" si="4"/>
        <v>1600000</v>
      </c>
      <c r="M411" s="127" t="str">
        <f t="shared" si="5"/>
        <v/>
      </c>
      <c r="N411" s="113">
        <f t="shared" si="6"/>
        <v>0</v>
      </c>
      <c r="O411" s="113">
        <f t="shared" si="7"/>
        <v>0</v>
      </c>
      <c r="P411" s="114">
        <f t="shared" si="8"/>
        <v>0</v>
      </c>
      <c r="Q411" s="115">
        <f t="shared" si="9"/>
        <v>0</v>
      </c>
      <c r="R411" s="117"/>
      <c r="S411" s="117">
        <f t="shared" si="10"/>
        <v>28102425</v>
      </c>
    </row>
    <row r="412">
      <c r="A412" s="20">
        <f t="shared" si="1"/>
        <v>11</v>
      </c>
      <c r="B412" s="106">
        <v>44097.0</v>
      </c>
      <c r="C412" s="21" t="s">
        <v>169</v>
      </c>
      <c r="D412" s="124" t="str">
        <f t="shared" si="2"/>
        <v>A. D. FREDERICK11</v>
      </c>
      <c r="E412" s="93">
        <v>1960.0</v>
      </c>
      <c r="F412" s="93">
        <v>269.0</v>
      </c>
      <c r="G412" s="93"/>
      <c r="H412" s="93">
        <v>29.0</v>
      </c>
      <c r="I412" s="125"/>
      <c r="J412" s="126">
        <f t="shared" si="3"/>
        <v>935.68</v>
      </c>
      <c r="K412" s="119"/>
      <c r="L412" s="111">
        <f t="shared" si="4"/>
        <v>-1783410</v>
      </c>
      <c r="M412" s="127">
        <f t="shared" si="5"/>
        <v>9.28</v>
      </c>
      <c r="N412" s="113">
        <f t="shared" si="6"/>
        <v>25</v>
      </c>
      <c r="O412" s="113">
        <f t="shared" si="7"/>
        <v>30</v>
      </c>
      <c r="P412" s="114">
        <f t="shared" si="8"/>
        <v>15</v>
      </c>
      <c r="Q412" s="115">
        <f t="shared" si="9"/>
        <v>1906</v>
      </c>
      <c r="R412" s="117">
        <v>1783410.0</v>
      </c>
      <c r="S412" s="117">
        <f t="shared" si="10"/>
        <v>1824000</v>
      </c>
    </row>
    <row r="413">
      <c r="A413" s="20">
        <f t="shared" si="1"/>
        <v>14</v>
      </c>
      <c r="B413" s="106">
        <v>44097.0</v>
      </c>
      <c r="C413" s="21" t="s">
        <v>46</v>
      </c>
      <c r="D413" s="124" t="str">
        <f t="shared" si="2"/>
        <v>ETUK EFFI14</v>
      </c>
      <c r="E413" s="93">
        <v>1697.0</v>
      </c>
      <c r="F413" s="93">
        <v>208.0</v>
      </c>
      <c r="G413" s="93"/>
      <c r="H413" s="93">
        <v>26.0</v>
      </c>
      <c r="I413" s="125"/>
      <c r="J413" s="126">
        <f t="shared" si="3"/>
        <v>900</v>
      </c>
      <c r="K413" s="119"/>
      <c r="L413" s="111">
        <f t="shared" si="4"/>
        <v>-1503900</v>
      </c>
      <c r="M413" s="127">
        <f t="shared" si="5"/>
        <v>8</v>
      </c>
      <c r="N413" s="113">
        <f t="shared" si="6"/>
        <v>0</v>
      </c>
      <c r="O413" s="113">
        <f t="shared" si="7"/>
        <v>26</v>
      </c>
      <c r="P413" s="114">
        <f t="shared" si="8"/>
        <v>33</v>
      </c>
      <c r="Q413" s="115">
        <f t="shared" si="9"/>
        <v>1671</v>
      </c>
      <c r="R413" s="117">
        <v>1503900.0</v>
      </c>
      <c r="S413" s="117">
        <f t="shared" si="10"/>
        <v>1496100</v>
      </c>
    </row>
    <row r="414">
      <c r="A414" s="20">
        <f t="shared" si="1"/>
        <v>9</v>
      </c>
      <c r="B414" s="106">
        <v>44088.0</v>
      </c>
      <c r="C414" s="21" t="s">
        <v>25</v>
      </c>
      <c r="D414" s="124" t="str">
        <f t="shared" si="2"/>
        <v>KARIEN EBAN9</v>
      </c>
      <c r="E414" s="93">
        <v>1412.0</v>
      </c>
      <c r="F414" s="93">
        <v>200.5</v>
      </c>
      <c r="G414" s="93"/>
      <c r="H414" s="93">
        <v>22.0</v>
      </c>
      <c r="I414" s="125"/>
      <c r="J414" s="126">
        <f t="shared" si="3"/>
        <v>900</v>
      </c>
      <c r="K414" s="119"/>
      <c r="L414" s="111">
        <f t="shared" si="4"/>
        <v>-1237500</v>
      </c>
      <c r="M414" s="127">
        <f t="shared" si="5"/>
        <v>9.11</v>
      </c>
      <c r="N414" s="113">
        <f t="shared" si="6"/>
        <v>15</v>
      </c>
      <c r="O414" s="113">
        <f t="shared" si="7"/>
        <v>21</v>
      </c>
      <c r="P414" s="114">
        <f t="shared" si="8"/>
        <v>52</v>
      </c>
      <c r="Q414" s="115">
        <f t="shared" si="9"/>
        <v>1375</v>
      </c>
      <c r="R414" s="117">
        <v>1237500.0</v>
      </c>
      <c r="S414" s="117">
        <f t="shared" si="10"/>
        <v>1767310</v>
      </c>
    </row>
    <row r="415">
      <c r="A415" s="20">
        <f t="shared" si="1"/>
        <v>10</v>
      </c>
      <c r="B415" s="106">
        <v>44097.0</v>
      </c>
      <c r="C415" s="21" t="s">
        <v>25</v>
      </c>
      <c r="D415" s="124" t="str">
        <f t="shared" si="2"/>
        <v>KARIEN EBAN10</v>
      </c>
      <c r="E415" s="93">
        <v>398.0</v>
      </c>
      <c r="F415" s="93">
        <v>55.0</v>
      </c>
      <c r="G415" s="93"/>
      <c r="H415" s="93">
        <v>6.0</v>
      </c>
      <c r="I415" s="125"/>
      <c r="J415" s="126">
        <f t="shared" si="3"/>
        <v>940</v>
      </c>
      <c r="K415" s="119"/>
      <c r="L415" s="111">
        <f t="shared" si="4"/>
        <v>-363780</v>
      </c>
      <c r="M415" s="127">
        <f t="shared" si="5"/>
        <v>9.17</v>
      </c>
      <c r="N415" s="113">
        <f t="shared" si="6"/>
        <v>5</v>
      </c>
      <c r="O415" s="113">
        <f t="shared" si="7"/>
        <v>6</v>
      </c>
      <c r="P415" s="114">
        <f t="shared" si="8"/>
        <v>9</v>
      </c>
      <c r="Q415" s="115">
        <f t="shared" si="9"/>
        <v>387</v>
      </c>
      <c r="R415" s="117">
        <v>363780.0</v>
      </c>
      <c r="S415" s="117">
        <f t="shared" si="10"/>
        <v>1403530</v>
      </c>
    </row>
    <row r="416">
      <c r="A416" s="20">
        <f t="shared" si="1"/>
        <v>8</v>
      </c>
      <c r="B416" s="106">
        <v>44083.0</v>
      </c>
      <c r="C416" s="21" t="s">
        <v>110</v>
      </c>
      <c r="D416" s="124" t="str">
        <f t="shared" si="2"/>
        <v>AUGUSTINE IGBA8</v>
      </c>
      <c r="E416" s="93">
        <v>2828.0</v>
      </c>
      <c r="F416" s="93">
        <v>328.0</v>
      </c>
      <c r="G416" s="93"/>
      <c r="H416" s="93">
        <v>41.0</v>
      </c>
      <c r="I416" s="125"/>
      <c r="J416" s="126">
        <f t="shared" si="3"/>
        <v>900</v>
      </c>
      <c r="K416" s="119"/>
      <c r="L416" s="111">
        <f t="shared" si="4"/>
        <v>-2508300</v>
      </c>
      <c r="M416" s="127">
        <f t="shared" si="5"/>
        <v>8</v>
      </c>
      <c r="N416" s="113">
        <f t="shared" si="6"/>
        <v>0</v>
      </c>
      <c r="O416" s="113">
        <f t="shared" si="7"/>
        <v>44</v>
      </c>
      <c r="P416" s="114">
        <f t="shared" si="8"/>
        <v>15</v>
      </c>
      <c r="Q416" s="115">
        <f t="shared" si="9"/>
        <v>2787</v>
      </c>
      <c r="R416" s="117">
        <v>2508300.0</v>
      </c>
      <c r="S416" s="117">
        <f t="shared" si="10"/>
        <v>26625840</v>
      </c>
    </row>
    <row r="417">
      <c r="A417" s="20">
        <f t="shared" si="1"/>
        <v>9</v>
      </c>
      <c r="B417" s="106">
        <v>44088.0</v>
      </c>
      <c r="C417" s="21" t="s">
        <v>110</v>
      </c>
      <c r="D417" s="124" t="str">
        <f t="shared" si="2"/>
        <v>AUGUSTINE IGBA9</v>
      </c>
      <c r="E417" s="93">
        <v>2070.0</v>
      </c>
      <c r="F417" s="93">
        <v>348.0</v>
      </c>
      <c r="G417" s="93"/>
      <c r="H417" s="93">
        <v>33.0</v>
      </c>
      <c r="I417" s="125"/>
      <c r="J417" s="126">
        <f t="shared" si="3"/>
        <v>900</v>
      </c>
      <c r="K417" s="119"/>
      <c r="L417" s="111">
        <f t="shared" si="4"/>
        <v>-1786500</v>
      </c>
      <c r="M417" s="127">
        <f t="shared" si="5"/>
        <v>10.55</v>
      </c>
      <c r="N417" s="113">
        <f t="shared" si="6"/>
        <v>52</v>
      </c>
      <c r="O417" s="113">
        <f t="shared" si="7"/>
        <v>31</v>
      </c>
      <c r="P417" s="114">
        <f t="shared" si="8"/>
        <v>32</v>
      </c>
      <c r="Q417" s="115">
        <f t="shared" si="9"/>
        <v>1985</v>
      </c>
      <c r="R417" s="117">
        <v>1786500.0</v>
      </c>
      <c r="S417" s="117">
        <f t="shared" si="10"/>
        <v>24839340</v>
      </c>
    </row>
    <row r="418">
      <c r="A418" s="20">
        <f t="shared" si="1"/>
        <v>10</v>
      </c>
      <c r="B418" s="106">
        <v>44093.0</v>
      </c>
      <c r="C418" s="21" t="s">
        <v>110</v>
      </c>
      <c r="D418" s="124" t="str">
        <f t="shared" si="2"/>
        <v>AUGUSTINE IGBA10</v>
      </c>
      <c r="E418" s="93">
        <v>1509.0</v>
      </c>
      <c r="F418" s="93">
        <v>325.5</v>
      </c>
      <c r="G418" s="93"/>
      <c r="H418" s="93">
        <v>24.0</v>
      </c>
      <c r="I418" s="125"/>
      <c r="J418" s="126">
        <f t="shared" si="3"/>
        <v>900</v>
      </c>
      <c r="K418" s="119"/>
      <c r="L418" s="111">
        <f t="shared" si="4"/>
        <v>-1261800</v>
      </c>
      <c r="M418" s="127">
        <f t="shared" si="5"/>
        <v>13.56</v>
      </c>
      <c r="N418" s="113">
        <f t="shared" si="6"/>
        <v>83</v>
      </c>
      <c r="O418" s="113">
        <f t="shared" si="7"/>
        <v>22</v>
      </c>
      <c r="P418" s="114">
        <f t="shared" si="8"/>
        <v>15</v>
      </c>
      <c r="Q418" s="115">
        <f t="shared" si="9"/>
        <v>1402</v>
      </c>
      <c r="R418" s="117">
        <v>1261800.0</v>
      </c>
      <c r="S418" s="117">
        <f t="shared" si="10"/>
        <v>23577540</v>
      </c>
    </row>
    <row r="419">
      <c r="A419" s="20">
        <f t="shared" si="1"/>
        <v>1</v>
      </c>
      <c r="B419" s="106">
        <v>44099.0</v>
      </c>
      <c r="C419" s="21" t="s">
        <v>179</v>
      </c>
      <c r="D419" s="124" t="str">
        <f t="shared" si="2"/>
        <v>ABANG. MOSES1</v>
      </c>
      <c r="E419" s="93"/>
      <c r="F419" s="93"/>
      <c r="G419" s="93"/>
      <c r="H419" s="93"/>
      <c r="I419" s="125"/>
      <c r="J419" s="126" t="str">
        <f t="shared" si="3"/>
        <v/>
      </c>
      <c r="K419" s="119">
        <v>1000000.0</v>
      </c>
      <c r="L419" s="111">
        <f t="shared" si="4"/>
        <v>1000000</v>
      </c>
      <c r="M419" s="127" t="str">
        <f t="shared" si="5"/>
        <v/>
      </c>
      <c r="N419" s="113">
        <f t="shared" si="6"/>
        <v>0</v>
      </c>
      <c r="O419" s="113">
        <f t="shared" si="7"/>
        <v>0</v>
      </c>
      <c r="P419" s="114">
        <f t="shared" si="8"/>
        <v>0</v>
      </c>
      <c r="Q419" s="115">
        <f t="shared" si="9"/>
        <v>0</v>
      </c>
      <c r="R419" s="117"/>
      <c r="S419" s="117">
        <f t="shared" si="10"/>
        <v>1000000</v>
      </c>
    </row>
    <row r="420">
      <c r="A420" s="20">
        <f t="shared" si="1"/>
        <v>12</v>
      </c>
      <c r="B420" s="106">
        <v>44102.0</v>
      </c>
      <c r="C420" s="21" t="s">
        <v>125</v>
      </c>
      <c r="D420" s="124" t="str">
        <f t="shared" si="2"/>
        <v>ANDRDEW GREAT12</v>
      </c>
      <c r="E420" s="93">
        <v>1689.0</v>
      </c>
      <c r="F420" s="93">
        <v>164.0</v>
      </c>
      <c r="G420" s="93"/>
      <c r="H420" s="93">
        <v>16.0</v>
      </c>
      <c r="I420" s="125"/>
      <c r="J420" s="126">
        <f t="shared" si="3"/>
        <v>950</v>
      </c>
      <c r="K420" s="119"/>
      <c r="L420" s="111">
        <f t="shared" si="4"/>
        <v>-1553250</v>
      </c>
      <c r="M420" s="127">
        <f t="shared" si="5"/>
        <v>10.25</v>
      </c>
      <c r="N420" s="113">
        <f t="shared" si="6"/>
        <v>38</v>
      </c>
      <c r="O420" s="113">
        <f t="shared" si="7"/>
        <v>25</v>
      </c>
      <c r="P420" s="114">
        <f t="shared" si="8"/>
        <v>60</v>
      </c>
      <c r="Q420" s="115">
        <f t="shared" si="9"/>
        <v>1635</v>
      </c>
      <c r="R420" s="117">
        <v>1553250.0</v>
      </c>
      <c r="S420" s="117">
        <f t="shared" si="10"/>
        <v>903610</v>
      </c>
    </row>
    <row r="421">
      <c r="A421" s="20">
        <f t="shared" si="1"/>
        <v>2</v>
      </c>
      <c r="B421" s="106">
        <v>44100.0</v>
      </c>
      <c r="C421" s="21" t="s">
        <v>130</v>
      </c>
      <c r="D421" s="124" t="str">
        <f t="shared" si="2"/>
        <v> OP OCHICHIE2</v>
      </c>
      <c r="E421" s="93"/>
      <c r="F421" s="93"/>
      <c r="G421" s="93"/>
      <c r="H421" s="93"/>
      <c r="I421" s="125"/>
      <c r="J421" s="126" t="str">
        <f t="shared" si="3"/>
        <v/>
      </c>
      <c r="K421" s="119">
        <v>10000.0</v>
      </c>
      <c r="L421" s="111">
        <f t="shared" si="4"/>
        <v>10000</v>
      </c>
      <c r="M421" s="127" t="str">
        <f t="shared" si="5"/>
        <v/>
      </c>
      <c r="N421" s="113">
        <f t="shared" si="6"/>
        <v>0</v>
      </c>
      <c r="O421" s="113">
        <f t="shared" si="7"/>
        <v>0</v>
      </c>
      <c r="P421" s="114">
        <f t="shared" si="8"/>
        <v>0</v>
      </c>
      <c r="Q421" s="115">
        <f t="shared" si="9"/>
        <v>0</v>
      </c>
      <c r="R421" s="117"/>
      <c r="S421" s="117">
        <f t="shared" si="10"/>
        <v>545525</v>
      </c>
    </row>
    <row r="422">
      <c r="A422" s="20">
        <f t="shared" si="1"/>
        <v>3</v>
      </c>
      <c r="B422" s="106">
        <v>44100.0</v>
      </c>
      <c r="C422" s="21" t="s">
        <v>120</v>
      </c>
      <c r="D422" s="124" t="str">
        <f t="shared" si="2"/>
        <v>R.  MAXWELL AGRO3</v>
      </c>
      <c r="E422" s="93"/>
      <c r="F422" s="93"/>
      <c r="G422" s="93"/>
      <c r="H422" s="93"/>
      <c r="I422" s="125"/>
      <c r="J422" s="126" t="str">
        <f t="shared" si="3"/>
        <v/>
      </c>
      <c r="K422" s="119">
        <v>7980000.0</v>
      </c>
      <c r="L422" s="111">
        <f t="shared" si="4"/>
        <v>7980000</v>
      </c>
      <c r="M422" s="127" t="str">
        <f t="shared" si="5"/>
        <v/>
      </c>
      <c r="N422" s="113">
        <f t="shared" si="6"/>
        <v>0</v>
      </c>
      <c r="O422" s="113">
        <f t="shared" si="7"/>
        <v>0</v>
      </c>
      <c r="P422" s="114">
        <f t="shared" si="8"/>
        <v>0</v>
      </c>
      <c r="Q422" s="115">
        <f t="shared" si="9"/>
        <v>0</v>
      </c>
      <c r="R422" s="117"/>
      <c r="S422" s="117">
        <f t="shared" si="10"/>
        <v>8870000</v>
      </c>
    </row>
    <row r="423">
      <c r="A423" s="20">
        <f t="shared" si="1"/>
        <v>13</v>
      </c>
      <c r="B423" s="106">
        <v>44102.0</v>
      </c>
      <c r="C423" s="21" t="s">
        <v>98</v>
      </c>
      <c r="D423" s="124" t="str">
        <f t="shared" si="2"/>
        <v>EDWARD OKO13</v>
      </c>
      <c r="E423" s="93"/>
      <c r="F423" s="93"/>
      <c r="G423" s="93"/>
      <c r="H423" s="93"/>
      <c r="I423" s="125"/>
      <c r="J423" s="126" t="str">
        <f t="shared" si="3"/>
        <v/>
      </c>
      <c r="K423" s="119">
        <v>3000000.0</v>
      </c>
      <c r="L423" s="111">
        <f t="shared" si="4"/>
        <v>3000000</v>
      </c>
      <c r="M423" s="127" t="str">
        <f t="shared" si="5"/>
        <v/>
      </c>
      <c r="N423" s="113">
        <f t="shared" si="6"/>
        <v>0</v>
      </c>
      <c r="O423" s="113">
        <f t="shared" si="7"/>
        <v>0</v>
      </c>
      <c r="P423" s="114">
        <f t="shared" si="8"/>
        <v>0</v>
      </c>
      <c r="Q423" s="115">
        <f t="shared" si="9"/>
        <v>0</v>
      </c>
      <c r="R423" s="117"/>
      <c r="S423" s="117">
        <f t="shared" si="10"/>
        <v>7883490</v>
      </c>
    </row>
    <row r="424">
      <c r="A424" s="20">
        <f t="shared" si="1"/>
        <v>13</v>
      </c>
      <c r="B424" s="106">
        <v>44102.0</v>
      </c>
      <c r="C424" s="21" t="s">
        <v>125</v>
      </c>
      <c r="D424" s="124" t="str">
        <f t="shared" si="2"/>
        <v>ANDRDEW GREAT13</v>
      </c>
      <c r="E424" s="93"/>
      <c r="F424" s="93"/>
      <c r="G424" s="93"/>
      <c r="H424" s="93"/>
      <c r="I424" s="125"/>
      <c r="J424" s="126" t="str">
        <f t="shared" si="3"/>
        <v/>
      </c>
      <c r="K424" s="119">
        <v>1050000.0</v>
      </c>
      <c r="L424" s="111">
        <f t="shared" si="4"/>
        <v>1050000</v>
      </c>
      <c r="M424" s="127" t="str">
        <f t="shared" si="5"/>
        <v/>
      </c>
      <c r="N424" s="113">
        <f t="shared" si="6"/>
        <v>0</v>
      </c>
      <c r="O424" s="113">
        <f t="shared" si="7"/>
        <v>0</v>
      </c>
      <c r="P424" s="114">
        <f t="shared" si="8"/>
        <v>0</v>
      </c>
      <c r="Q424" s="115">
        <f t="shared" si="9"/>
        <v>0</v>
      </c>
      <c r="R424" s="117"/>
      <c r="S424" s="117">
        <f t="shared" si="10"/>
        <v>1953610</v>
      </c>
    </row>
    <row r="425">
      <c r="A425" s="20">
        <f t="shared" si="1"/>
        <v>14</v>
      </c>
      <c r="B425" s="106">
        <v>44102.0</v>
      </c>
      <c r="C425" s="21" t="s">
        <v>125</v>
      </c>
      <c r="D425" s="124" t="str">
        <f t="shared" si="2"/>
        <v>ANDRDEW GREAT14</v>
      </c>
      <c r="E425" s="93"/>
      <c r="F425" s="93"/>
      <c r="G425" s="93"/>
      <c r="H425" s="93"/>
      <c r="I425" s="125"/>
      <c r="J425" s="126" t="str">
        <f t="shared" si="3"/>
        <v/>
      </c>
      <c r="K425" s="119">
        <v>1553250.0</v>
      </c>
      <c r="L425" s="111">
        <f t="shared" si="4"/>
        <v>1553250</v>
      </c>
      <c r="M425" s="127" t="str">
        <f t="shared" si="5"/>
        <v/>
      </c>
      <c r="N425" s="113">
        <f t="shared" si="6"/>
        <v>0</v>
      </c>
      <c r="O425" s="113">
        <f t="shared" si="7"/>
        <v>0</v>
      </c>
      <c r="P425" s="114">
        <f t="shared" si="8"/>
        <v>0</v>
      </c>
      <c r="Q425" s="115">
        <f t="shared" si="9"/>
        <v>0</v>
      </c>
      <c r="R425" s="117"/>
      <c r="S425" s="117">
        <f t="shared" si="10"/>
        <v>3506860</v>
      </c>
    </row>
    <row r="426">
      <c r="A426" s="20">
        <f t="shared" si="1"/>
        <v>20</v>
      </c>
      <c r="B426" s="106">
        <v>44102.0</v>
      </c>
      <c r="C426" s="21" t="s">
        <v>107</v>
      </c>
      <c r="D426" s="124" t="str">
        <f t="shared" si="2"/>
        <v>BOSURU  BOSURU20</v>
      </c>
      <c r="E426" s="93"/>
      <c r="F426" s="93"/>
      <c r="G426" s="93"/>
      <c r="H426" s="93"/>
      <c r="I426" s="125"/>
      <c r="J426" s="126" t="str">
        <f t="shared" si="3"/>
        <v/>
      </c>
      <c r="K426" s="119">
        <v>500000.0</v>
      </c>
      <c r="L426" s="111">
        <f t="shared" si="4"/>
        <v>500000</v>
      </c>
      <c r="M426" s="127" t="str">
        <f t="shared" si="5"/>
        <v/>
      </c>
      <c r="N426" s="113">
        <f t="shared" si="6"/>
        <v>0</v>
      </c>
      <c r="O426" s="113">
        <f t="shared" si="7"/>
        <v>0</v>
      </c>
      <c r="P426" s="114">
        <f t="shared" si="8"/>
        <v>0</v>
      </c>
      <c r="Q426" s="115">
        <f t="shared" si="9"/>
        <v>0</v>
      </c>
      <c r="R426" s="117"/>
      <c r="S426" s="117">
        <f t="shared" si="10"/>
        <v>2867700</v>
      </c>
    </row>
    <row r="427">
      <c r="A427" s="20">
        <f t="shared" si="1"/>
        <v>4</v>
      </c>
      <c r="B427" s="106">
        <v>44102.0</v>
      </c>
      <c r="C427" s="21" t="s">
        <v>120</v>
      </c>
      <c r="D427" s="124" t="str">
        <f t="shared" si="2"/>
        <v>R.  MAXWELL AGRO4</v>
      </c>
      <c r="E427" s="93"/>
      <c r="F427" s="93"/>
      <c r="G427" s="93"/>
      <c r="H427" s="93"/>
      <c r="I427" s="125"/>
      <c r="J427" s="126" t="str">
        <f t="shared" si="3"/>
        <v/>
      </c>
      <c r="K427" s="119">
        <v>1.17E7</v>
      </c>
      <c r="L427" s="111">
        <f t="shared" si="4"/>
        <v>11700000</v>
      </c>
      <c r="M427" s="127" t="str">
        <f t="shared" si="5"/>
        <v/>
      </c>
      <c r="N427" s="113">
        <f t="shared" si="6"/>
        <v>0</v>
      </c>
      <c r="O427" s="113">
        <f t="shared" si="7"/>
        <v>0</v>
      </c>
      <c r="P427" s="114">
        <f t="shared" si="8"/>
        <v>0</v>
      </c>
      <c r="Q427" s="115">
        <f t="shared" si="9"/>
        <v>0</v>
      </c>
      <c r="R427" s="117"/>
      <c r="S427" s="117">
        <f t="shared" si="10"/>
        <v>20570000</v>
      </c>
    </row>
    <row r="428">
      <c r="A428" s="20">
        <f t="shared" si="1"/>
        <v>1</v>
      </c>
      <c r="B428" s="106">
        <v>44102.0</v>
      </c>
      <c r="C428" s="21" t="s">
        <v>180</v>
      </c>
      <c r="D428" s="124" t="str">
        <f t="shared" si="2"/>
        <v>PRIN M. BOSURU1</v>
      </c>
      <c r="E428" s="93"/>
      <c r="F428" s="93"/>
      <c r="G428" s="93"/>
      <c r="H428" s="93"/>
      <c r="I428" s="125"/>
      <c r="J428" s="126" t="str">
        <f t="shared" si="3"/>
        <v/>
      </c>
      <c r="K428" s="119">
        <v>1120000.0</v>
      </c>
      <c r="L428" s="111">
        <f t="shared" si="4"/>
        <v>1120000</v>
      </c>
      <c r="M428" s="127" t="str">
        <f t="shared" si="5"/>
        <v/>
      </c>
      <c r="N428" s="113">
        <f t="shared" si="6"/>
        <v>0</v>
      </c>
      <c r="O428" s="113">
        <f t="shared" si="7"/>
        <v>0</v>
      </c>
      <c r="P428" s="114">
        <f t="shared" si="8"/>
        <v>0</v>
      </c>
      <c r="Q428" s="115">
        <f t="shared" si="9"/>
        <v>0</v>
      </c>
      <c r="R428" s="117"/>
      <c r="S428" s="117">
        <f t="shared" si="10"/>
        <v>1120000</v>
      </c>
    </row>
    <row r="429">
      <c r="A429" s="20">
        <f t="shared" si="1"/>
        <v>21</v>
      </c>
      <c r="B429" s="106">
        <v>44104.0</v>
      </c>
      <c r="C429" s="21" t="s">
        <v>146</v>
      </c>
      <c r="D429" s="124" t="str">
        <f t="shared" si="2"/>
        <v>CONNECT21</v>
      </c>
      <c r="E429" s="93">
        <v>482.0</v>
      </c>
      <c r="F429" s="93">
        <v>78.0</v>
      </c>
      <c r="G429" s="93"/>
      <c r="H429" s="93">
        <v>7.0</v>
      </c>
      <c r="I429" s="125"/>
      <c r="J429" s="126">
        <f t="shared" si="3"/>
        <v>940</v>
      </c>
      <c r="K429" s="119"/>
      <c r="L429" s="111">
        <f t="shared" si="4"/>
        <v>-432400</v>
      </c>
      <c r="M429" s="127">
        <f t="shared" si="5"/>
        <v>11.14</v>
      </c>
      <c r="N429" s="113">
        <f t="shared" si="6"/>
        <v>15</v>
      </c>
      <c r="O429" s="113">
        <f t="shared" si="7"/>
        <v>7</v>
      </c>
      <c r="P429" s="114">
        <f t="shared" si="8"/>
        <v>19</v>
      </c>
      <c r="Q429" s="115">
        <f t="shared" si="9"/>
        <v>460</v>
      </c>
      <c r="R429" s="117">
        <v>432400.0</v>
      </c>
      <c r="S429" s="117">
        <f t="shared" si="10"/>
        <v>5884850</v>
      </c>
    </row>
    <row r="430">
      <c r="A430" s="20">
        <f t="shared" si="1"/>
        <v>6</v>
      </c>
      <c r="B430" s="106">
        <v>44104.0</v>
      </c>
      <c r="C430" s="21" t="s">
        <v>132</v>
      </c>
      <c r="D430" s="124" t="str">
        <f t="shared" si="2"/>
        <v>CONFIDENCE6</v>
      </c>
      <c r="E430" s="93">
        <v>512.0</v>
      </c>
      <c r="F430" s="93">
        <v>89.0</v>
      </c>
      <c r="G430" s="93"/>
      <c r="H430" s="93">
        <v>8.0</v>
      </c>
      <c r="I430" s="125"/>
      <c r="J430" s="126">
        <f t="shared" si="3"/>
        <v>927.95</v>
      </c>
      <c r="K430" s="119"/>
      <c r="L430" s="111">
        <f t="shared" si="4"/>
        <v>-452840</v>
      </c>
      <c r="M430" s="127">
        <f t="shared" si="5"/>
        <v>11.13</v>
      </c>
      <c r="N430" s="113">
        <f t="shared" si="6"/>
        <v>16</v>
      </c>
      <c r="O430" s="113">
        <f t="shared" si="7"/>
        <v>7</v>
      </c>
      <c r="P430" s="114">
        <f t="shared" si="8"/>
        <v>47</v>
      </c>
      <c r="Q430" s="115">
        <f t="shared" si="9"/>
        <v>488</v>
      </c>
      <c r="R430" s="117">
        <v>452840.0</v>
      </c>
      <c r="S430" s="117">
        <f t="shared" si="10"/>
        <v>1847160</v>
      </c>
    </row>
    <row r="431">
      <c r="A431" s="20">
        <f t="shared" si="1"/>
        <v>3</v>
      </c>
      <c r="B431" s="106">
        <v>44103.0</v>
      </c>
      <c r="C431" s="21" t="s">
        <v>164</v>
      </c>
      <c r="D431" s="124" t="str">
        <f t="shared" si="2"/>
        <v>CHINWE CHIDI3</v>
      </c>
      <c r="E431" s="93"/>
      <c r="F431" s="93"/>
      <c r="G431" s="93"/>
      <c r="H431" s="93"/>
      <c r="I431" s="125"/>
      <c r="J431" s="126" t="str">
        <f t="shared" si="3"/>
        <v/>
      </c>
      <c r="K431" s="119">
        <v>200000.0</v>
      </c>
      <c r="L431" s="111">
        <f t="shared" si="4"/>
        <v>200000</v>
      </c>
      <c r="M431" s="127" t="str">
        <f t="shared" si="5"/>
        <v/>
      </c>
      <c r="N431" s="113">
        <f t="shared" si="6"/>
        <v>0</v>
      </c>
      <c r="O431" s="113">
        <f t="shared" si="7"/>
        <v>0</v>
      </c>
      <c r="P431" s="114">
        <f t="shared" si="8"/>
        <v>0</v>
      </c>
      <c r="Q431" s="115">
        <f t="shared" si="9"/>
        <v>0</v>
      </c>
      <c r="R431" s="117"/>
      <c r="S431" s="117">
        <f t="shared" si="10"/>
        <v>306000</v>
      </c>
    </row>
    <row r="432">
      <c r="A432" s="20">
        <f t="shared" si="1"/>
        <v>7</v>
      </c>
      <c r="B432" s="106">
        <v>44103.0</v>
      </c>
      <c r="C432" s="21" t="s">
        <v>132</v>
      </c>
      <c r="D432" s="124" t="str">
        <f t="shared" si="2"/>
        <v>CONFIDENCE7</v>
      </c>
      <c r="E432" s="93"/>
      <c r="F432" s="93"/>
      <c r="G432" s="93"/>
      <c r="H432" s="93"/>
      <c r="I432" s="125"/>
      <c r="J432" s="126" t="str">
        <f t="shared" si="3"/>
        <v/>
      </c>
      <c r="K432" s="119">
        <v>150000.0</v>
      </c>
      <c r="L432" s="111">
        <f t="shared" si="4"/>
        <v>150000</v>
      </c>
      <c r="M432" s="127" t="str">
        <f t="shared" si="5"/>
        <v/>
      </c>
      <c r="N432" s="113">
        <f t="shared" si="6"/>
        <v>0</v>
      </c>
      <c r="O432" s="113">
        <f t="shared" si="7"/>
        <v>0</v>
      </c>
      <c r="P432" s="114">
        <f t="shared" si="8"/>
        <v>0</v>
      </c>
      <c r="Q432" s="115">
        <f t="shared" si="9"/>
        <v>0</v>
      </c>
      <c r="R432" s="117"/>
      <c r="S432" s="117">
        <f t="shared" si="10"/>
        <v>1997160</v>
      </c>
    </row>
    <row r="433">
      <c r="A433" s="20">
        <f t="shared" si="1"/>
        <v>8</v>
      </c>
      <c r="B433" s="106">
        <v>44103.0</v>
      </c>
      <c r="C433" s="21" t="s">
        <v>159</v>
      </c>
      <c r="D433" s="124" t="str">
        <f t="shared" si="2"/>
        <v>EMMANUEL OKO 8</v>
      </c>
      <c r="E433" s="93"/>
      <c r="F433" s="93"/>
      <c r="G433" s="93"/>
      <c r="H433" s="93"/>
      <c r="I433" s="125"/>
      <c r="J433" s="126" t="str">
        <f t="shared" si="3"/>
        <v/>
      </c>
      <c r="K433" s="119">
        <v>50000.0</v>
      </c>
      <c r="L433" s="111">
        <f t="shared" si="4"/>
        <v>50000</v>
      </c>
      <c r="M433" s="127" t="str">
        <f t="shared" si="5"/>
        <v/>
      </c>
      <c r="N433" s="113">
        <f t="shared" si="6"/>
        <v>0</v>
      </c>
      <c r="O433" s="113">
        <f t="shared" si="7"/>
        <v>0</v>
      </c>
      <c r="P433" s="114">
        <f t="shared" si="8"/>
        <v>0</v>
      </c>
      <c r="Q433" s="115">
        <f t="shared" si="9"/>
        <v>0</v>
      </c>
      <c r="R433" s="117"/>
      <c r="S433" s="117">
        <f t="shared" si="10"/>
        <v>1090000</v>
      </c>
    </row>
    <row r="434">
      <c r="A434" s="20">
        <f t="shared" si="1"/>
        <v>17</v>
      </c>
      <c r="B434" s="106">
        <v>44103.0</v>
      </c>
      <c r="C434" s="21" t="s">
        <v>113</v>
      </c>
      <c r="D434" s="124" t="str">
        <f t="shared" si="2"/>
        <v> MAXWELL AGRO17</v>
      </c>
      <c r="E434" s="93"/>
      <c r="F434" s="93"/>
      <c r="G434" s="93"/>
      <c r="H434" s="93"/>
      <c r="I434" s="125"/>
      <c r="J434" s="126" t="str">
        <f t="shared" si="3"/>
        <v/>
      </c>
      <c r="K434" s="119">
        <v>100000.0</v>
      </c>
      <c r="L434" s="111">
        <f t="shared" si="4"/>
        <v>100000</v>
      </c>
      <c r="M434" s="127" t="str">
        <f t="shared" si="5"/>
        <v/>
      </c>
      <c r="N434" s="113">
        <f t="shared" si="6"/>
        <v>0</v>
      </c>
      <c r="O434" s="113">
        <f t="shared" si="7"/>
        <v>0</v>
      </c>
      <c r="P434" s="114">
        <f t="shared" si="8"/>
        <v>0</v>
      </c>
      <c r="Q434" s="115">
        <f t="shared" si="9"/>
        <v>0</v>
      </c>
      <c r="R434" s="117"/>
      <c r="S434" s="117">
        <f t="shared" si="10"/>
        <v>704432</v>
      </c>
    </row>
    <row r="435">
      <c r="A435" s="20">
        <f t="shared" si="1"/>
        <v>1</v>
      </c>
      <c r="B435" s="106">
        <v>44103.0</v>
      </c>
      <c r="C435" s="21" t="s">
        <v>181</v>
      </c>
      <c r="D435" s="124" t="str">
        <f t="shared" si="2"/>
        <v>UNCLE BIGGIE1</v>
      </c>
      <c r="E435" s="93"/>
      <c r="F435" s="93"/>
      <c r="G435" s="93"/>
      <c r="H435" s="93"/>
      <c r="I435" s="125"/>
      <c r="J435" s="126" t="str">
        <f t="shared" si="3"/>
        <v/>
      </c>
      <c r="K435" s="119">
        <v>40000.0</v>
      </c>
      <c r="L435" s="111">
        <f t="shared" si="4"/>
        <v>40000</v>
      </c>
      <c r="M435" s="127" t="str">
        <f t="shared" si="5"/>
        <v/>
      </c>
      <c r="N435" s="113">
        <f t="shared" si="6"/>
        <v>0</v>
      </c>
      <c r="O435" s="113">
        <f t="shared" si="7"/>
        <v>0</v>
      </c>
      <c r="P435" s="114">
        <f t="shared" si="8"/>
        <v>0</v>
      </c>
      <c r="Q435" s="115">
        <f t="shared" si="9"/>
        <v>0</v>
      </c>
      <c r="R435" s="117"/>
      <c r="S435" s="117">
        <f t="shared" si="10"/>
        <v>40000</v>
      </c>
    </row>
    <row r="436">
      <c r="A436" s="20">
        <f t="shared" si="1"/>
        <v>15</v>
      </c>
      <c r="B436" s="106">
        <v>44104.0</v>
      </c>
      <c r="C436" s="21" t="s">
        <v>46</v>
      </c>
      <c r="D436" s="124" t="str">
        <f t="shared" si="2"/>
        <v>ETUK EFFI15</v>
      </c>
      <c r="E436" s="93"/>
      <c r="F436" s="93"/>
      <c r="G436" s="93"/>
      <c r="H436" s="93"/>
      <c r="I436" s="125"/>
      <c r="J436" s="126" t="str">
        <f t="shared" si="3"/>
        <v/>
      </c>
      <c r="K436" s="119">
        <v>100000.0</v>
      </c>
      <c r="L436" s="111">
        <f t="shared" si="4"/>
        <v>100000</v>
      </c>
      <c r="M436" s="127" t="str">
        <f t="shared" si="5"/>
        <v/>
      </c>
      <c r="N436" s="113">
        <f t="shared" si="6"/>
        <v>0</v>
      </c>
      <c r="O436" s="113">
        <f t="shared" si="7"/>
        <v>0</v>
      </c>
      <c r="P436" s="114">
        <f t="shared" si="8"/>
        <v>0</v>
      </c>
      <c r="Q436" s="115">
        <f t="shared" si="9"/>
        <v>0</v>
      </c>
      <c r="R436" s="117"/>
      <c r="S436" s="117">
        <f t="shared" si="10"/>
        <v>1596100</v>
      </c>
    </row>
    <row r="437">
      <c r="A437" s="20">
        <f t="shared" si="1"/>
        <v>16</v>
      </c>
      <c r="B437" s="106">
        <v>44104.0</v>
      </c>
      <c r="C437" s="21" t="s">
        <v>46</v>
      </c>
      <c r="D437" s="124" t="str">
        <f t="shared" si="2"/>
        <v>ETUK EFFI16</v>
      </c>
      <c r="E437" s="93"/>
      <c r="F437" s="93"/>
      <c r="G437" s="93"/>
      <c r="H437" s="93"/>
      <c r="I437" s="125"/>
      <c r="J437" s="126" t="str">
        <f t="shared" si="3"/>
        <v/>
      </c>
      <c r="K437" s="119">
        <v>304000.0</v>
      </c>
      <c r="L437" s="111">
        <f t="shared" si="4"/>
        <v>304000</v>
      </c>
      <c r="M437" s="127" t="str">
        <f t="shared" si="5"/>
        <v/>
      </c>
      <c r="N437" s="113">
        <f t="shared" si="6"/>
        <v>0</v>
      </c>
      <c r="O437" s="113">
        <f t="shared" si="7"/>
        <v>0</v>
      </c>
      <c r="P437" s="114">
        <f t="shared" si="8"/>
        <v>0</v>
      </c>
      <c r="Q437" s="115">
        <f t="shared" si="9"/>
        <v>0</v>
      </c>
      <c r="R437" s="117"/>
      <c r="S437" s="117">
        <f t="shared" si="10"/>
        <v>1900100</v>
      </c>
    </row>
    <row r="438">
      <c r="A438" s="20">
        <f t="shared" si="1"/>
        <v>2</v>
      </c>
      <c r="B438" s="106">
        <v>44104.0</v>
      </c>
      <c r="C438" s="21" t="s">
        <v>180</v>
      </c>
      <c r="D438" s="124" t="str">
        <f t="shared" si="2"/>
        <v>PRIN M. BOSURU2</v>
      </c>
      <c r="E438" s="93"/>
      <c r="F438" s="93"/>
      <c r="G438" s="93"/>
      <c r="H438" s="93"/>
      <c r="I438" s="125"/>
      <c r="J438" s="126" t="str">
        <f t="shared" si="3"/>
        <v/>
      </c>
      <c r="K438" s="119">
        <v>672000.0</v>
      </c>
      <c r="L438" s="111">
        <f t="shared" si="4"/>
        <v>672000</v>
      </c>
      <c r="M438" s="127" t="str">
        <f t="shared" si="5"/>
        <v/>
      </c>
      <c r="N438" s="113">
        <f t="shared" si="6"/>
        <v>0</v>
      </c>
      <c r="O438" s="113">
        <f t="shared" si="7"/>
        <v>0</v>
      </c>
      <c r="P438" s="114">
        <f t="shared" si="8"/>
        <v>0</v>
      </c>
      <c r="Q438" s="115">
        <f t="shared" si="9"/>
        <v>0</v>
      </c>
      <c r="R438" s="117"/>
      <c r="S438" s="117">
        <f t="shared" si="10"/>
        <v>1792000</v>
      </c>
    </row>
    <row r="439">
      <c r="A439" s="20">
        <f t="shared" si="1"/>
        <v>8</v>
      </c>
      <c r="B439" s="106">
        <v>44104.0</v>
      </c>
      <c r="C439" s="21" t="s">
        <v>132</v>
      </c>
      <c r="D439" s="124" t="str">
        <f t="shared" si="2"/>
        <v>CONFIDENCE8</v>
      </c>
      <c r="E439" s="93"/>
      <c r="F439" s="93"/>
      <c r="G439" s="93"/>
      <c r="H439" s="93"/>
      <c r="I439" s="125"/>
      <c r="J439" s="126" t="str">
        <f t="shared" si="3"/>
        <v/>
      </c>
      <c r="K439" s="119">
        <v>302800.0</v>
      </c>
      <c r="L439" s="111">
        <f t="shared" si="4"/>
        <v>302800</v>
      </c>
      <c r="M439" s="127" t="str">
        <f t="shared" si="5"/>
        <v/>
      </c>
      <c r="N439" s="113">
        <f t="shared" si="6"/>
        <v>0</v>
      </c>
      <c r="O439" s="113">
        <f t="shared" si="7"/>
        <v>0</v>
      </c>
      <c r="P439" s="114">
        <f t="shared" si="8"/>
        <v>0</v>
      </c>
      <c r="Q439" s="115">
        <f t="shared" si="9"/>
        <v>0</v>
      </c>
      <c r="R439" s="117"/>
      <c r="S439" s="117">
        <f t="shared" si="10"/>
        <v>2299960</v>
      </c>
    </row>
    <row r="440">
      <c r="A440" s="20">
        <f t="shared" si="1"/>
        <v>9</v>
      </c>
      <c r="B440" s="106">
        <v>44104.0</v>
      </c>
      <c r="C440" s="21" t="s">
        <v>159</v>
      </c>
      <c r="D440" s="124" t="str">
        <f t="shared" si="2"/>
        <v>EMMANUEL OKO 9</v>
      </c>
      <c r="E440" s="93"/>
      <c r="F440" s="93"/>
      <c r="G440" s="93"/>
      <c r="H440" s="93"/>
      <c r="I440" s="125"/>
      <c r="J440" s="126" t="str">
        <f t="shared" si="3"/>
        <v/>
      </c>
      <c r="K440" s="119">
        <v>450000.0</v>
      </c>
      <c r="L440" s="111">
        <f t="shared" si="4"/>
        <v>450000</v>
      </c>
      <c r="M440" s="127" t="str">
        <f t="shared" si="5"/>
        <v/>
      </c>
      <c r="N440" s="113">
        <f t="shared" si="6"/>
        <v>0</v>
      </c>
      <c r="O440" s="113">
        <f t="shared" si="7"/>
        <v>0</v>
      </c>
      <c r="P440" s="114">
        <f t="shared" si="8"/>
        <v>0</v>
      </c>
      <c r="Q440" s="115">
        <f t="shared" si="9"/>
        <v>0</v>
      </c>
      <c r="R440" s="117"/>
      <c r="S440" s="117">
        <f t="shared" si="10"/>
        <v>1540000</v>
      </c>
    </row>
    <row r="441">
      <c r="A441" s="20">
        <f t="shared" si="1"/>
        <v>2</v>
      </c>
      <c r="B441" s="106">
        <v>44104.0</v>
      </c>
      <c r="C441" s="21" t="s">
        <v>181</v>
      </c>
      <c r="D441" s="124" t="str">
        <f t="shared" si="2"/>
        <v>UNCLE BIGGIE2</v>
      </c>
      <c r="E441" s="93"/>
      <c r="F441" s="93"/>
      <c r="G441" s="93"/>
      <c r="H441" s="93"/>
      <c r="I441" s="125"/>
      <c r="J441" s="126" t="str">
        <f t="shared" si="3"/>
        <v/>
      </c>
      <c r="K441" s="119">
        <v>300000.0</v>
      </c>
      <c r="L441" s="111">
        <f t="shared" si="4"/>
        <v>300000</v>
      </c>
      <c r="M441" s="127" t="str">
        <f t="shared" si="5"/>
        <v/>
      </c>
      <c r="N441" s="113">
        <f t="shared" si="6"/>
        <v>0</v>
      </c>
      <c r="O441" s="113">
        <f t="shared" si="7"/>
        <v>0</v>
      </c>
      <c r="P441" s="114">
        <f t="shared" si="8"/>
        <v>0</v>
      </c>
      <c r="Q441" s="115">
        <f t="shared" si="9"/>
        <v>0</v>
      </c>
      <c r="R441" s="117"/>
      <c r="S441" s="117">
        <f t="shared" si="10"/>
        <v>340000</v>
      </c>
    </row>
    <row r="442">
      <c r="A442" s="20">
        <f t="shared" si="1"/>
        <v>22</v>
      </c>
      <c r="B442" s="106">
        <v>44104.0</v>
      </c>
      <c r="C442" s="21" t="s">
        <v>146</v>
      </c>
      <c r="D442" s="124" t="str">
        <f t="shared" si="2"/>
        <v>CONNECT22</v>
      </c>
      <c r="E442" s="93"/>
      <c r="F442" s="93"/>
      <c r="G442" s="93"/>
      <c r="H442" s="93"/>
      <c r="I442" s="125"/>
      <c r="J442" s="126" t="str">
        <f t="shared" si="3"/>
        <v/>
      </c>
      <c r="K442" s="119">
        <v>432400.0</v>
      </c>
      <c r="L442" s="111">
        <f t="shared" si="4"/>
        <v>432400</v>
      </c>
      <c r="M442" s="127" t="str">
        <f t="shared" si="5"/>
        <v/>
      </c>
      <c r="N442" s="113">
        <f t="shared" si="6"/>
        <v>0</v>
      </c>
      <c r="O442" s="113">
        <f t="shared" si="7"/>
        <v>0</v>
      </c>
      <c r="P442" s="114">
        <f t="shared" si="8"/>
        <v>0</v>
      </c>
      <c r="Q442" s="115">
        <f t="shared" si="9"/>
        <v>0</v>
      </c>
      <c r="R442" s="117"/>
      <c r="S442" s="117">
        <f t="shared" si="10"/>
        <v>6317250</v>
      </c>
    </row>
    <row r="443">
      <c r="A443" s="20">
        <f t="shared" si="1"/>
        <v>14</v>
      </c>
      <c r="B443" s="106">
        <v>44132.0</v>
      </c>
      <c r="C443" s="21" t="s">
        <v>98</v>
      </c>
      <c r="D443" s="124" t="str">
        <f t="shared" si="2"/>
        <v>EDWARD OKO14</v>
      </c>
      <c r="E443" s="93">
        <v>5466.0</v>
      </c>
      <c r="F443" s="93">
        <v>723.0</v>
      </c>
      <c r="G443" s="93"/>
      <c r="H443" s="93">
        <v>83.0</v>
      </c>
      <c r="I443" s="125"/>
      <c r="J443" s="126">
        <f t="shared" si="3"/>
        <v>979.11</v>
      </c>
      <c r="K443" s="119"/>
      <c r="L443" s="111">
        <f t="shared" si="4"/>
        <v>-5233330</v>
      </c>
      <c r="M443" s="127">
        <f t="shared" si="5"/>
        <v>8.71</v>
      </c>
      <c r="N443" s="113">
        <f t="shared" si="6"/>
        <v>38</v>
      </c>
      <c r="O443" s="113">
        <f t="shared" si="7"/>
        <v>84</v>
      </c>
      <c r="P443" s="114">
        <f t="shared" si="8"/>
        <v>52</v>
      </c>
      <c r="Q443" s="115">
        <f t="shared" si="9"/>
        <v>5345</v>
      </c>
      <c r="R443" s="117">
        <v>5233330.0</v>
      </c>
      <c r="S443" s="117">
        <f t="shared" si="10"/>
        <v>2650160</v>
      </c>
    </row>
    <row r="444">
      <c r="A444" s="20">
        <f t="shared" si="1"/>
        <v>15</v>
      </c>
      <c r="B444" s="106">
        <v>44106.0</v>
      </c>
      <c r="C444" s="21" t="s">
        <v>98</v>
      </c>
      <c r="D444" s="124" t="str">
        <f t="shared" si="2"/>
        <v>EDWARD OKO15</v>
      </c>
      <c r="E444" s="93"/>
      <c r="F444" s="93"/>
      <c r="G444" s="93"/>
      <c r="H444" s="93"/>
      <c r="I444" s="125"/>
      <c r="J444" s="126" t="str">
        <f t="shared" si="3"/>
        <v/>
      </c>
      <c r="K444" s="119">
        <v>3000000.0</v>
      </c>
      <c r="L444" s="111">
        <f t="shared" si="4"/>
        <v>3000000</v>
      </c>
      <c r="M444" s="127" t="str">
        <f t="shared" si="5"/>
        <v/>
      </c>
      <c r="N444" s="113">
        <f t="shared" si="6"/>
        <v>0</v>
      </c>
      <c r="O444" s="113">
        <f t="shared" si="7"/>
        <v>0</v>
      </c>
      <c r="P444" s="114">
        <f t="shared" si="8"/>
        <v>0</v>
      </c>
      <c r="Q444" s="115">
        <f t="shared" si="9"/>
        <v>0</v>
      </c>
      <c r="R444" s="117"/>
      <c r="S444" s="117">
        <f t="shared" si="10"/>
        <v>5650160</v>
      </c>
    </row>
    <row r="445">
      <c r="A445" s="20">
        <f t="shared" si="1"/>
        <v>3</v>
      </c>
      <c r="B445" s="106">
        <v>44134.0</v>
      </c>
      <c r="C445" s="21" t="s">
        <v>181</v>
      </c>
      <c r="D445" s="124" t="str">
        <f t="shared" si="2"/>
        <v>UNCLE BIGGIE3</v>
      </c>
      <c r="E445" s="93">
        <v>2711.0</v>
      </c>
      <c r="F445" s="93">
        <v>344.0</v>
      </c>
      <c r="G445" s="93"/>
      <c r="H445" s="93">
        <v>43.0</v>
      </c>
      <c r="I445" s="125"/>
      <c r="J445" s="126">
        <f t="shared" si="3"/>
        <v>0</v>
      </c>
      <c r="K445" s="119"/>
      <c r="L445" s="111">
        <f t="shared" si="4"/>
        <v>0</v>
      </c>
      <c r="M445" s="127">
        <f t="shared" si="5"/>
        <v>8</v>
      </c>
      <c r="N445" s="113">
        <f t="shared" si="6"/>
        <v>0</v>
      </c>
      <c r="O445" s="113">
        <f t="shared" si="7"/>
        <v>42</v>
      </c>
      <c r="P445" s="114">
        <f t="shared" si="8"/>
        <v>21</v>
      </c>
      <c r="Q445" s="115">
        <f t="shared" si="9"/>
        <v>2668</v>
      </c>
      <c r="R445" s="117"/>
      <c r="S445" s="117">
        <f t="shared" si="10"/>
        <v>340000</v>
      </c>
    </row>
    <row r="446">
      <c r="A446" s="20">
        <f t="shared" si="1"/>
        <v>4</v>
      </c>
      <c r="B446" s="106">
        <v>44105.0</v>
      </c>
      <c r="C446" s="21" t="s">
        <v>181</v>
      </c>
      <c r="D446" s="124" t="str">
        <f t="shared" si="2"/>
        <v>UNCLE BIGGIE4</v>
      </c>
      <c r="E446" s="93"/>
      <c r="F446" s="93"/>
      <c r="G446" s="93"/>
      <c r="H446" s="93"/>
      <c r="I446" s="125"/>
      <c r="J446" s="126" t="str">
        <f t="shared" si="3"/>
        <v/>
      </c>
      <c r="K446" s="119">
        <v>200000.0</v>
      </c>
      <c r="L446" s="111">
        <f t="shared" si="4"/>
        <v>200000</v>
      </c>
      <c r="M446" s="127" t="str">
        <f t="shared" si="5"/>
        <v/>
      </c>
      <c r="N446" s="113">
        <f t="shared" si="6"/>
        <v>0</v>
      </c>
      <c r="O446" s="113">
        <f t="shared" si="7"/>
        <v>0</v>
      </c>
      <c r="P446" s="114">
        <f t="shared" si="8"/>
        <v>0</v>
      </c>
      <c r="Q446" s="115">
        <f t="shared" si="9"/>
        <v>0</v>
      </c>
      <c r="R446" s="117"/>
      <c r="S446" s="117">
        <f t="shared" si="10"/>
        <v>540000</v>
      </c>
    </row>
    <row r="447">
      <c r="A447" s="20">
        <f t="shared" si="1"/>
        <v>11</v>
      </c>
      <c r="B447" s="106">
        <v>44105.0</v>
      </c>
      <c r="C447" s="21" t="s">
        <v>110</v>
      </c>
      <c r="D447" s="124" t="str">
        <f t="shared" si="2"/>
        <v>AUGUSTINE IGBA11</v>
      </c>
      <c r="E447" s="93"/>
      <c r="F447" s="93"/>
      <c r="G447" s="93"/>
      <c r="H447" s="93"/>
      <c r="I447" s="125"/>
      <c r="J447" s="126" t="str">
        <f t="shared" si="3"/>
        <v/>
      </c>
      <c r="K447" s="119">
        <v>10000.0</v>
      </c>
      <c r="L447" s="111">
        <f t="shared" si="4"/>
        <v>10000</v>
      </c>
      <c r="M447" s="127" t="str">
        <f t="shared" si="5"/>
        <v/>
      </c>
      <c r="N447" s="113">
        <f t="shared" si="6"/>
        <v>0</v>
      </c>
      <c r="O447" s="113">
        <f t="shared" si="7"/>
        <v>0</v>
      </c>
      <c r="P447" s="114">
        <f t="shared" si="8"/>
        <v>0</v>
      </c>
      <c r="Q447" s="115">
        <f t="shared" si="9"/>
        <v>0</v>
      </c>
      <c r="R447" s="117"/>
      <c r="S447" s="117">
        <f t="shared" si="10"/>
        <v>23587540</v>
      </c>
    </row>
    <row r="448">
      <c r="A448" s="20">
        <f t="shared" si="1"/>
        <v>18</v>
      </c>
      <c r="B448" s="106">
        <v>44106.0</v>
      </c>
      <c r="C448" s="21" t="s">
        <v>113</v>
      </c>
      <c r="D448" s="124" t="str">
        <f t="shared" si="2"/>
        <v> MAXWELL AGRO18</v>
      </c>
      <c r="E448" s="93"/>
      <c r="F448" s="93"/>
      <c r="G448" s="93"/>
      <c r="H448" s="93"/>
      <c r="I448" s="125"/>
      <c r="J448" s="126" t="str">
        <f t="shared" si="3"/>
        <v/>
      </c>
      <c r="K448" s="119">
        <v>1000000.0</v>
      </c>
      <c r="L448" s="111">
        <f t="shared" si="4"/>
        <v>1000000</v>
      </c>
      <c r="M448" s="127" t="str">
        <f t="shared" si="5"/>
        <v/>
      </c>
      <c r="N448" s="113">
        <f t="shared" si="6"/>
        <v>0</v>
      </c>
      <c r="O448" s="113">
        <f t="shared" si="7"/>
        <v>0</v>
      </c>
      <c r="P448" s="114">
        <f t="shared" si="8"/>
        <v>0</v>
      </c>
      <c r="Q448" s="115">
        <f t="shared" si="9"/>
        <v>0</v>
      </c>
      <c r="R448" s="117"/>
      <c r="S448" s="117">
        <f t="shared" si="10"/>
        <v>1704432</v>
      </c>
    </row>
    <row r="449">
      <c r="A449" s="20">
        <f t="shared" si="1"/>
        <v>17</v>
      </c>
      <c r="B449" s="106">
        <v>44106.0</v>
      </c>
      <c r="C449" s="21" t="s">
        <v>46</v>
      </c>
      <c r="D449" s="124" t="str">
        <f t="shared" si="2"/>
        <v>ETUK EFFI17</v>
      </c>
      <c r="E449" s="93"/>
      <c r="F449" s="93"/>
      <c r="G449" s="93"/>
      <c r="H449" s="93"/>
      <c r="I449" s="125"/>
      <c r="J449" s="126" t="str">
        <f t="shared" si="3"/>
        <v/>
      </c>
      <c r="K449" s="119">
        <v>1000000.0</v>
      </c>
      <c r="L449" s="111">
        <f t="shared" si="4"/>
        <v>1000000</v>
      </c>
      <c r="M449" s="127" t="str">
        <f t="shared" si="5"/>
        <v/>
      </c>
      <c r="N449" s="113">
        <f t="shared" si="6"/>
        <v>0</v>
      </c>
      <c r="O449" s="113">
        <f t="shared" si="7"/>
        <v>0</v>
      </c>
      <c r="P449" s="114">
        <f t="shared" si="8"/>
        <v>0</v>
      </c>
      <c r="Q449" s="115">
        <f t="shared" si="9"/>
        <v>0</v>
      </c>
      <c r="R449" s="117"/>
      <c r="S449" s="117">
        <f t="shared" si="10"/>
        <v>2900100</v>
      </c>
    </row>
    <row r="450">
      <c r="A450" s="20">
        <f t="shared" si="1"/>
        <v>4</v>
      </c>
      <c r="B450" s="106">
        <v>44106.0</v>
      </c>
      <c r="C450" s="21" t="s">
        <v>118</v>
      </c>
      <c r="D450" s="124" t="str">
        <f t="shared" si="2"/>
        <v>NAOMI4</v>
      </c>
      <c r="E450" s="93"/>
      <c r="F450" s="93"/>
      <c r="G450" s="93"/>
      <c r="H450" s="93"/>
      <c r="I450" s="125"/>
      <c r="J450" s="126" t="str">
        <f t="shared" si="3"/>
        <v/>
      </c>
      <c r="K450" s="119">
        <v>20000.0</v>
      </c>
      <c r="L450" s="111">
        <f t="shared" si="4"/>
        <v>20000</v>
      </c>
      <c r="M450" s="127" t="str">
        <f t="shared" si="5"/>
        <v/>
      </c>
      <c r="N450" s="113">
        <f t="shared" si="6"/>
        <v>0</v>
      </c>
      <c r="O450" s="113">
        <f t="shared" si="7"/>
        <v>0</v>
      </c>
      <c r="P450" s="114">
        <f t="shared" si="8"/>
        <v>0</v>
      </c>
      <c r="Q450" s="115">
        <f t="shared" si="9"/>
        <v>0</v>
      </c>
      <c r="R450" s="117"/>
      <c r="S450" s="117">
        <f t="shared" si="10"/>
        <v>13170265</v>
      </c>
    </row>
    <row r="451">
      <c r="A451" s="20">
        <f t="shared" si="1"/>
        <v>2</v>
      </c>
      <c r="B451" s="106">
        <v>44106.0</v>
      </c>
      <c r="C451" s="21" t="s">
        <v>58</v>
      </c>
      <c r="D451" s="124" t="str">
        <f t="shared" si="2"/>
        <v>ABANG. ORU2</v>
      </c>
      <c r="E451" s="93"/>
      <c r="F451" s="93"/>
      <c r="G451" s="93"/>
      <c r="H451" s="93"/>
      <c r="I451" s="125"/>
      <c r="J451" s="126" t="str">
        <f t="shared" si="3"/>
        <v/>
      </c>
      <c r="K451" s="119">
        <v>20000.0</v>
      </c>
      <c r="L451" s="111">
        <f t="shared" si="4"/>
        <v>20000</v>
      </c>
      <c r="M451" s="127" t="str">
        <f t="shared" si="5"/>
        <v/>
      </c>
      <c r="N451" s="113">
        <f t="shared" si="6"/>
        <v>0</v>
      </c>
      <c r="O451" s="113">
        <f t="shared" si="7"/>
        <v>0</v>
      </c>
      <c r="P451" s="114">
        <f t="shared" si="8"/>
        <v>0</v>
      </c>
      <c r="Q451" s="115">
        <f t="shared" si="9"/>
        <v>0</v>
      </c>
      <c r="R451" s="117"/>
      <c r="S451" s="117">
        <f t="shared" si="10"/>
        <v>70000</v>
      </c>
    </row>
    <row r="452">
      <c r="A452" s="20">
        <f t="shared" si="1"/>
        <v>23</v>
      </c>
      <c r="B452" s="106">
        <v>44107.0</v>
      </c>
      <c r="C452" s="21" t="s">
        <v>146</v>
      </c>
      <c r="D452" s="124" t="str">
        <f t="shared" si="2"/>
        <v>CONNECT23</v>
      </c>
      <c r="E452" s="93"/>
      <c r="F452" s="93"/>
      <c r="G452" s="93"/>
      <c r="H452" s="93"/>
      <c r="I452" s="125"/>
      <c r="J452" s="126" t="str">
        <f t="shared" si="3"/>
        <v/>
      </c>
      <c r="K452" s="119">
        <v>1000000.0</v>
      </c>
      <c r="L452" s="111">
        <f t="shared" si="4"/>
        <v>1000000</v>
      </c>
      <c r="M452" s="127" t="str">
        <f t="shared" si="5"/>
        <v/>
      </c>
      <c r="N452" s="113">
        <f t="shared" si="6"/>
        <v>0</v>
      </c>
      <c r="O452" s="113">
        <f t="shared" si="7"/>
        <v>0</v>
      </c>
      <c r="P452" s="114">
        <f t="shared" si="8"/>
        <v>0</v>
      </c>
      <c r="Q452" s="115">
        <f t="shared" si="9"/>
        <v>0</v>
      </c>
      <c r="R452" s="117"/>
      <c r="S452" s="117">
        <f t="shared" si="10"/>
        <v>7317250</v>
      </c>
    </row>
    <row r="453">
      <c r="A453" s="20">
        <f t="shared" si="1"/>
        <v>28</v>
      </c>
      <c r="B453" s="106">
        <v>44107.0</v>
      </c>
      <c r="C453" s="21" t="s">
        <v>117</v>
      </c>
      <c r="D453" s="124" t="str">
        <f t="shared" si="2"/>
        <v>LYDIA HNSON 28</v>
      </c>
      <c r="E453" s="93"/>
      <c r="F453" s="93"/>
      <c r="G453" s="93"/>
      <c r="H453" s="93"/>
      <c r="I453" s="125"/>
      <c r="J453" s="126" t="str">
        <f t="shared" si="3"/>
        <v/>
      </c>
      <c r="K453" s="119">
        <v>400000.0</v>
      </c>
      <c r="L453" s="111">
        <f t="shared" si="4"/>
        <v>400000</v>
      </c>
      <c r="M453" s="127" t="str">
        <f t="shared" si="5"/>
        <v/>
      </c>
      <c r="N453" s="113">
        <f t="shared" si="6"/>
        <v>0</v>
      </c>
      <c r="O453" s="113">
        <f t="shared" si="7"/>
        <v>0</v>
      </c>
      <c r="P453" s="114">
        <f t="shared" si="8"/>
        <v>0</v>
      </c>
      <c r="Q453" s="115">
        <f t="shared" si="9"/>
        <v>0</v>
      </c>
      <c r="R453" s="117"/>
      <c r="S453" s="117">
        <f t="shared" si="10"/>
        <v>5110520</v>
      </c>
    </row>
    <row r="454">
      <c r="A454" s="20">
        <f t="shared" si="1"/>
        <v>24</v>
      </c>
      <c r="B454" s="106">
        <v>44109.0</v>
      </c>
      <c r="C454" s="21" t="s">
        <v>146</v>
      </c>
      <c r="D454" s="124" t="str">
        <f t="shared" si="2"/>
        <v>CONNECT24</v>
      </c>
      <c r="E454" s="93">
        <v>6468.0</v>
      </c>
      <c r="F454" s="93">
        <v>999.5</v>
      </c>
      <c r="G454" s="93"/>
      <c r="H454" s="93">
        <v>100.0</v>
      </c>
      <c r="I454" s="125"/>
      <c r="J454" s="126">
        <f t="shared" si="3"/>
        <v>960</v>
      </c>
      <c r="K454" s="119"/>
      <c r="L454" s="111">
        <f t="shared" si="4"/>
        <v>-5991360</v>
      </c>
      <c r="M454" s="127">
        <f t="shared" si="5"/>
        <v>10</v>
      </c>
      <c r="N454" s="113">
        <f t="shared" si="6"/>
        <v>127</v>
      </c>
      <c r="O454" s="113">
        <f t="shared" si="7"/>
        <v>99</v>
      </c>
      <c r="P454" s="114">
        <f t="shared" si="8"/>
        <v>3</v>
      </c>
      <c r="Q454" s="115">
        <f t="shared" si="9"/>
        <v>6241</v>
      </c>
      <c r="R454" s="117">
        <v>5991360.0</v>
      </c>
      <c r="S454" s="117">
        <f t="shared" si="10"/>
        <v>1325890</v>
      </c>
    </row>
    <row r="455">
      <c r="A455" s="20">
        <f t="shared" si="1"/>
        <v>15</v>
      </c>
      <c r="B455" s="106">
        <v>44109.0</v>
      </c>
      <c r="C455" s="21" t="s">
        <v>125</v>
      </c>
      <c r="D455" s="124" t="str">
        <f t="shared" si="2"/>
        <v>ANDRDEW GREAT15</v>
      </c>
      <c r="E455" s="93"/>
      <c r="F455" s="93"/>
      <c r="G455" s="93"/>
      <c r="H455" s="93"/>
      <c r="I455" s="125"/>
      <c r="J455" s="126" t="str">
        <f t="shared" si="3"/>
        <v/>
      </c>
      <c r="K455" s="119">
        <v>200000.0</v>
      </c>
      <c r="L455" s="111">
        <f t="shared" si="4"/>
        <v>200000</v>
      </c>
      <c r="M455" s="127" t="str">
        <f t="shared" si="5"/>
        <v/>
      </c>
      <c r="N455" s="113">
        <f t="shared" si="6"/>
        <v>0</v>
      </c>
      <c r="O455" s="113">
        <f t="shared" si="7"/>
        <v>0</v>
      </c>
      <c r="P455" s="114">
        <f t="shared" si="8"/>
        <v>0</v>
      </c>
      <c r="Q455" s="115">
        <f t="shared" si="9"/>
        <v>0</v>
      </c>
      <c r="R455" s="117"/>
      <c r="S455" s="117">
        <f t="shared" si="10"/>
        <v>3706860</v>
      </c>
    </row>
    <row r="456">
      <c r="A456" s="20">
        <f t="shared" si="1"/>
        <v>18</v>
      </c>
      <c r="B456" s="106">
        <v>44109.0</v>
      </c>
      <c r="C456" s="21" t="s">
        <v>46</v>
      </c>
      <c r="D456" s="124" t="str">
        <f t="shared" si="2"/>
        <v>ETUK EFFI18</v>
      </c>
      <c r="E456" s="93"/>
      <c r="F456" s="93"/>
      <c r="G456" s="93"/>
      <c r="H456" s="93"/>
      <c r="I456" s="125"/>
      <c r="J456" s="126" t="str">
        <f t="shared" si="3"/>
        <v/>
      </c>
      <c r="K456" s="119">
        <v>1000000.0</v>
      </c>
      <c r="L456" s="111">
        <f t="shared" si="4"/>
        <v>1000000</v>
      </c>
      <c r="M456" s="127" t="str">
        <f t="shared" si="5"/>
        <v/>
      </c>
      <c r="N456" s="113">
        <f t="shared" si="6"/>
        <v>0</v>
      </c>
      <c r="O456" s="113">
        <f t="shared" si="7"/>
        <v>0</v>
      </c>
      <c r="P456" s="114">
        <f t="shared" si="8"/>
        <v>0</v>
      </c>
      <c r="Q456" s="115">
        <f t="shared" si="9"/>
        <v>0</v>
      </c>
      <c r="R456" s="117"/>
      <c r="S456" s="117">
        <f t="shared" si="10"/>
        <v>3900100</v>
      </c>
    </row>
    <row r="457">
      <c r="A457" s="20">
        <f t="shared" si="1"/>
        <v>1</v>
      </c>
      <c r="B457" s="106">
        <v>44109.0</v>
      </c>
      <c r="C457" s="21" t="s">
        <v>182</v>
      </c>
      <c r="D457" s="124" t="str">
        <f t="shared" si="2"/>
        <v>GIFT GABRIEL1</v>
      </c>
      <c r="E457" s="93"/>
      <c r="F457" s="93"/>
      <c r="G457" s="93"/>
      <c r="H457" s="93"/>
      <c r="I457" s="125"/>
      <c r="J457" s="126" t="str">
        <f t="shared" si="3"/>
        <v/>
      </c>
      <c r="K457" s="119">
        <v>1000000.0</v>
      </c>
      <c r="L457" s="111">
        <f t="shared" si="4"/>
        <v>1000000</v>
      </c>
      <c r="M457" s="127" t="str">
        <f t="shared" si="5"/>
        <v/>
      </c>
      <c r="N457" s="113">
        <f t="shared" si="6"/>
        <v>0</v>
      </c>
      <c r="O457" s="113">
        <f t="shared" si="7"/>
        <v>0</v>
      </c>
      <c r="P457" s="114">
        <f t="shared" si="8"/>
        <v>0</v>
      </c>
      <c r="Q457" s="115">
        <f t="shared" si="9"/>
        <v>0</v>
      </c>
      <c r="R457" s="117"/>
      <c r="S457" s="117">
        <f t="shared" si="10"/>
        <v>1000000</v>
      </c>
    </row>
    <row r="458">
      <c r="A458" s="20">
        <f t="shared" si="1"/>
        <v>19</v>
      </c>
      <c r="B458" s="106">
        <v>44109.0</v>
      </c>
      <c r="C458" s="21" t="s">
        <v>113</v>
      </c>
      <c r="D458" s="124" t="str">
        <f t="shared" si="2"/>
        <v> MAXWELL AGRO19</v>
      </c>
      <c r="E458" s="93"/>
      <c r="F458" s="93"/>
      <c r="G458" s="93"/>
      <c r="H458" s="93"/>
      <c r="I458" s="125"/>
      <c r="J458" s="126" t="str">
        <f t="shared" si="3"/>
        <v/>
      </c>
      <c r="K458" s="119">
        <v>900000.0</v>
      </c>
      <c r="L458" s="111">
        <f t="shared" si="4"/>
        <v>900000</v>
      </c>
      <c r="M458" s="127" t="str">
        <f t="shared" si="5"/>
        <v/>
      </c>
      <c r="N458" s="113">
        <f t="shared" si="6"/>
        <v>0</v>
      </c>
      <c r="O458" s="113">
        <f t="shared" si="7"/>
        <v>0</v>
      </c>
      <c r="P458" s="114">
        <f t="shared" si="8"/>
        <v>0</v>
      </c>
      <c r="Q458" s="115">
        <f t="shared" si="9"/>
        <v>0</v>
      </c>
      <c r="R458" s="117"/>
      <c r="S458" s="117">
        <f t="shared" si="10"/>
        <v>2604432</v>
      </c>
    </row>
    <row r="459">
      <c r="A459" s="20">
        <f t="shared" si="1"/>
        <v>5</v>
      </c>
      <c r="B459" s="106">
        <v>44109.0</v>
      </c>
      <c r="C459" s="21" t="s">
        <v>105</v>
      </c>
      <c r="D459" s="124" t="str">
        <f t="shared" si="2"/>
        <v>OSIM MARIAM5</v>
      </c>
      <c r="E459" s="93"/>
      <c r="F459" s="93"/>
      <c r="G459" s="93"/>
      <c r="H459" s="93"/>
      <c r="I459" s="125"/>
      <c r="J459" s="126" t="str">
        <f t="shared" si="3"/>
        <v/>
      </c>
      <c r="K459" s="119">
        <v>50000.0</v>
      </c>
      <c r="L459" s="111">
        <f t="shared" si="4"/>
        <v>50000</v>
      </c>
      <c r="M459" s="127" t="str">
        <f t="shared" si="5"/>
        <v/>
      </c>
      <c r="N459" s="113">
        <f t="shared" si="6"/>
        <v>0</v>
      </c>
      <c r="O459" s="113">
        <f t="shared" si="7"/>
        <v>0</v>
      </c>
      <c r="P459" s="114">
        <f t="shared" si="8"/>
        <v>0</v>
      </c>
      <c r="Q459" s="115">
        <f t="shared" si="9"/>
        <v>0</v>
      </c>
      <c r="R459" s="117"/>
      <c r="S459" s="117">
        <f t="shared" si="10"/>
        <v>1250000</v>
      </c>
    </row>
    <row r="460">
      <c r="A460" s="20">
        <f t="shared" si="1"/>
        <v>16</v>
      </c>
      <c r="B460" s="106">
        <v>44112.0</v>
      </c>
      <c r="C460" s="21" t="s">
        <v>126</v>
      </c>
      <c r="D460" s="124" t="str">
        <f t="shared" si="2"/>
        <v>NDOMA BODE I.D16</v>
      </c>
      <c r="E460" s="93">
        <v>1583.0</v>
      </c>
      <c r="F460" s="93">
        <v>200.0</v>
      </c>
      <c r="G460" s="93"/>
      <c r="H460" s="93">
        <v>25.0</v>
      </c>
      <c r="I460" s="125">
        <v>0.0</v>
      </c>
      <c r="J460" s="126">
        <f t="shared" si="3"/>
        <v>950</v>
      </c>
      <c r="K460" s="119"/>
      <c r="L460" s="111">
        <f t="shared" si="4"/>
        <v>-1480100</v>
      </c>
      <c r="M460" s="127">
        <f t="shared" si="5"/>
        <v>8</v>
      </c>
      <c r="N460" s="113">
        <f t="shared" si="6"/>
        <v>0</v>
      </c>
      <c r="O460" s="113">
        <f t="shared" si="7"/>
        <v>24</v>
      </c>
      <c r="P460" s="114">
        <f t="shared" si="8"/>
        <v>46</v>
      </c>
      <c r="Q460" s="115">
        <f t="shared" si="9"/>
        <v>1558</v>
      </c>
      <c r="R460" s="117">
        <v>1480100.0</v>
      </c>
      <c r="S460" s="117">
        <f t="shared" si="10"/>
        <v>19840</v>
      </c>
    </row>
    <row r="461">
      <c r="A461" s="20">
        <f t="shared" si="1"/>
        <v>3</v>
      </c>
      <c r="B461" s="106">
        <v>44112.0</v>
      </c>
      <c r="C461" s="21" t="s">
        <v>58</v>
      </c>
      <c r="D461" s="124" t="str">
        <f t="shared" si="2"/>
        <v>ABANG. ORU3</v>
      </c>
      <c r="E461" s="93">
        <v>74.0</v>
      </c>
      <c r="F461" s="93">
        <v>11.5</v>
      </c>
      <c r="G461" s="93"/>
      <c r="H461" s="93">
        <v>1.0</v>
      </c>
      <c r="I461" s="125"/>
      <c r="J461" s="126">
        <f t="shared" si="3"/>
        <v>950</v>
      </c>
      <c r="K461" s="119"/>
      <c r="L461" s="111">
        <f t="shared" si="4"/>
        <v>-66500</v>
      </c>
      <c r="M461" s="127">
        <f t="shared" si="5"/>
        <v>11.5</v>
      </c>
      <c r="N461" s="113">
        <f t="shared" si="6"/>
        <v>3</v>
      </c>
      <c r="O461" s="113">
        <f t="shared" si="7"/>
        <v>1</v>
      </c>
      <c r="P461" s="114">
        <f t="shared" si="8"/>
        <v>7</v>
      </c>
      <c r="Q461" s="115">
        <f t="shared" si="9"/>
        <v>70</v>
      </c>
      <c r="R461" s="117">
        <v>66500.0</v>
      </c>
      <c r="S461" s="117">
        <f t="shared" si="10"/>
        <v>3500</v>
      </c>
    </row>
    <row r="462">
      <c r="A462" s="20">
        <f t="shared" si="1"/>
        <v>1</v>
      </c>
      <c r="B462" s="106">
        <v>44100.0</v>
      </c>
      <c r="C462" s="21" t="s">
        <v>183</v>
      </c>
      <c r="D462" s="124" t="str">
        <f t="shared" si="2"/>
        <v>BLESSING CHAPMAN1</v>
      </c>
      <c r="E462" s="93"/>
      <c r="F462" s="93"/>
      <c r="G462" s="93"/>
      <c r="H462" s="93"/>
      <c r="I462" s="125"/>
      <c r="J462" s="126" t="str">
        <f t="shared" si="3"/>
        <v/>
      </c>
      <c r="K462" s="119">
        <v>-1040700.0</v>
      </c>
      <c r="L462" s="111">
        <f t="shared" si="4"/>
        <v>-1040700</v>
      </c>
      <c r="M462" s="127" t="str">
        <f t="shared" si="5"/>
        <v/>
      </c>
      <c r="N462" s="113">
        <f t="shared" si="6"/>
        <v>0</v>
      </c>
      <c r="O462" s="113">
        <f t="shared" si="7"/>
        <v>0</v>
      </c>
      <c r="P462" s="114">
        <f t="shared" si="8"/>
        <v>0</v>
      </c>
      <c r="Q462" s="115">
        <f t="shared" si="9"/>
        <v>0</v>
      </c>
      <c r="R462" s="117"/>
      <c r="S462" s="117">
        <f t="shared" si="10"/>
        <v>-1040700</v>
      </c>
    </row>
    <row r="463">
      <c r="A463" s="20">
        <f t="shared" si="1"/>
        <v>13</v>
      </c>
      <c r="B463" s="106">
        <v>44110.0</v>
      </c>
      <c r="C463" s="21" t="s">
        <v>109</v>
      </c>
      <c r="D463" s="124" t="str">
        <f t="shared" si="2"/>
        <v>OTU KOKO KEIBO13</v>
      </c>
      <c r="E463" s="93"/>
      <c r="F463" s="93"/>
      <c r="G463" s="93"/>
      <c r="H463" s="93"/>
      <c r="I463" s="125"/>
      <c r="J463" s="126" t="str">
        <f t="shared" si="3"/>
        <v/>
      </c>
      <c r="K463" s="119">
        <v>112000.0</v>
      </c>
      <c r="L463" s="111">
        <f t="shared" si="4"/>
        <v>112000</v>
      </c>
      <c r="M463" s="127" t="str">
        <f t="shared" si="5"/>
        <v/>
      </c>
      <c r="N463" s="113">
        <f t="shared" si="6"/>
        <v>0</v>
      </c>
      <c r="O463" s="113">
        <f t="shared" si="7"/>
        <v>0</v>
      </c>
      <c r="P463" s="114">
        <f t="shared" si="8"/>
        <v>0</v>
      </c>
      <c r="Q463" s="115">
        <f t="shared" si="9"/>
        <v>0</v>
      </c>
      <c r="R463" s="117"/>
      <c r="S463" s="117">
        <f t="shared" si="10"/>
        <v>28214425</v>
      </c>
    </row>
    <row r="464">
      <c r="A464" s="20">
        <f t="shared" si="1"/>
        <v>9</v>
      </c>
      <c r="B464" s="106">
        <v>44110.0</v>
      </c>
      <c r="C464" s="21" t="s">
        <v>156</v>
      </c>
      <c r="D464" s="124" t="str">
        <f t="shared" si="2"/>
        <v>NDOMA PETER9</v>
      </c>
      <c r="E464" s="93"/>
      <c r="F464" s="93"/>
      <c r="G464" s="93"/>
      <c r="H464" s="93"/>
      <c r="I464" s="125"/>
      <c r="J464" s="126" t="str">
        <f t="shared" si="3"/>
        <v/>
      </c>
      <c r="K464" s="119">
        <v>500000.0</v>
      </c>
      <c r="L464" s="111">
        <f t="shared" si="4"/>
        <v>500000</v>
      </c>
      <c r="M464" s="127" t="str">
        <f t="shared" si="5"/>
        <v/>
      </c>
      <c r="N464" s="113">
        <f t="shared" si="6"/>
        <v>0</v>
      </c>
      <c r="O464" s="113">
        <f t="shared" si="7"/>
        <v>0</v>
      </c>
      <c r="P464" s="114">
        <f t="shared" si="8"/>
        <v>0</v>
      </c>
      <c r="Q464" s="115">
        <f t="shared" si="9"/>
        <v>0</v>
      </c>
      <c r="R464" s="117"/>
      <c r="S464" s="117">
        <f t="shared" si="10"/>
        <v>1300000</v>
      </c>
    </row>
    <row r="465">
      <c r="A465" s="20">
        <f t="shared" si="1"/>
        <v>17</v>
      </c>
      <c r="B465" s="106">
        <v>44110.0</v>
      </c>
      <c r="C465" s="21" t="s">
        <v>126</v>
      </c>
      <c r="D465" s="124" t="str">
        <f t="shared" si="2"/>
        <v>NDOMA BODE I.D17</v>
      </c>
      <c r="E465" s="93"/>
      <c r="F465" s="93"/>
      <c r="G465" s="93"/>
      <c r="H465" s="93"/>
      <c r="I465" s="125"/>
      <c r="J465" s="126" t="str">
        <f t="shared" si="3"/>
        <v/>
      </c>
      <c r="K465" s="119">
        <v>780000.0</v>
      </c>
      <c r="L465" s="111">
        <f t="shared" si="4"/>
        <v>780000</v>
      </c>
      <c r="M465" s="127" t="str">
        <f t="shared" si="5"/>
        <v/>
      </c>
      <c r="N465" s="113">
        <f t="shared" si="6"/>
        <v>0</v>
      </c>
      <c r="O465" s="113">
        <f t="shared" si="7"/>
        <v>0</v>
      </c>
      <c r="P465" s="114">
        <f t="shared" si="8"/>
        <v>0</v>
      </c>
      <c r="Q465" s="115">
        <f t="shared" si="9"/>
        <v>0</v>
      </c>
      <c r="R465" s="117"/>
      <c r="S465" s="117">
        <f t="shared" si="10"/>
        <v>799840</v>
      </c>
    </row>
    <row r="466">
      <c r="A466" s="20">
        <f t="shared" si="1"/>
        <v>10</v>
      </c>
      <c r="B466" s="106">
        <v>44110.0</v>
      </c>
      <c r="C466" s="21" t="s">
        <v>159</v>
      </c>
      <c r="D466" s="124" t="str">
        <f t="shared" si="2"/>
        <v>EMMANUEL OKO 10</v>
      </c>
      <c r="E466" s="93"/>
      <c r="F466" s="93"/>
      <c r="G466" s="93"/>
      <c r="H466" s="93"/>
      <c r="I466" s="125"/>
      <c r="J466" s="126" t="str">
        <f t="shared" si="3"/>
        <v/>
      </c>
      <c r="K466" s="119">
        <v>500000.0</v>
      </c>
      <c r="L466" s="111">
        <f t="shared" si="4"/>
        <v>500000</v>
      </c>
      <c r="M466" s="127" t="str">
        <f t="shared" si="5"/>
        <v/>
      </c>
      <c r="N466" s="113">
        <f t="shared" si="6"/>
        <v>0</v>
      </c>
      <c r="O466" s="113">
        <f t="shared" si="7"/>
        <v>0</v>
      </c>
      <c r="P466" s="114">
        <f t="shared" si="8"/>
        <v>0</v>
      </c>
      <c r="Q466" s="115">
        <f t="shared" si="9"/>
        <v>0</v>
      </c>
      <c r="R466" s="117"/>
      <c r="S466" s="117">
        <f t="shared" si="10"/>
        <v>2040000</v>
      </c>
    </row>
    <row r="467">
      <c r="A467" s="20">
        <f t="shared" si="1"/>
        <v>12</v>
      </c>
      <c r="B467" s="106">
        <v>44110.0</v>
      </c>
      <c r="C467" s="21" t="s">
        <v>169</v>
      </c>
      <c r="D467" s="124" t="str">
        <f t="shared" si="2"/>
        <v>A. D. FREDERICK12</v>
      </c>
      <c r="E467" s="93"/>
      <c r="F467" s="93"/>
      <c r="G467" s="93"/>
      <c r="H467" s="93"/>
      <c r="I467" s="125"/>
      <c r="J467" s="126" t="str">
        <f t="shared" si="3"/>
        <v/>
      </c>
      <c r="K467" s="119">
        <v>500000.0</v>
      </c>
      <c r="L467" s="111">
        <f t="shared" si="4"/>
        <v>500000</v>
      </c>
      <c r="M467" s="127" t="str">
        <f t="shared" si="5"/>
        <v/>
      </c>
      <c r="N467" s="113">
        <f t="shared" si="6"/>
        <v>0</v>
      </c>
      <c r="O467" s="113">
        <f t="shared" si="7"/>
        <v>0</v>
      </c>
      <c r="P467" s="114">
        <f t="shared" si="8"/>
        <v>0</v>
      </c>
      <c r="Q467" s="115">
        <f t="shared" si="9"/>
        <v>0</v>
      </c>
      <c r="R467" s="117"/>
      <c r="S467" s="117">
        <f t="shared" si="10"/>
        <v>2324000</v>
      </c>
    </row>
    <row r="468">
      <c r="A468" s="20">
        <f t="shared" si="1"/>
        <v>10</v>
      </c>
      <c r="B468" s="106">
        <v>44110.0</v>
      </c>
      <c r="C468" s="21" t="s">
        <v>124</v>
      </c>
      <c r="D468" s="124" t="str">
        <f t="shared" si="2"/>
        <v>REMMY BODES10</v>
      </c>
      <c r="E468" s="93"/>
      <c r="F468" s="93"/>
      <c r="G468" s="93"/>
      <c r="H468" s="93"/>
      <c r="I468" s="125"/>
      <c r="J468" s="126" t="str">
        <f t="shared" si="3"/>
        <v/>
      </c>
      <c r="K468" s="119">
        <v>400000.0</v>
      </c>
      <c r="L468" s="111">
        <f t="shared" si="4"/>
        <v>400000</v>
      </c>
      <c r="M468" s="127" t="str">
        <f t="shared" si="5"/>
        <v/>
      </c>
      <c r="N468" s="113">
        <f t="shared" si="6"/>
        <v>0</v>
      </c>
      <c r="O468" s="113">
        <f t="shared" si="7"/>
        <v>0</v>
      </c>
      <c r="P468" s="114">
        <f t="shared" si="8"/>
        <v>0</v>
      </c>
      <c r="Q468" s="115">
        <f t="shared" si="9"/>
        <v>0</v>
      </c>
      <c r="R468" s="117"/>
      <c r="S468" s="117">
        <f t="shared" si="10"/>
        <v>1791000</v>
      </c>
    </row>
    <row r="469">
      <c r="A469" s="20">
        <f t="shared" si="1"/>
        <v>1</v>
      </c>
      <c r="B469" s="106">
        <v>44110.0</v>
      </c>
      <c r="C469" s="21" t="s">
        <v>45</v>
      </c>
      <c r="D469" s="124" t="str">
        <f t="shared" si="2"/>
        <v>NELSON &amp; PALUS1</v>
      </c>
      <c r="E469" s="93"/>
      <c r="F469" s="93"/>
      <c r="G469" s="93"/>
      <c r="H469" s="93"/>
      <c r="I469" s="125"/>
      <c r="J469" s="126" t="str">
        <f t="shared" si="3"/>
        <v/>
      </c>
      <c r="K469" s="119">
        <v>23000.0</v>
      </c>
      <c r="L469" s="111">
        <f t="shared" si="4"/>
        <v>23000</v>
      </c>
      <c r="M469" s="127" t="str">
        <f t="shared" si="5"/>
        <v/>
      </c>
      <c r="N469" s="113">
        <f t="shared" si="6"/>
        <v>0</v>
      </c>
      <c r="O469" s="113">
        <f t="shared" si="7"/>
        <v>0</v>
      </c>
      <c r="P469" s="114">
        <f t="shared" si="8"/>
        <v>0</v>
      </c>
      <c r="Q469" s="115">
        <f t="shared" si="9"/>
        <v>0</v>
      </c>
      <c r="R469" s="117"/>
      <c r="S469" s="117">
        <f t="shared" si="10"/>
        <v>23000</v>
      </c>
    </row>
    <row r="470">
      <c r="A470" s="20">
        <f t="shared" si="1"/>
        <v>14</v>
      </c>
      <c r="B470" s="106">
        <v>44111.0</v>
      </c>
      <c r="C470" s="21" t="s">
        <v>109</v>
      </c>
      <c r="D470" s="124" t="str">
        <f t="shared" si="2"/>
        <v>OTU KOKO KEIBO14</v>
      </c>
      <c r="E470" s="93"/>
      <c r="F470" s="93"/>
      <c r="G470" s="93"/>
      <c r="H470" s="93"/>
      <c r="I470" s="125"/>
      <c r="J470" s="126" t="str">
        <f t="shared" si="3"/>
        <v/>
      </c>
      <c r="K470" s="119">
        <v>50000.0</v>
      </c>
      <c r="L470" s="111">
        <f t="shared" si="4"/>
        <v>50000</v>
      </c>
      <c r="M470" s="127" t="str">
        <f t="shared" si="5"/>
        <v/>
      </c>
      <c r="N470" s="113">
        <f t="shared" si="6"/>
        <v>0</v>
      </c>
      <c r="O470" s="113">
        <f t="shared" si="7"/>
        <v>0</v>
      </c>
      <c r="P470" s="114">
        <f t="shared" si="8"/>
        <v>0</v>
      </c>
      <c r="Q470" s="115">
        <f t="shared" si="9"/>
        <v>0</v>
      </c>
      <c r="R470" s="117"/>
      <c r="S470" s="117">
        <f t="shared" si="10"/>
        <v>28264425</v>
      </c>
    </row>
    <row r="471">
      <c r="A471" s="20">
        <f t="shared" si="1"/>
        <v>1</v>
      </c>
      <c r="B471" s="106">
        <v>44111.0</v>
      </c>
      <c r="C471" s="21" t="s">
        <v>74</v>
      </c>
      <c r="D471" s="124" t="str">
        <f t="shared" si="2"/>
        <v>COPPA NKU1</v>
      </c>
      <c r="E471" s="93"/>
      <c r="F471" s="93"/>
      <c r="G471" s="93"/>
      <c r="H471" s="93"/>
      <c r="I471" s="125"/>
      <c r="J471" s="126" t="str">
        <f t="shared" si="3"/>
        <v/>
      </c>
      <c r="K471" s="119">
        <v>300000.0</v>
      </c>
      <c r="L471" s="111">
        <f t="shared" si="4"/>
        <v>300000</v>
      </c>
      <c r="M471" s="127" t="str">
        <f t="shared" si="5"/>
        <v/>
      </c>
      <c r="N471" s="113">
        <f t="shared" si="6"/>
        <v>0</v>
      </c>
      <c r="O471" s="113">
        <f t="shared" si="7"/>
        <v>0</v>
      </c>
      <c r="P471" s="114">
        <f t="shared" si="8"/>
        <v>0</v>
      </c>
      <c r="Q471" s="115">
        <f t="shared" si="9"/>
        <v>0</v>
      </c>
      <c r="R471" s="117"/>
      <c r="S471" s="117">
        <f t="shared" si="10"/>
        <v>300000</v>
      </c>
    </row>
    <row r="472">
      <c r="A472" s="20">
        <f t="shared" si="1"/>
        <v>12</v>
      </c>
      <c r="B472" s="106">
        <v>44111.0</v>
      </c>
      <c r="C472" s="21" t="s">
        <v>110</v>
      </c>
      <c r="D472" s="124" t="str">
        <f t="shared" si="2"/>
        <v>AUGUSTINE IGBA12</v>
      </c>
      <c r="E472" s="93"/>
      <c r="F472" s="93"/>
      <c r="G472" s="93"/>
      <c r="H472" s="93"/>
      <c r="I472" s="125"/>
      <c r="J472" s="126" t="str">
        <f t="shared" si="3"/>
        <v/>
      </c>
      <c r="K472" s="119">
        <v>4000000.0</v>
      </c>
      <c r="L472" s="111">
        <f t="shared" si="4"/>
        <v>4000000</v>
      </c>
      <c r="M472" s="127" t="str">
        <f t="shared" si="5"/>
        <v/>
      </c>
      <c r="N472" s="113">
        <f t="shared" si="6"/>
        <v>0</v>
      </c>
      <c r="O472" s="113">
        <f t="shared" si="7"/>
        <v>0</v>
      </c>
      <c r="P472" s="114">
        <f t="shared" si="8"/>
        <v>0</v>
      </c>
      <c r="Q472" s="115">
        <f t="shared" si="9"/>
        <v>0</v>
      </c>
      <c r="R472" s="117"/>
      <c r="S472" s="117">
        <f t="shared" si="10"/>
        <v>27587540</v>
      </c>
    </row>
    <row r="473">
      <c r="A473" s="20">
        <f t="shared" si="1"/>
        <v>19</v>
      </c>
      <c r="B473" s="106">
        <v>44111.0</v>
      </c>
      <c r="C473" s="21" t="s">
        <v>150</v>
      </c>
      <c r="D473" s="124" t="str">
        <f t="shared" si="2"/>
        <v>LIVINUS19</v>
      </c>
      <c r="E473" s="93"/>
      <c r="F473" s="93"/>
      <c r="G473" s="93"/>
      <c r="H473" s="93"/>
      <c r="I473" s="125"/>
      <c r="J473" s="126" t="str">
        <f t="shared" si="3"/>
        <v/>
      </c>
      <c r="K473" s="119">
        <v>620000.0</v>
      </c>
      <c r="L473" s="111">
        <f t="shared" si="4"/>
        <v>620000</v>
      </c>
      <c r="M473" s="127" t="str">
        <f t="shared" si="5"/>
        <v/>
      </c>
      <c r="N473" s="113">
        <f t="shared" si="6"/>
        <v>0</v>
      </c>
      <c r="O473" s="113">
        <f t="shared" si="7"/>
        <v>0</v>
      </c>
      <c r="P473" s="114">
        <f t="shared" si="8"/>
        <v>0</v>
      </c>
      <c r="Q473" s="115">
        <f t="shared" si="9"/>
        <v>0</v>
      </c>
      <c r="R473" s="117"/>
      <c r="S473" s="117">
        <f t="shared" si="10"/>
        <v>11401500</v>
      </c>
    </row>
    <row r="474">
      <c r="A474" s="20">
        <f t="shared" si="1"/>
        <v>18</v>
      </c>
      <c r="B474" s="106">
        <v>44111.0</v>
      </c>
      <c r="C474" s="21" t="s">
        <v>126</v>
      </c>
      <c r="D474" s="124" t="str">
        <f t="shared" si="2"/>
        <v>NDOMA BODE I.D18</v>
      </c>
      <c r="E474" s="93"/>
      <c r="F474" s="93"/>
      <c r="G474" s="93"/>
      <c r="H474" s="93"/>
      <c r="I474" s="125"/>
      <c r="J474" s="126" t="str">
        <f t="shared" si="3"/>
        <v/>
      </c>
      <c r="K474" s="119">
        <v>1200000.0</v>
      </c>
      <c r="L474" s="111">
        <f t="shared" si="4"/>
        <v>1200000</v>
      </c>
      <c r="M474" s="127" t="str">
        <f t="shared" si="5"/>
        <v/>
      </c>
      <c r="N474" s="113">
        <f t="shared" si="6"/>
        <v>0</v>
      </c>
      <c r="O474" s="113">
        <f t="shared" si="7"/>
        <v>0</v>
      </c>
      <c r="P474" s="114">
        <f t="shared" si="8"/>
        <v>0</v>
      </c>
      <c r="Q474" s="115">
        <f t="shared" si="9"/>
        <v>0</v>
      </c>
      <c r="R474" s="117"/>
      <c r="S474" s="117">
        <f t="shared" si="10"/>
        <v>1999840</v>
      </c>
    </row>
    <row r="475">
      <c r="A475" s="20">
        <f t="shared" si="1"/>
        <v>10</v>
      </c>
      <c r="B475" s="106">
        <v>44111.0</v>
      </c>
      <c r="C475" s="21" t="s">
        <v>156</v>
      </c>
      <c r="D475" s="124" t="str">
        <f t="shared" si="2"/>
        <v>NDOMA PETER10</v>
      </c>
      <c r="E475" s="93"/>
      <c r="F475" s="93"/>
      <c r="G475" s="93"/>
      <c r="H475" s="93"/>
      <c r="I475" s="125"/>
      <c r="J475" s="126" t="str">
        <f t="shared" si="3"/>
        <v/>
      </c>
      <c r="K475" s="119">
        <v>900000.0</v>
      </c>
      <c r="L475" s="111">
        <f t="shared" si="4"/>
        <v>900000</v>
      </c>
      <c r="M475" s="127" t="str">
        <f t="shared" si="5"/>
        <v/>
      </c>
      <c r="N475" s="113">
        <f t="shared" si="6"/>
        <v>0</v>
      </c>
      <c r="O475" s="113">
        <f t="shared" si="7"/>
        <v>0</v>
      </c>
      <c r="P475" s="114">
        <f t="shared" si="8"/>
        <v>0</v>
      </c>
      <c r="Q475" s="115">
        <f t="shared" si="9"/>
        <v>0</v>
      </c>
      <c r="R475" s="117"/>
      <c r="S475" s="117">
        <f t="shared" si="10"/>
        <v>2200000</v>
      </c>
    </row>
    <row r="476">
      <c r="A476" s="20">
        <f t="shared" si="1"/>
        <v>4</v>
      </c>
      <c r="B476" s="106">
        <v>44111.0</v>
      </c>
      <c r="C476" s="21" t="s">
        <v>123</v>
      </c>
      <c r="D476" s="124" t="str">
        <f t="shared" si="2"/>
        <v>RI SAMP4</v>
      </c>
      <c r="E476" s="93"/>
      <c r="F476" s="93"/>
      <c r="G476" s="93"/>
      <c r="H476" s="93"/>
      <c r="I476" s="125"/>
      <c r="J476" s="126" t="str">
        <f t="shared" si="3"/>
        <v/>
      </c>
      <c r="K476" s="119">
        <v>670000.0</v>
      </c>
      <c r="L476" s="111">
        <f t="shared" si="4"/>
        <v>670000</v>
      </c>
      <c r="M476" s="127" t="str">
        <f t="shared" si="5"/>
        <v/>
      </c>
      <c r="N476" s="113">
        <f t="shared" si="6"/>
        <v>0</v>
      </c>
      <c r="O476" s="113">
        <f t="shared" si="7"/>
        <v>0</v>
      </c>
      <c r="P476" s="114">
        <f t="shared" si="8"/>
        <v>0</v>
      </c>
      <c r="Q476" s="115">
        <f t="shared" si="9"/>
        <v>0</v>
      </c>
      <c r="R476" s="117"/>
      <c r="S476" s="117">
        <f t="shared" si="10"/>
        <v>1670000</v>
      </c>
    </row>
    <row r="477">
      <c r="A477" s="20">
        <f t="shared" si="1"/>
        <v>3</v>
      </c>
      <c r="B477" s="106">
        <v>44111.0</v>
      </c>
      <c r="C477" s="21" t="s">
        <v>180</v>
      </c>
      <c r="D477" s="124" t="str">
        <f t="shared" si="2"/>
        <v>PRIN M. BOSURU3</v>
      </c>
      <c r="E477" s="93"/>
      <c r="F477" s="93"/>
      <c r="G477" s="93"/>
      <c r="H477" s="93"/>
      <c r="I477" s="125"/>
      <c r="J477" s="126" t="str">
        <f t="shared" si="3"/>
        <v/>
      </c>
      <c r="K477" s="119">
        <v>620000.0</v>
      </c>
      <c r="L477" s="111">
        <f t="shared" si="4"/>
        <v>620000</v>
      </c>
      <c r="M477" s="127" t="str">
        <f t="shared" si="5"/>
        <v/>
      </c>
      <c r="N477" s="113">
        <f t="shared" si="6"/>
        <v>0</v>
      </c>
      <c r="O477" s="113">
        <f t="shared" si="7"/>
        <v>0</v>
      </c>
      <c r="P477" s="114">
        <f t="shared" si="8"/>
        <v>0</v>
      </c>
      <c r="Q477" s="115">
        <f t="shared" si="9"/>
        <v>0</v>
      </c>
      <c r="R477" s="117"/>
      <c r="S477" s="117">
        <f t="shared" si="10"/>
        <v>2412000</v>
      </c>
    </row>
    <row r="478">
      <c r="A478" s="20">
        <f t="shared" si="1"/>
        <v>8</v>
      </c>
      <c r="B478" s="106">
        <v>44111.0</v>
      </c>
      <c r="C478" s="21" t="s">
        <v>165</v>
      </c>
      <c r="D478" s="124" t="str">
        <f t="shared" si="2"/>
        <v>EUGENE8</v>
      </c>
      <c r="E478" s="93"/>
      <c r="F478" s="93"/>
      <c r="G478" s="93"/>
      <c r="H478" s="93"/>
      <c r="I478" s="125"/>
      <c r="J478" s="126" t="str">
        <f t="shared" si="3"/>
        <v/>
      </c>
      <c r="K478" s="119">
        <v>1645900.0</v>
      </c>
      <c r="L478" s="111">
        <f t="shared" si="4"/>
        <v>1645900</v>
      </c>
      <c r="M478" s="127" t="str">
        <f t="shared" si="5"/>
        <v/>
      </c>
      <c r="N478" s="113">
        <f t="shared" si="6"/>
        <v>0</v>
      </c>
      <c r="O478" s="113">
        <f t="shared" si="7"/>
        <v>0</v>
      </c>
      <c r="P478" s="114">
        <f t="shared" si="8"/>
        <v>0</v>
      </c>
      <c r="Q478" s="115">
        <f t="shared" si="9"/>
        <v>0</v>
      </c>
      <c r="R478" s="117"/>
      <c r="S478" s="117">
        <f t="shared" si="10"/>
        <v>3295900</v>
      </c>
    </row>
    <row r="479">
      <c r="A479" s="20">
        <f t="shared" si="1"/>
        <v>19</v>
      </c>
      <c r="B479" s="106">
        <v>44111.0</v>
      </c>
      <c r="C479" s="21" t="s">
        <v>46</v>
      </c>
      <c r="D479" s="124" t="str">
        <f t="shared" si="2"/>
        <v>ETUK EFFI19</v>
      </c>
      <c r="E479" s="93"/>
      <c r="F479" s="93"/>
      <c r="G479" s="93"/>
      <c r="H479" s="93"/>
      <c r="I479" s="125"/>
      <c r="J479" s="126" t="str">
        <f t="shared" si="3"/>
        <v/>
      </c>
      <c r="K479" s="119">
        <v>1520000.0</v>
      </c>
      <c r="L479" s="111">
        <f t="shared" si="4"/>
        <v>1520000</v>
      </c>
      <c r="M479" s="127" t="str">
        <f t="shared" si="5"/>
        <v/>
      </c>
      <c r="N479" s="113">
        <f t="shared" si="6"/>
        <v>0</v>
      </c>
      <c r="O479" s="113">
        <f t="shared" si="7"/>
        <v>0</v>
      </c>
      <c r="P479" s="114">
        <f t="shared" si="8"/>
        <v>0</v>
      </c>
      <c r="Q479" s="115">
        <f t="shared" si="9"/>
        <v>0</v>
      </c>
      <c r="R479" s="117"/>
      <c r="S479" s="117">
        <f t="shared" si="10"/>
        <v>5420100</v>
      </c>
    </row>
    <row r="480">
      <c r="A480" s="20">
        <f t="shared" si="1"/>
        <v>29</v>
      </c>
      <c r="B480" s="106">
        <v>44111.0</v>
      </c>
      <c r="C480" s="21" t="s">
        <v>117</v>
      </c>
      <c r="D480" s="124" t="str">
        <f t="shared" si="2"/>
        <v>LYDIA HNSON 29</v>
      </c>
      <c r="E480" s="93"/>
      <c r="F480" s="93"/>
      <c r="G480" s="93"/>
      <c r="H480" s="93"/>
      <c r="I480" s="125"/>
      <c r="J480" s="126" t="str">
        <f t="shared" si="3"/>
        <v/>
      </c>
      <c r="K480" s="119">
        <v>1800000.0</v>
      </c>
      <c r="L480" s="111">
        <f t="shared" si="4"/>
        <v>1800000</v>
      </c>
      <c r="M480" s="127" t="str">
        <f t="shared" si="5"/>
        <v/>
      </c>
      <c r="N480" s="113">
        <f t="shared" si="6"/>
        <v>0</v>
      </c>
      <c r="O480" s="113">
        <f t="shared" si="7"/>
        <v>0</v>
      </c>
      <c r="P480" s="114">
        <f t="shared" si="8"/>
        <v>0</v>
      </c>
      <c r="Q480" s="115">
        <f t="shared" si="9"/>
        <v>0</v>
      </c>
      <c r="R480" s="117"/>
      <c r="S480" s="117">
        <f t="shared" si="10"/>
        <v>6910520</v>
      </c>
    </row>
    <row r="481">
      <c r="A481" s="20">
        <f t="shared" si="1"/>
        <v>11</v>
      </c>
      <c r="B481" s="106">
        <v>44111.0</v>
      </c>
      <c r="C481" s="21" t="s">
        <v>124</v>
      </c>
      <c r="D481" s="124" t="str">
        <f t="shared" si="2"/>
        <v>REMMY BODES11</v>
      </c>
      <c r="E481" s="93"/>
      <c r="F481" s="93"/>
      <c r="G481" s="93"/>
      <c r="H481" s="93"/>
      <c r="I481" s="125"/>
      <c r="J481" s="126" t="str">
        <f t="shared" si="3"/>
        <v/>
      </c>
      <c r="K481" s="119">
        <v>661500.0</v>
      </c>
      <c r="L481" s="111">
        <f t="shared" si="4"/>
        <v>661500</v>
      </c>
      <c r="M481" s="127" t="str">
        <f t="shared" si="5"/>
        <v/>
      </c>
      <c r="N481" s="113">
        <f t="shared" si="6"/>
        <v>0</v>
      </c>
      <c r="O481" s="113">
        <f t="shared" si="7"/>
        <v>0</v>
      </c>
      <c r="P481" s="114">
        <f t="shared" si="8"/>
        <v>0</v>
      </c>
      <c r="Q481" s="115">
        <f t="shared" si="9"/>
        <v>0</v>
      </c>
      <c r="R481" s="117"/>
      <c r="S481" s="117">
        <f t="shared" si="10"/>
        <v>2452500</v>
      </c>
    </row>
    <row r="482">
      <c r="A482" s="20">
        <f t="shared" si="1"/>
        <v>4</v>
      </c>
      <c r="B482" s="106">
        <v>44111.0</v>
      </c>
      <c r="C482" s="21" t="s">
        <v>144</v>
      </c>
      <c r="D482" s="124" t="str">
        <f t="shared" si="2"/>
        <v>FRANCIS KEIBO4</v>
      </c>
      <c r="E482" s="93"/>
      <c r="F482" s="93"/>
      <c r="G482" s="93"/>
      <c r="H482" s="93"/>
      <c r="I482" s="125"/>
      <c r="J482" s="126" t="str">
        <f t="shared" si="3"/>
        <v/>
      </c>
      <c r="K482" s="119">
        <v>200000.0</v>
      </c>
      <c r="L482" s="111">
        <f t="shared" si="4"/>
        <v>200000</v>
      </c>
      <c r="M482" s="127" t="str">
        <f t="shared" si="5"/>
        <v/>
      </c>
      <c r="N482" s="113">
        <f t="shared" si="6"/>
        <v>0</v>
      </c>
      <c r="O482" s="113">
        <f t="shared" si="7"/>
        <v>0</v>
      </c>
      <c r="P482" s="114">
        <f t="shared" si="8"/>
        <v>0</v>
      </c>
      <c r="Q482" s="115">
        <f t="shared" si="9"/>
        <v>0</v>
      </c>
      <c r="R482" s="117"/>
      <c r="S482" s="117">
        <f t="shared" si="10"/>
        <v>787000</v>
      </c>
    </row>
    <row r="483">
      <c r="A483" s="20">
        <f t="shared" si="1"/>
        <v>13</v>
      </c>
      <c r="B483" s="106">
        <v>44111.0</v>
      </c>
      <c r="C483" s="21" t="s">
        <v>110</v>
      </c>
      <c r="D483" s="124" t="str">
        <f t="shared" si="2"/>
        <v>AUGUSTINE IGBA13</v>
      </c>
      <c r="E483" s="93"/>
      <c r="F483" s="93"/>
      <c r="G483" s="93"/>
      <c r="H483" s="93"/>
      <c r="I483" s="125"/>
      <c r="J483" s="126" t="str">
        <f t="shared" si="3"/>
        <v/>
      </c>
      <c r="K483" s="119">
        <v>5000.0</v>
      </c>
      <c r="L483" s="111">
        <f t="shared" si="4"/>
        <v>5000</v>
      </c>
      <c r="M483" s="127" t="str">
        <f t="shared" si="5"/>
        <v/>
      </c>
      <c r="N483" s="113">
        <f t="shared" si="6"/>
        <v>0</v>
      </c>
      <c r="O483" s="113">
        <f t="shared" si="7"/>
        <v>0</v>
      </c>
      <c r="P483" s="114">
        <f t="shared" si="8"/>
        <v>0</v>
      </c>
      <c r="Q483" s="115">
        <f t="shared" si="9"/>
        <v>0</v>
      </c>
      <c r="R483" s="117"/>
      <c r="S483" s="117">
        <f t="shared" si="10"/>
        <v>27592540</v>
      </c>
    </row>
    <row r="484">
      <c r="A484" s="20">
        <f t="shared" si="1"/>
        <v>25</v>
      </c>
      <c r="B484" s="106">
        <v>44111.0</v>
      </c>
      <c r="C484" s="21" t="s">
        <v>146</v>
      </c>
      <c r="D484" s="124" t="str">
        <f t="shared" si="2"/>
        <v>CONNECT25</v>
      </c>
      <c r="E484" s="93"/>
      <c r="F484" s="93"/>
      <c r="G484" s="93"/>
      <c r="H484" s="93"/>
      <c r="I484" s="125"/>
      <c r="J484" s="126" t="str">
        <f t="shared" si="3"/>
        <v/>
      </c>
      <c r="K484" s="119">
        <v>3000000.0</v>
      </c>
      <c r="L484" s="111">
        <f t="shared" si="4"/>
        <v>3000000</v>
      </c>
      <c r="M484" s="127" t="str">
        <f t="shared" si="5"/>
        <v/>
      </c>
      <c r="N484" s="113">
        <f t="shared" si="6"/>
        <v>0</v>
      </c>
      <c r="O484" s="113">
        <f t="shared" si="7"/>
        <v>0</v>
      </c>
      <c r="P484" s="114">
        <f t="shared" si="8"/>
        <v>0</v>
      </c>
      <c r="Q484" s="115">
        <f t="shared" si="9"/>
        <v>0</v>
      </c>
      <c r="R484" s="117"/>
      <c r="S484" s="117">
        <f t="shared" si="10"/>
        <v>4325890</v>
      </c>
    </row>
    <row r="485">
      <c r="A485" s="20">
        <f t="shared" si="1"/>
        <v>1</v>
      </c>
      <c r="B485" s="106">
        <v>44112.0</v>
      </c>
      <c r="C485" s="21" t="s">
        <v>184</v>
      </c>
      <c r="D485" s="124" t="str">
        <f t="shared" si="2"/>
        <v>ETIM SUNDAY1</v>
      </c>
      <c r="E485" s="93"/>
      <c r="F485" s="93"/>
      <c r="G485" s="93"/>
      <c r="H485" s="93"/>
      <c r="I485" s="125"/>
      <c r="J485" s="126" t="str">
        <f t="shared" si="3"/>
        <v/>
      </c>
      <c r="K485" s="119">
        <v>200000.0</v>
      </c>
      <c r="L485" s="111">
        <f t="shared" si="4"/>
        <v>200000</v>
      </c>
      <c r="M485" s="127" t="str">
        <f t="shared" si="5"/>
        <v/>
      </c>
      <c r="N485" s="113">
        <f t="shared" si="6"/>
        <v>0</v>
      </c>
      <c r="O485" s="113">
        <f t="shared" si="7"/>
        <v>0</v>
      </c>
      <c r="P485" s="114">
        <f t="shared" si="8"/>
        <v>0</v>
      </c>
      <c r="Q485" s="115">
        <f t="shared" si="9"/>
        <v>0</v>
      </c>
      <c r="R485" s="117"/>
      <c r="S485" s="117">
        <f t="shared" si="10"/>
        <v>200000</v>
      </c>
    </row>
    <row r="486">
      <c r="A486" s="20">
        <f t="shared" si="1"/>
        <v>4</v>
      </c>
      <c r="B486" s="106">
        <v>44112.0</v>
      </c>
      <c r="C486" s="21" t="s">
        <v>58</v>
      </c>
      <c r="D486" s="124" t="str">
        <f t="shared" si="2"/>
        <v>ABANG. ORU4</v>
      </c>
      <c r="E486" s="93"/>
      <c r="F486" s="93"/>
      <c r="G486" s="93"/>
      <c r="H486" s="93"/>
      <c r="I486" s="125"/>
      <c r="J486" s="126" t="str">
        <f t="shared" si="3"/>
        <v/>
      </c>
      <c r="K486" s="119">
        <v>16500.0</v>
      </c>
      <c r="L486" s="111">
        <f t="shared" si="4"/>
        <v>16500</v>
      </c>
      <c r="M486" s="127" t="str">
        <f t="shared" si="5"/>
        <v/>
      </c>
      <c r="N486" s="113">
        <f t="shared" si="6"/>
        <v>0</v>
      </c>
      <c r="O486" s="113">
        <f t="shared" si="7"/>
        <v>0</v>
      </c>
      <c r="P486" s="114">
        <f t="shared" si="8"/>
        <v>0</v>
      </c>
      <c r="Q486" s="115">
        <f t="shared" si="9"/>
        <v>0</v>
      </c>
      <c r="R486" s="117"/>
      <c r="S486" s="117">
        <f t="shared" si="10"/>
        <v>20000</v>
      </c>
    </row>
    <row r="487">
      <c r="A487" s="20">
        <f t="shared" si="1"/>
        <v>6</v>
      </c>
      <c r="B487" s="106">
        <v>44112.0</v>
      </c>
      <c r="C487" s="21" t="s">
        <v>139</v>
      </c>
      <c r="D487" s="124" t="str">
        <f t="shared" si="2"/>
        <v>AGEGE BOY6</v>
      </c>
      <c r="E487" s="93"/>
      <c r="F487" s="93"/>
      <c r="G487" s="93"/>
      <c r="H487" s="93"/>
      <c r="I487" s="125"/>
      <c r="J487" s="126" t="str">
        <f t="shared" si="3"/>
        <v/>
      </c>
      <c r="K487" s="119">
        <v>10000.0</v>
      </c>
      <c r="L487" s="111">
        <f t="shared" si="4"/>
        <v>10000</v>
      </c>
      <c r="M487" s="127" t="str">
        <f t="shared" si="5"/>
        <v/>
      </c>
      <c r="N487" s="113">
        <f t="shared" si="6"/>
        <v>0</v>
      </c>
      <c r="O487" s="113">
        <f t="shared" si="7"/>
        <v>0</v>
      </c>
      <c r="P487" s="114">
        <f t="shared" si="8"/>
        <v>0</v>
      </c>
      <c r="Q487" s="115">
        <f t="shared" si="9"/>
        <v>0</v>
      </c>
      <c r="R487" s="117"/>
      <c r="S487" s="117">
        <f t="shared" si="10"/>
        <v>659880</v>
      </c>
    </row>
    <row r="488">
      <c r="A488" s="20">
        <f t="shared" si="1"/>
        <v>4</v>
      </c>
      <c r="B488" s="106">
        <v>44112.0</v>
      </c>
      <c r="C488" s="21" t="s">
        <v>164</v>
      </c>
      <c r="D488" s="124" t="str">
        <f t="shared" si="2"/>
        <v>CHINWE CHIDI4</v>
      </c>
      <c r="E488" s="93"/>
      <c r="F488" s="93"/>
      <c r="G488" s="93"/>
      <c r="H488" s="93"/>
      <c r="I488" s="125"/>
      <c r="J488" s="126" t="str">
        <f t="shared" si="3"/>
        <v/>
      </c>
      <c r="K488" s="119">
        <v>1439300.0</v>
      </c>
      <c r="L488" s="111">
        <f t="shared" si="4"/>
        <v>1439300</v>
      </c>
      <c r="M488" s="127" t="str">
        <f t="shared" si="5"/>
        <v/>
      </c>
      <c r="N488" s="113">
        <f t="shared" si="6"/>
        <v>0</v>
      </c>
      <c r="O488" s="113">
        <f t="shared" si="7"/>
        <v>0</v>
      </c>
      <c r="P488" s="114">
        <f t="shared" si="8"/>
        <v>0</v>
      </c>
      <c r="Q488" s="115">
        <f t="shared" si="9"/>
        <v>0</v>
      </c>
      <c r="R488" s="117"/>
      <c r="S488" s="117">
        <f t="shared" si="10"/>
        <v>1745300</v>
      </c>
    </row>
    <row r="489">
      <c r="A489" s="20">
        <f t="shared" si="1"/>
        <v>5</v>
      </c>
      <c r="B489" s="106">
        <v>44112.0</v>
      </c>
      <c r="C489" s="21" t="s">
        <v>120</v>
      </c>
      <c r="D489" s="124" t="str">
        <f t="shared" si="2"/>
        <v>R.  MAXWELL AGRO5</v>
      </c>
      <c r="E489" s="93"/>
      <c r="F489" s="93"/>
      <c r="G489" s="93"/>
      <c r="H489" s="93"/>
      <c r="I489" s="125"/>
      <c r="J489" s="126" t="str">
        <f t="shared" si="3"/>
        <v/>
      </c>
      <c r="K489" s="119">
        <v>5000.0</v>
      </c>
      <c r="L489" s="111">
        <f t="shared" si="4"/>
        <v>5000</v>
      </c>
      <c r="M489" s="127" t="str">
        <f t="shared" si="5"/>
        <v/>
      </c>
      <c r="N489" s="113">
        <f t="shared" si="6"/>
        <v>0</v>
      </c>
      <c r="O489" s="113">
        <f t="shared" si="7"/>
        <v>0</v>
      </c>
      <c r="P489" s="114">
        <f t="shared" si="8"/>
        <v>0</v>
      </c>
      <c r="Q489" s="115">
        <f t="shared" si="9"/>
        <v>0</v>
      </c>
      <c r="R489" s="117"/>
      <c r="S489" s="117">
        <f t="shared" si="10"/>
        <v>20575000</v>
      </c>
    </row>
    <row r="490">
      <c r="A490" s="20">
        <f t="shared" si="1"/>
        <v>8</v>
      </c>
      <c r="B490" s="106">
        <v>44113.0</v>
      </c>
      <c r="C490" s="21" t="s">
        <v>140</v>
      </c>
      <c r="D490" s="124" t="str">
        <f t="shared" si="2"/>
        <v>PRINNESS8</v>
      </c>
      <c r="E490" s="93"/>
      <c r="F490" s="93"/>
      <c r="G490" s="93"/>
      <c r="H490" s="93"/>
      <c r="I490" s="125"/>
      <c r="J490" s="126" t="str">
        <f t="shared" si="3"/>
        <v/>
      </c>
      <c r="K490" s="119">
        <v>400000.0</v>
      </c>
      <c r="L490" s="111">
        <f t="shared" si="4"/>
        <v>400000</v>
      </c>
      <c r="M490" s="127" t="str">
        <f t="shared" si="5"/>
        <v/>
      </c>
      <c r="N490" s="113">
        <f t="shared" si="6"/>
        <v>0</v>
      </c>
      <c r="O490" s="113">
        <f t="shared" si="7"/>
        <v>0</v>
      </c>
      <c r="P490" s="114">
        <f t="shared" si="8"/>
        <v>0</v>
      </c>
      <c r="Q490" s="115">
        <f t="shared" si="9"/>
        <v>0</v>
      </c>
      <c r="R490" s="117"/>
      <c r="S490" s="117">
        <f t="shared" si="10"/>
        <v>1214980</v>
      </c>
    </row>
    <row r="491">
      <c r="A491" s="20">
        <f t="shared" si="1"/>
        <v>20</v>
      </c>
      <c r="B491" s="106">
        <v>44113.0</v>
      </c>
      <c r="C491" s="21" t="s">
        <v>150</v>
      </c>
      <c r="D491" s="124" t="str">
        <f t="shared" si="2"/>
        <v>LIVINUS20</v>
      </c>
      <c r="E491" s="93"/>
      <c r="F491" s="93"/>
      <c r="G491" s="93"/>
      <c r="H491" s="93"/>
      <c r="I491" s="125"/>
      <c r="J491" s="126" t="str">
        <f t="shared" si="3"/>
        <v/>
      </c>
      <c r="K491" s="119">
        <v>300000.0</v>
      </c>
      <c r="L491" s="111">
        <f t="shared" si="4"/>
        <v>300000</v>
      </c>
      <c r="M491" s="127" t="str">
        <f t="shared" si="5"/>
        <v/>
      </c>
      <c r="N491" s="113">
        <f t="shared" si="6"/>
        <v>0</v>
      </c>
      <c r="O491" s="113">
        <f t="shared" si="7"/>
        <v>0</v>
      </c>
      <c r="P491" s="114">
        <f t="shared" si="8"/>
        <v>0</v>
      </c>
      <c r="Q491" s="115">
        <f t="shared" si="9"/>
        <v>0</v>
      </c>
      <c r="R491" s="117"/>
      <c r="S491" s="117">
        <f t="shared" si="10"/>
        <v>11701500</v>
      </c>
    </row>
    <row r="492">
      <c r="A492" s="20">
        <f t="shared" si="1"/>
        <v>6</v>
      </c>
      <c r="B492" s="106">
        <v>44113.0</v>
      </c>
      <c r="C492" s="21" t="s">
        <v>172</v>
      </c>
      <c r="D492" s="124" t="str">
        <f t="shared" si="2"/>
        <v>NDOMA PRIN6</v>
      </c>
      <c r="E492" s="93"/>
      <c r="F492" s="93"/>
      <c r="G492" s="93"/>
      <c r="H492" s="93"/>
      <c r="I492" s="125"/>
      <c r="J492" s="126" t="str">
        <f t="shared" si="3"/>
        <v/>
      </c>
      <c r="K492" s="119">
        <v>300000.0</v>
      </c>
      <c r="L492" s="111">
        <f t="shared" si="4"/>
        <v>300000</v>
      </c>
      <c r="M492" s="127" t="str">
        <f t="shared" si="5"/>
        <v/>
      </c>
      <c r="N492" s="113">
        <f t="shared" si="6"/>
        <v>0</v>
      </c>
      <c r="O492" s="113">
        <f t="shared" si="7"/>
        <v>0</v>
      </c>
      <c r="P492" s="114">
        <f t="shared" si="8"/>
        <v>0</v>
      </c>
      <c r="Q492" s="115">
        <f t="shared" si="9"/>
        <v>0</v>
      </c>
      <c r="R492" s="117"/>
      <c r="S492" s="117">
        <f t="shared" si="10"/>
        <v>1175900</v>
      </c>
    </row>
    <row r="493">
      <c r="A493" s="20">
        <f t="shared" si="1"/>
        <v>21</v>
      </c>
      <c r="B493" s="106">
        <v>44113.0</v>
      </c>
      <c r="C493" s="21" t="s">
        <v>107</v>
      </c>
      <c r="D493" s="124" t="str">
        <f t="shared" si="2"/>
        <v>BOSURU  BOSURU21</v>
      </c>
      <c r="E493" s="93"/>
      <c r="F493" s="93"/>
      <c r="G493" s="93"/>
      <c r="H493" s="93"/>
      <c r="I493" s="125"/>
      <c r="J493" s="126" t="str">
        <f t="shared" si="3"/>
        <v/>
      </c>
      <c r="K493" s="119">
        <v>250000.0</v>
      </c>
      <c r="L493" s="111">
        <f t="shared" si="4"/>
        <v>250000</v>
      </c>
      <c r="M493" s="127" t="str">
        <f t="shared" si="5"/>
        <v/>
      </c>
      <c r="N493" s="113">
        <f t="shared" si="6"/>
        <v>0</v>
      </c>
      <c r="O493" s="113">
        <f t="shared" si="7"/>
        <v>0</v>
      </c>
      <c r="P493" s="114">
        <f t="shared" si="8"/>
        <v>0</v>
      </c>
      <c r="Q493" s="115">
        <f t="shared" si="9"/>
        <v>0</v>
      </c>
      <c r="R493" s="117"/>
      <c r="S493" s="117">
        <f t="shared" si="10"/>
        <v>3117700</v>
      </c>
    </row>
    <row r="494">
      <c r="A494" s="20">
        <f t="shared" si="1"/>
        <v>1</v>
      </c>
      <c r="B494" s="106">
        <v>44113.0</v>
      </c>
      <c r="C494" s="21" t="s">
        <v>185</v>
      </c>
      <c r="D494" s="124" t="str">
        <f t="shared" si="2"/>
        <v>MATIAT Y1</v>
      </c>
      <c r="E494" s="93"/>
      <c r="F494" s="93"/>
      <c r="G494" s="93"/>
      <c r="H494" s="93"/>
      <c r="I494" s="125"/>
      <c r="J494" s="126" t="str">
        <f t="shared" si="3"/>
        <v/>
      </c>
      <c r="K494" s="119">
        <v>1200000.0</v>
      </c>
      <c r="L494" s="111">
        <f t="shared" si="4"/>
        <v>1200000</v>
      </c>
      <c r="M494" s="127" t="str">
        <f t="shared" si="5"/>
        <v/>
      </c>
      <c r="N494" s="113">
        <f t="shared" si="6"/>
        <v>0</v>
      </c>
      <c r="O494" s="113">
        <f t="shared" si="7"/>
        <v>0</v>
      </c>
      <c r="P494" s="114">
        <f t="shared" si="8"/>
        <v>0</v>
      </c>
      <c r="Q494" s="115">
        <f t="shared" si="9"/>
        <v>0</v>
      </c>
      <c r="R494" s="117"/>
      <c r="S494" s="117">
        <f t="shared" si="10"/>
        <v>1200000</v>
      </c>
    </row>
    <row r="495">
      <c r="A495" s="20">
        <f t="shared" si="1"/>
        <v>13</v>
      </c>
      <c r="B495" s="106">
        <v>44113.0</v>
      </c>
      <c r="C495" s="21" t="s">
        <v>157</v>
      </c>
      <c r="D495" s="124" t="str">
        <f t="shared" si="2"/>
        <v>ALFRED ALABI13</v>
      </c>
      <c r="E495" s="93"/>
      <c r="F495" s="93"/>
      <c r="G495" s="93"/>
      <c r="H495" s="93"/>
      <c r="I495" s="125"/>
      <c r="J495" s="126" t="str">
        <f t="shared" si="3"/>
        <v/>
      </c>
      <c r="K495" s="119">
        <v>6000.0</v>
      </c>
      <c r="L495" s="111">
        <f t="shared" si="4"/>
        <v>6000</v>
      </c>
      <c r="M495" s="127" t="str">
        <f t="shared" si="5"/>
        <v/>
      </c>
      <c r="N495" s="113">
        <f t="shared" si="6"/>
        <v>0</v>
      </c>
      <c r="O495" s="113">
        <f t="shared" si="7"/>
        <v>0</v>
      </c>
      <c r="P495" s="114">
        <f t="shared" si="8"/>
        <v>0</v>
      </c>
      <c r="Q495" s="115">
        <f t="shared" si="9"/>
        <v>0</v>
      </c>
      <c r="R495" s="117"/>
      <c r="S495" s="117">
        <f t="shared" si="10"/>
        <v>1006020</v>
      </c>
    </row>
    <row r="496">
      <c r="A496" s="20">
        <f t="shared" si="1"/>
        <v>22</v>
      </c>
      <c r="B496" s="106">
        <v>44113.0</v>
      </c>
      <c r="C496" s="21" t="s">
        <v>107</v>
      </c>
      <c r="D496" s="124" t="str">
        <f t="shared" si="2"/>
        <v>BOSURU  BOSURU22</v>
      </c>
      <c r="E496" s="93"/>
      <c r="F496" s="93"/>
      <c r="G496" s="93"/>
      <c r="H496" s="93"/>
      <c r="I496" s="125"/>
      <c r="J496" s="126" t="str">
        <f t="shared" si="3"/>
        <v/>
      </c>
      <c r="K496" s="119">
        <v>1661000.0</v>
      </c>
      <c r="L496" s="111">
        <f t="shared" si="4"/>
        <v>1661000</v>
      </c>
      <c r="M496" s="127" t="str">
        <f t="shared" si="5"/>
        <v/>
      </c>
      <c r="N496" s="113">
        <f t="shared" si="6"/>
        <v>0</v>
      </c>
      <c r="O496" s="113">
        <f t="shared" si="7"/>
        <v>0</v>
      </c>
      <c r="P496" s="114">
        <f t="shared" si="8"/>
        <v>0</v>
      </c>
      <c r="Q496" s="115">
        <f t="shared" si="9"/>
        <v>0</v>
      </c>
      <c r="R496" s="117"/>
      <c r="S496" s="117">
        <f t="shared" si="10"/>
        <v>4778700</v>
      </c>
    </row>
    <row r="497">
      <c r="A497" s="20">
        <f t="shared" si="1"/>
        <v>1</v>
      </c>
      <c r="B497" s="106">
        <v>44113.0</v>
      </c>
      <c r="C497" s="21" t="s">
        <v>186</v>
      </c>
      <c r="D497" s="124" t="str">
        <f t="shared" si="2"/>
        <v>SAMUEL KEIBO1</v>
      </c>
      <c r="E497" s="93"/>
      <c r="F497" s="93"/>
      <c r="G497" s="93"/>
      <c r="H497" s="93"/>
      <c r="I497" s="125"/>
      <c r="J497" s="126" t="str">
        <f t="shared" si="3"/>
        <v/>
      </c>
      <c r="K497" s="119">
        <v>570000.0</v>
      </c>
      <c r="L497" s="111">
        <f t="shared" si="4"/>
        <v>570000</v>
      </c>
      <c r="M497" s="127" t="str">
        <f t="shared" si="5"/>
        <v/>
      </c>
      <c r="N497" s="113">
        <f t="shared" si="6"/>
        <v>0</v>
      </c>
      <c r="O497" s="113">
        <f t="shared" si="7"/>
        <v>0</v>
      </c>
      <c r="P497" s="114">
        <f t="shared" si="8"/>
        <v>0</v>
      </c>
      <c r="Q497" s="115">
        <f t="shared" si="9"/>
        <v>0</v>
      </c>
      <c r="R497" s="117"/>
      <c r="S497" s="117">
        <f t="shared" si="10"/>
        <v>570000</v>
      </c>
    </row>
    <row r="498">
      <c r="A498" s="20">
        <f t="shared" si="1"/>
        <v>7</v>
      </c>
      <c r="B498" s="106">
        <v>44113.0</v>
      </c>
      <c r="C498" s="21" t="s">
        <v>139</v>
      </c>
      <c r="D498" s="124" t="str">
        <f t="shared" si="2"/>
        <v>AGEGE BOY7</v>
      </c>
      <c r="E498" s="93"/>
      <c r="F498" s="93"/>
      <c r="G498" s="93"/>
      <c r="H498" s="93"/>
      <c r="I498" s="125"/>
      <c r="J498" s="126" t="str">
        <f t="shared" si="3"/>
        <v/>
      </c>
      <c r="K498" s="119">
        <v>1780700.0</v>
      </c>
      <c r="L498" s="111">
        <f t="shared" si="4"/>
        <v>1780700</v>
      </c>
      <c r="M498" s="127" t="str">
        <f t="shared" si="5"/>
        <v/>
      </c>
      <c r="N498" s="113">
        <f t="shared" si="6"/>
        <v>0</v>
      </c>
      <c r="O498" s="113">
        <f t="shared" si="7"/>
        <v>0</v>
      </c>
      <c r="P498" s="114">
        <f t="shared" si="8"/>
        <v>0</v>
      </c>
      <c r="Q498" s="115">
        <f t="shared" si="9"/>
        <v>0</v>
      </c>
      <c r="R498" s="117"/>
      <c r="S498" s="117">
        <f t="shared" si="10"/>
        <v>2440580</v>
      </c>
    </row>
    <row r="499">
      <c r="A499" s="20">
        <f t="shared" si="1"/>
        <v>15</v>
      </c>
      <c r="B499" s="106">
        <v>44114.0</v>
      </c>
      <c r="C499" s="21" t="s">
        <v>109</v>
      </c>
      <c r="D499" s="124" t="str">
        <f t="shared" si="2"/>
        <v>OTU KOKO KEIBO15</v>
      </c>
      <c r="E499" s="93"/>
      <c r="F499" s="93"/>
      <c r="G499" s="93"/>
      <c r="H499" s="93"/>
      <c r="I499" s="125"/>
      <c r="J499" s="126" t="str">
        <f t="shared" si="3"/>
        <v/>
      </c>
      <c r="K499" s="119">
        <v>800000.0</v>
      </c>
      <c r="L499" s="111">
        <f t="shared" si="4"/>
        <v>800000</v>
      </c>
      <c r="M499" s="127" t="str">
        <f t="shared" si="5"/>
        <v/>
      </c>
      <c r="N499" s="113">
        <f t="shared" si="6"/>
        <v>0</v>
      </c>
      <c r="O499" s="113">
        <f t="shared" si="7"/>
        <v>0</v>
      </c>
      <c r="P499" s="114">
        <f t="shared" si="8"/>
        <v>0</v>
      </c>
      <c r="Q499" s="115">
        <f t="shared" si="9"/>
        <v>0</v>
      </c>
      <c r="R499" s="117"/>
      <c r="S499" s="117">
        <f t="shared" si="10"/>
        <v>29064425</v>
      </c>
    </row>
    <row r="500">
      <c r="A500" s="20">
        <f t="shared" si="1"/>
        <v>16</v>
      </c>
      <c r="B500" s="106">
        <v>44114.0</v>
      </c>
      <c r="C500" s="21" t="s">
        <v>109</v>
      </c>
      <c r="D500" s="124" t="str">
        <f t="shared" si="2"/>
        <v>OTU KOKO KEIBO16</v>
      </c>
      <c r="E500" s="93"/>
      <c r="F500" s="93"/>
      <c r="G500" s="93"/>
      <c r="H500" s="93"/>
      <c r="I500" s="125"/>
      <c r="J500" s="126" t="str">
        <f t="shared" si="3"/>
        <v/>
      </c>
      <c r="K500" s="119">
        <v>800000.0</v>
      </c>
      <c r="L500" s="111">
        <f t="shared" si="4"/>
        <v>800000</v>
      </c>
      <c r="M500" s="127" t="str">
        <f t="shared" si="5"/>
        <v/>
      </c>
      <c r="N500" s="113">
        <f t="shared" si="6"/>
        <v>0</v>
      </c>
      <c r="O500" s="113">
        <f t="shared" si="7"/>
        <v>0</v>
      </c>
      <c r="P500" s="114">
        <f t="shared" si="8"/>
        <v>0</v>
      </c>
      <c r="Q500" s="115">
        <f t="shared" si="9"/>
        <v>0</v>
      </c>
      <c r="R500" s="117"/>
      <c r="S500" s="117">
        <f t="shared" si="10"/>
        <v>29864425</v>
      </c>
    </row>
    <row r="501">
      <c r="A501" s="20">
        <f t="shared" si="1"/>
        <v>6</v>
      </c>
      <c r="B501" s="106">
        <v>44114.0</v>
      </c>
      <c r="C501" s="21" t="s">
        <v>120</v>
      </c>
      <c r="D501" s="124" t="str">
        <f t="shared" si="2"/>
        <v>R.  MAXWELL AGRO6</v>
      </c>
      <c r="E501" s="93"/>
      <c r="F501" s="93"/>
      <c r="G501" s="93"/>
      <c r="H501" s="93"/>
      <c r="I501" s="125"/>
      <c r="J501" s="126" t="str">
        <f t="shared" si="3"/>
        <v/>
      </c>
      <c r="K501" s="119">
        <v>12000.0</v>
      </c>
      <c r="L501" s="111">
        <f t="shared" si="4"/>
        <v>12000</v>
      </c>
      <c r="M501" s="127" t="str">
        <f t="shared" si="5"/>
        <v/>
      </c>
      <c r="N501" s="113">
        <f t="shared" si="6"/>
        <v>0</v>
      </c>
      <c r="O501" s="113">
        <f t="shared" si="7"/>
        <v>0</v>
      </c>
      <c r="P501" s="114">
        <f t="shared" si="8"/>
        <v>0</v>
      </c>
      <c r="Q501" s="115">
        <f t="shared" si="9"/>
        <v>0</v>
      </c>
      <c r="R501" s="117"/>
      <c r="S501" s="117">
        <f t="shared" si="10"/>
        <v>20587000</v>
      </c>
    </row>
    <row r="502">
      <c r="A502" s="20">
        <f t="shared" si="1"/>
        <v>17</v>
      </c>
      <c r="B502" s="106">
        <v>44114.0</v>
      </c>
      <c r="C502" s="21" t="s">
        <v>109</v>
      </c>
      <c r="D502" s="124" t="str">
        <f t="shared" si="2"/>
        <v>OTU KOKO KEIBO17</v>
      </c>
      <c r="E502" s="93"/>
      <c r="F502" s="93"/>
      <c r="G502" s="93"/>
      <c r="H502" s="93"/>
      <c r="I502" s="125"/>
      <c r="J502" s="126" t="str">
        <f t="shared" si="3"/>
        <v/>
      </c>
      <c r="K502" s="119">
        <v>800000.0</v>
      </c>
      <c r="L502" s="111">
        <f t="shared" si="4"/>
        <v>800000</v>
      </c>
      <c r="M502" s="127" t="str">
        <f t="shared" si="5"/>
        <v/>
      </c>
      <c r="N502" s="113">
        <f t="shared" si="6"/>
        <v>0</v>
      </c>
      <c r="O502" s="113">
        <f t="shared" si="7"/>
        <v>0</v>
      </c>
      <c r="P502" s="114">
        <f t="shared" si="8"/>
        <v>0</v>
      </c>
      <c r="Q502" s="115">
        <f t="shared" si="9"/>
        <v>0</v>
      </c>
      <c r="R502" s="117"/>
      <c r="S502" s="117">
        <f t="shared" si="10"/>
        <v>30664425</v>
      </c>
    </row>
    <row r="503">
      <c r="A503" s="20">
        <f t="shared" si="1"/>
        <v>2</v>
      </c>
      <c r="B503" s="106">
        <v>44114.0</v>
      </c>
      <c r="C503" s="21" t="s">
        <v>45</v>
      </c>
      <c r="D503" s="124" t="str">
        <f t="shared" si="2"/>
        <v>NELSON &amp; PALUS2</v>
      </c>
      <c r="E503" s="93"/>
      <c r="F503" s="93"/>
      <c r="G503" s="93"/>
      <c r="H503" s="93"/>
      <c r="I503" s="125"/>
      <c r="J503" s="126" t="str">
        <f t="shared" si="3"/>
        <v/>
      </c>
      <c r="K503" s="119">
        <v>12000.0</v>
      </c>
      <c r="L503" s="111">
        <f t="shared" si="4"/>
        <v>12000</v>
      </c>
      <c r="M503" s="127" t="str">
        <f t="shared" si="5"/>
        <v/>
      </c>
      <c r="N503" s="113">
        <f t="shared" si="6"/>
        <v>0</v>
      </c>
      <c r="O503" s="113">
        <f t="shared" si="7"/>
        <v>0</v>
      </c>
      <c r="P503" s="114">
        <f t="shared" si="8"/>
        <v>0</v>
      </c>
      <c r="Q503" s="115">
        <f t="shared" si="9"/>
        <v>0</v>
      </c>
      <c r="R503" s="117"/>
      <c r="S503" s="117">
        <f t="shared" si="10"/>
        <v>35000</v>
      </c>
    </row>
    <row r="504">
      <c r="A504" s="20">
        <f t="shared" si="1"/>
        <v>16</v>
      </c>
      <c r="B504" s="106">
        <v>44109.0</v>
      </c>
      <c r="C504" s="21" t="s">
        <v>125</v>
      </c>
      <c r="D504" s="124" t="str">
        <f t="shared" si="2"/>
        <v>ANDRDEW GREAT16</v>
      </c>
      <c r="E504" s="93">
        <v>2220.0</v>
      </c>
      <c r="F504" s="93">
        <v>331.0</v>
      </c>
      <c r="G504" s="93"/>
      <c r="H504" s="93">
        <v>32.0</v>
      </c>
      <c r="I504" s="125"/>
      <c r="J504" s="126">
        <f t="shared" si="3"/>
        <v>946.6</v>
      </c>
      <c r="K504" s="119"/>
      <c r="L504" s="111">
        <f t="shared" si="4"/>
        <v>-2022890</v>
      </c>
      <c r="M504" s="127">
        <f t="shared" si="5"/>
        <v>10.34</v>
      </c>
      <c r="N504" s="113">
        <f t="shared" si="6"/>
        <v>51</v>
      </c>
      <c r="O504" s="113">
        <f t="shared" si="7"/>
        <v>33</v>
      </c>
      <c r="P504" s="114">
        <f t="shared" si="8"/>
        <v>57</v>
      </c>
      <c r="Q504" s="115">
        <f t="shared" si="9"/>
        <v>2137</v>
      </c>
      <c r="R504" s="117">
        <v>2022890.0</v>
      </c>
      <c r="S504" s="117">
        <f t="shared" si="10"/>
        <v>1683970</v>
      </c>
    </row>
    <row r="505">
      <c r="A505" s="20">
        <f t="shared" si="1"/>
        <v>23</v>
      </c>
      <c r="B505" s="106">
        <v>44107.0</v>
      </c>
      <c r="C505" s="21" t="s">
        <v>107</v>
      </c>
      <c r="D505" s="124" t="str">
        <f t="shared" si="2"/>
        <v>BOSURU  BOSURU23</v>
      </c>
      <c r="E505" s="93">
        <v>2253.0</v>
      </c>
      <c r="F505" s="93">
        <v>278.0</v>
      </c>
      <c r="G505" s="93"/>
      <c r="H505" s="93">
        <v>28.0</v>
      </c>
      <c r="I505" s="125"/>
      <c r="J505" s="126">
        <f t="shared" si="3"/>
        <v>1334.3</v>
      </c>
      <c r="K505" s="119"/>
      <c r="L505" s="111">
        <f t="shared" si="4"/>
        <v>-2911450</v>
      </c>
      <c r="M505" s="127">
        <f t="shared" si="5"/>
        <v>9.93</v>
      </c>
      <c r="N505" s="113">
        <f t="shared" si="6"/>
        <v>43</v>
      </c>
      <c r="O505" s="113">
        <f t="shared" si="7"/>
        <v>34</v>
      </c>
      <c r="P505" s="114">
        <f t="shared" si="8"/>
        <v>39</v>
      </c>
      <c r="Q505" s="115">
        <f t="shared" si="9"/>
        <v>2182</v>
      </c>
      <c r="R505" s="117">
        <v>2911450.0</v>
      </c>
      <c r="S505" s="117">
        <f t="shared" si="10"/>
        <v>1867250</v>
      </c>
    </row>
    <row r="506">
      <c r="A506" s="20">
        <f t="shared" si="1"/>
        <v>5</v>
      </c>
      <c r="B506" s="106">
        <v>44112.0</v>
      </c>
      <c r="C506" s="21" t="s">
        <v>164</v>
      </c>
      <c r="D506" s="124" t="str">
        <f t="shared" si="2"/>
        <v>CHINWE CHIDI5</v>
      </c>
      <c r="E506" s="93">
        <v>1553.0</v>
      </c>
      <c r="F506" s="93">
        <v>206.5</v>
      </c>
      <c r="G506" s="93"/>
      <c r="H506" s="93">
        <v>19.0</v>
      </c>
      <c r="I506" s="125"/>
      <c r="J506" s="126">
        <f t="shared" si="3"/>
        <v>965.97</v>
      </c>
      <c r="K506" s="119"/>
      <c r="L506" s="111">
        <f t="shared" si="4"/>
        <v>-1439300</v>
      </c>
      <c r="M506" s="127">
        <f t="shared" si="5"/>
        <v>10.87</v>
      </c>
      <c r="N506" s="113">
        <f t="shared" si="6"/>
        <v>44</v>
      </c>
      <c r="O506" s="113">
        <f t="shared" si="7"/>
        <v>23</v>
      </c>
      <c r="P506" s="114">
        <f t="shared" si="8"/>
        <v>41</v>
      </c>
      <c r="Q506" s="115">
        <f t="shared" si="9"/>
        <v>1490</v>
      </c>
      <c r="R506" s="117">
        <v>1439300.0</v>
      </c>
      <c r="S506" s="117">
        <f t="shared" si="10"/>
        <v>306000</v>
      </c>
    </row>
    <row r="507">
      <c r="A507" s="20">
        <f t="shared" si="1"/>
        <v>20</v>
      </c>
      <c r="B507" s="106">
        <v>44109.0</v>
      </c>
      <c r="C507" s="21" t="s">
        <v>46</v>
      </c>
      <c r="D507" s="124" t="str">
        <f t="shared" si="2"/>
        <v>ETUK EFFI20</v>
      </c>
      <c r="E507" s="93">
        <v>2661.0</v>
      </c>
      <c r="F507" s="93">
        <v>320.0</v>
      </c>
      <c r="G507" s="93"/>
      <c r="H507" s="93">
        <v>40.0</v>
      </c>
      <c r="I507" s="125"/>
      <c r="J507" s="126">
        <f t="shared" si="3"/>
        <v>961.47</v>
      </c>
      <c r="K507" s="119"/>
      <c r="L507" s="111">
        <f t="shared" si="4"/>
        <v>-2520000</v>
      </c>
      <c r="M507" s="127">
        <f t="shared" si="5"/>
        <v>8</v>
      </c>
      <c r="N507" s="113">
        <f t="shared" si="6"/>
        <v>0</v>
      </c>
      <c r="O507" s="113">
        <f t="shared" si="7"/>
        <v>41</v>
      </c>
      <c r="P507" s="114">
        <f t="shared" si="8"/>
        <v>37</v>
      </c>
      <c r="Q507" s="115">
        <f t="shared" si="9"/>
        <v>2621</v>
      </c>
      <c r="R507" s="117">
        <v>2520000.0</v>
      </c>
      <c r="S507" s="117">
        <f t="shared" si="10"/>
        <v>2900100</v>
      </c>
    </row>
    <row r="508">
      <c r="A508" s="20">
        <f t="shared" si="1"/>
        <v>8</v>
      </c>
      <c r="B508" s="106">
        <v>44113.0</v>
      </c>
      <c r="C508" s="21" t="s">
        <v>139</v>
      </c>
      <c r="D508" s="124" t="str">
        <f t="shared" si="2"/>
        <v>AGEGE BOY8</v>
      </c>
      <c r="E508" s="93">
        <v>1943.0</v>
      </c>
      <c r="F508" s="93">
        <v>224.0</v>
      </c>
      <c r="G508" s="93"/>
      <c r="H508" s="93">
        <v>28.0</v>
      </c>
      <c r="I508" s="125"/>
      <c r="J508" s="126">
        <f t="shared" si="3"/>
        <v>929.9</v>
      </c>
      <c r="K508" s="119"/>
      <c r="L508" s="111">
        <f t="shared" si="4"/>
        <v>-1780750</v>
      </c>
      <c r="M508" s="127">
        <f t="shared" si="5"/>
        <v>8</v>
      </c>
      <c r="N508" s="113">
        <f t="shared" si="6"/>
        <v>0</v>
      </c>
      <c r="O508" s="113">
        <f t="shared" si="7"/>
        <v>30</v>
      </c>
      <c r="P508" s="114">
        <f t="shared" si="8"/>
        <v>24</v>
      </c>
      <c r="Q508" s="115">
        <f t="shared" si="9"/>
        <v>1915</v>
      </c>
      <c r="R508" s="117">
        <v>1780750.0</v>
      </c>
      <c r="S508" s="117">
        <f t="shared" si="10"/>
        <v>659830</v>
      </c>
    </row>
    <row r="509">
      <c r="A509" s="20">
        <f t="shared" si="1"/>
        <v>3</v>
      </c>
      <c r="B509" s="106">
        <v>44114.0</v>
      </c>
      <c r="C509" s="21" t="s">
        <v>45</v>
      </c>
      <c r="D509" s="124" t="str">
        <f t="shared" si="2"/>
        <v>NELSON &amp; PALUS3</v>
      </c>
      <c r="E509" s="93">
        <v>456.0</v>
      </c>
      <c r="F509" s="93">
        <v>78.0</v>
      </c>
      <c r="G509" s="93"/>
      <c r="H509" s="93">
        <v>7.0</v>
      </c>
      <c r="I509" s="125"/>
      <c r="J509" s="126">
        <f t="shared" si="3"/>
        <v>966.27</v>
      </c>
      <c r="K509" s="119"/>
      <c r="L509" s="111">
        <f t="shared" si="4"/>
        <v>-420328</v>
      </c>
      <c r="M509" s="127">
        <f t="shared" si="5"/>
        <v>11.14</v>
      </c>
      <c r="N509" s="113">
        <f t="shared" si="6"/>
        <v>14</v>
      </c>
      <c r="O509" s="113">
        <f t="shared" si="7"/>
        <v>6</v>
      </c>
      <c r="P509" s="114">
        <f t="shared" si="8"/>
        <v>57</v>
      </c>
      <c r="Q509" s="115">
        <f t="shared" si="9"/>
        <v>435</v>
      </c>
      <c r="R509" s="117">
        <v>420328.0</v>
      </c>
      <c r="S509" s="117">
        <f t="shared" si="10"/>
        <v>-385328</v>
      </c>
    </row>
    <row r="510">
      <c r="A510" s="20">
        <f t="shared" si="1"/>
        <v>4</v>
      </c>
      <c r="B510" s="106">
        <v>44114.0</v>
      </c>
      <c r="C510" s="21" t="s">
        <v>45</v>
      </c>
      <c r="D510" s="124" t="str">
        <f t="shared" si="2"/>
        <v>NELSON &amp; PALUS4</v>
      </c>
      <c r="E510" s="93">
        <v>626.0</v>
      </c>
      <c r="F510" s="93">
        <v>106.0</v>
      </c>
      <c r="G510" s="93"/>
      <c r="H510" s="93">
        <v>10.0</v>
      </c>
      <c r="I510" s="125"/>
      <c r="J510" s="126">
        <f t="shared" si="3"/>
        <v>970.6</v>
      </c>
      <c r="K510" s="119"/>
      <c r="L510" s="111">
        <f t="shared" si="4"/>
        <v>-582359</v>
      </c>
      <c r="M510" s="127">
        <f t="shared" si="5"/>
        <v>10.6</v>
      </c>
      <c r="N510" s="113">
        <f t="shared" si="6"/>
        <v>16</v>
      </c>
      <c r="O510" s="113">
        <f t="shared" si="7"/>
        <v>9</v>
      </c>
      <c r="P510" s="114">
        <f t="shared" si="8"/>
        <v>33</v>
      </c>
      <c r="Q510" s="115">
        <f t="shared" si="9"/>
        <v>600</v>
      </c>
      <c r="R510" s="117">
        <v>582359.0</v>
      </c>
      <c r="S510" s="117">
        <f t="shared" si="10"/>
        <v>-967687</v>
      </c>
    </row>
    <row r="511">
      <c r="A511" s="20">
        <f t="shared" si="1"/>
        <v>5</v>
      </c>
      <c r="B511" s="106">
        <v>44116.0</v>
      </c>
      <c r="C511" s="21" t="s">
        <v>181</v>
      </c>
      <c r="D511" s="124" t="str">
        <f t="shared" si="2"/>
        <v>UNCLE BIGGIE5</v>
      </c>
      <c r="E511" s="93"/>
      <c r="F511" s="93"/>
      <c r="G511" s="93"/>
      <c r="H511" s="93"/>
      <c r="I511" s="125"/>
      <c r="J511" s="126" t="str">
        <f t="shared" si="3"/>
        <v/>
      </c>
      <c r="K511" s="119">
        <v>100000.0</v>
      </c>
      <c r="L511" s="111">
        <f t="shared" si="4"/>
        <v>100000</v>
      </c>
      <c r="M511" s="127" t="str">
        <f t="shared" si="5"/>
        <v/>
      </c>
      <c r="N511" s="113">
        <f t="shared" si="6"/>
        <v>0</v>
      </c>
      <c r="O511" s="113">
        <f t="shared" si="7"/>
        <v>0</v>
      </c>
      <c r="P511" s="114">
        <f t="shared" si="8"/>
        <v>0</v>
      </c>
      <c r="Q511" s="115">
        <f t="shared" si="9"/>
        <v>0</v>
      </c>
      <c r="R511" s="117"/>
      <c r="S511" s="117">
        <f t="shared" si="10"/>
        <v>640000</v>
      </c>
    </row>
    <row r="512">
      <c r="A512" s="20">
        <f t="shared" si="1"/>
        <v>18</v>
      </c>
      <c r="B512" s="106">
        <v>44116.0</v>
      </c>
      <c r="C512" s="21" t="s">
        <v>109</v>
      </c>
      <c r="D512" s="124" t="str">
        <f t="shared" si="2"/>
        <v>OTU KOKO KEIBO18</v>
      </c>
      <c r="E512" s="93"/>
      <c r="F512" s="93"/>
      <c r="G512" s="93"/>
      <c r="H512" s="93"/>
      <c r="I512" s="125"/>
      <c r="J512" s="126" t="str">
        <f t="shared" si="3"/>
        <v/>
      </c>
      <c r="K512" s="119">
        <v>120000.0</v>
      </c>
      <c r="L512" s="111">
        <f t="shared" si="4"/>
        <v>120000</v>
      </c>
      <c r="M512" s="127" t="str">
        <f t="shared" si="5"/>
        <v/>
      </c>
      <c r="N512" s="113">
        <f t="shared" si="6"/>
        <v>0</v>
      </c>
      <c r="O512" s="113">
        <f t="shared" si="7"/>
        <v>0</v>
      </c>
      <c r="P512" s="114">
        <f t="shared" si="8"/>
        <v>0</v>
      </c>
      <c r="Q512" s="115">
        <f t="shared" si="9"/>
        <v>0</v>
      </c>
      <c r="R512" s="117"/>
      <c r="S512" s="117">
        <f t="shared" si="10"/>
        <v>30784425</v>
      </c>
    </row>
    <row r="513">
      <c r="A513" s="20">
        <f t="shared" si="1"/>
        <v>19</v>
      </c>
      <c r="B513" s="106">
        <v>44116.0</v>
      </c>
      <c r="C513" s="21" t="s">
        <v>109</v>
      </c>
      <c r="D513" s="124" t="str">
        <f t="shared" si="2"/>
        <v>OTU KOKO KEIBO19</v>
      </c>
      <c r="E513" s="93"/>
      <c r="F513" s="93"/>
      <c r="G513" s="93"/>
      <c r="H513" s="93"/>
      <c r="I513" s="125"/>
      <c r="J513" s="126" t="str">
        <f t="shared" si="3"/>
        <v/>
      </c>
      <c r="K513" s="119">
        <v>160400.0</v>
      </c>
      <c r="L513" s="111">
        <f t="shared" si="4"/>
        <v>160400</v>
      </c>
      <c r="M513" s="127" t="str">
        <f t="shared" si="5"/>
        <v/>
      </c>
      <c r="N513" s="113">
        <f t="shared" si="6"/>
        <v>0</v>
      </c>
      <c r="O513" s="113">
        <f t="shared" si="7"/>
        <v>0</v>
      </c>
      <c r="P513" s="114">
        <f t="shared" si="8"/>
        <v>0</v>
      </c>
      <c r="Q513" s="115">
        <f t="shared" si="9"/>
        <v>0</v>
      </c>
      <c r="R513" s="117"/>
      <c r="S513" s="117">
        <f t="shared" si="10"/>
        <v>30944825</v>
      </c>
    </row>
    <row r="514">
      <c r="A514" s="20">
        <f t="shared" si="1"/>
        <v>20</v>
      </c>
      <c r="B514" s="106">
        <v>44116.0</v>
      </c>
      <c r="C514" s="21" t="s">
        <v>109</v>
      </c>
      <c r="D514" s="124" t="str">
        <f t="shared" si="2"/>
        <v>OTU KOKO KEIBO20</v>
      </c>
      <c r="E514" s="93"/>
      <c r="F514" s="93"/>
      <c r="G514" s="93"/>
      <c r="H514" s="93"/>
      <c r="I514" s="125"/>
      <c r="J514" s="126" t="str">
        <f t="shared" si="3"/>
        <v/>
      </c>
      <c r="K514" s="119">
        <v>73500.0</v>
      </c>
      <c r="L514" s="111">
        <f t="shared" si="4"/>
        <v>73500</v>
      </c>
      <c r="M514" s="127" t="str">
        <f t="shared" si="5"/>
        <v/>
      </c>
      <c r="N514" s="113">
        <f t="shared" si="6"/>
        <v>0</v>
      </c>
      <c r="O514" s="113">
        <f t="shared" si="7"/>
        <v>0</v>
      </c>
      <c r="P514" s="114">
        <f t="shared" si="8"/>
        <v>0</v>
      </c>
      <c r="Q514" s="115">
        <f t="shared" si="9"/>
        <v>0</v>
      </c>
      <c r="R514" s="117"/>
      <c r="S514" s="117">
        <f t="shared" si="10"/>
        <v>31018325</v>
      </c>
    </row>
    <row r="515">
      <c r="A515" s="20">
        <f t="shared" si="1"/>
        <v>21</v>
      </c>
      <c r="B515" s="106">
        <v>44116.0</v>
      </c>
      <c r="C515" s="21" t="s">
        <v>109</v>
      </c>
      <c r="D515" s="124" t="str">
        <f t="shared" si="2"/>
        <v>OTU KOKO KEIBO21</v>
      </c>
      <c r="E515" s="93"/>
      <c r="F515" s="93"/>
      <c r="G515" s="93"/>
      <c r="H515" s="93"/>
      <c r="I515" s="125"/>
      <c r="J515" s="126" t="str">
        <f t="shared" si="3"/>
        <v/>
      </c>
      <c r="K515" s="119">
        <v>150000.0</v>
      </c>
      <c r="L515" s="111">
        <f t="shared" si="4"/>
        <v>150000</v>
      </c>
      <c r="M515" s="127" t="str">
        <f t="shared" si="5"/>
        <v/>
      </c>
      <c r="N515" s="113">
        <f t="shared" si="6"/>
        <v>0</v>
      </c>
      <c r="O515" s="113">
        <f t="shared" si="7"/>
        <v>0</v>
      </c>
      <c r="P515" s="114">
        <f t="shared" si="8"/>
        <v>0</v>
      </c>
      <c r="Q515" s="115">
        <f t="shared" si="9"/>
        <v>0</v>
      </c>
      <c r="R515" s="117"/>
      <c r="S515" s="117">
        <f t="shared" si="10"/>
        <v>31168325</v>
      </c>
    </row>
    <row r="516">
      <c r="A516" s="20">
        <f t="shared" si="1"/>
        <v>22</v>
      </c>
      <c r="B516" s="106">
        <v>44116.0</v>
      </c>
      <c r="C516" s="21" t="s">
        <v>109</v>
      </c>
      <c r="D516" s="124" t="str">
        <f t="shared" si="2"/>
        <v>OTU KOKO KEIBO22</v>
      </c>
      <c r="E516" s="93"/>
      <c r="F516" s="93"/>
      <c r="G516" s="93"/>
      <c r="H516" s="93"/>
      <c r="I516" s="125"/>
      <c r="J516" s="126" t="str">
        <f t="shared" si="3"/>
        <v/>
      </c>
      <c r="K516" s="119">
        <v>234000.0</v>
      </c>
      <c r="L516" s="111">
        <f t="shared" si="4"/>
        <v>234000</v>
      </c>
      <c r="M516" s="127" t="str">
        <f t="shared" si="5"/>
        <v/>
      </c>
      <c r="N516" s="113">
        <f t="shared" si="6"/>
        <v>0</v>
      </c>
      <c r="O516" s="113">
        <f t="shared" si="7"/>
        <v>0</v>
      </c>
      <c r="P516" s="114">
        <f t="shared" si="8"/>
        <v>0</v>
      </c>
      <c r="Q516" s="115">
        <f t="shared" si="9"/>
        <v>0</v>
      </c>
      <c r="R516" s="117"/>
      <c r="S516" s="117">
        <f t="shared" si="10"/>
        <v>31402325</v>
      </c>
    </row>
    <row r="517">
      <c r="A517" s="20">
        <f t="shared" si="1"/>
        <v>4</v>
      </c>
      <c r="B517" s="106">
        <v>44116.0</v>
      </c>
      <c r="C517" s="21" t="s">
        <v>160</v>
      </c>
      <c r="D517" s="124" t="str">
        <f t="shared" si="2"/>
        <v>REIMON ALABA4</v>
      </c>
      <c r="E517" s="93"/>
      <c r="F517" s="93"/>
      <c r="G517" s="93"/>
      <c r="H517" s="93"/>
      <c r="I517" s="125"/>
      <c r="J517" s="126" t="str">
        <f t="shared" si="3"/>
        <v/>
      </c>
      <c r="K517" s="119">
        <v>50000.0</v>
      </c>
      <c r="L517" s="111">
        <f t="shared" si="4"/>
        <v>50000</v>
      </c>
      <c r="M517" s="127" t="str">
        <f t="shared" si="5"/>
        <v/>
      </c>
      <c r="N517" s="113">
        <f t="shared" si="6"/>
        <v>0</v>
      </c>
      <c r="O517" s="113">
        <f t="shared" si="7"/>
        <v>0</v>
      </c>
      <c r="P517" s="114">
        <f t="shared" si="8"/>
        <v>0</v>
      </c>
      <c r="Q517" s="115">
        <f t="shared" si="9"/>
        <v>0</v>
      </c>
      <c r="R517" s="117"/>
      <c r="S517" s="117">
        <f t="shared" si="10"/>
        <v>420000</v>
      </c>
    </row>
    <row r="518">
      <c r="A518" s="20">
        <f t="shared" si="1"/>
        <v>20</v>
      </c>
      <c r="B518" s="106">
        <v>44116.0</v>
      </c>
      <c r="C518" s="21" t="s">
        <v>113</v>
      </c>
      <c r="D518" s="124" t="str">
        <f t="shared" si="2"/>
        <v> MAXWELL AGRO20</v>
      </c>
      <c r="E518" s="93"/>
      <c r="F518" s="93"/>
      <c r="G518" s="93"/>
      <c r="H518" s="93"/>
      <c r="I518" s="125"/>
      <c r="J518" s="126" t="str">
        <f t="shared" si="3"/>
        <v/>
      </c>
      <c r="K518" s="119">
        <v>280000.0</v>
      </c>
      <c r="L518" s="111">
        <f t="shared" si="4"/>
        <v>280000</v>
      </c>
      <c r="M518" s="127" t="str">
        <f t="shared" si="5"/>
        <v/>
      </c>
      <c r="N518" s="113">
        <f t="shared" si="6"/>
        <v>0</v>
      </c>
      <c r="O518" s="113">
        <f t="shared" si="7"/>
        <v>0</v>
      </c>
      <c r="P518" s="114">
        <f t="shared" si="8"/>
        <v>0</v>
      </c>
      <c r="Q518" s="115">
        <f t="shared" si="9"/>
        <v>0</v>
      </c>
      <c r="R518" s="117"/>
      <c r="S518" s="117">
        <f t="shared" si="10"/>
        <v>2884432</v>
      </c>
    </row>
  </sheetData>
  <mergeCells count="2">
    <mergeCell ref="B1:C1"/>
    <mergeCell ref="N1:P1"/>
  </mergeCells>
  <conditionalFormatting sqref="I3:I518">
    <cfRule type="cellIs" dxfId="0" priority="1" operator="equal">
      <formula>"YES"</formula>
    </cfRule>
  </conditionalFormatting>
  <conditionalFormatting sqref="I3:I518">
    <cfRule type="cellIs" dxfId="1" priority="2" operator="equal">
      <formula>"NO"</formula>
    </cfRule>
  </conditionalFormatting>
  <dataValidations>
    <dataValidation type="list" allowBlank="1" showErrorMessage="1" sqref="C3:C518">
      <formula1>lists!$C:$C</formula1>
    </dataValidation>
  </dataValidation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35"/>
    </row>
    <row r="2">
      <c r="A2" s="96" t="str">
        <f>IFERROR(__xludf.DUMMYFUNCTION("query(Evacuate!A3:E1000,""SELECT *"" &amp; IF(COUNTBLANK(HelperFormulas!F14)=2,"""","" WHERE "" &amp; TEXTJOIN("" AND "", TRUE, HelperFormulas!F14)),1)"),"Date")</f>
        <v>Date</v>
      </c>
      <c r="B2" s="96" t="str">
        <f>IFERROR(__xludf.DUMMYFUNCTION("""COMPUTED_VALUE"""),"Driver")</f>
        <v>Driver</v>
      </c>
      <c r="C2" s="96" t="str">
        <f>IFERROR(__xludf.DUMMYFUNCTION("""COMPUTED_VALUE"""),"Deliver to")</f>
        <v>Deliver to</v>
      </c>
      <c r="D2" s="96" t="str">
        <f>IFERROR(__xludf.DUMMYFUNCTION("""COMPUTED_VALUE"""),"Escort")</f>
        <v>Escort</v>
      </c>
      <c r="E2" s="96" t="str">
        <f>IFERROR(__xludf.DUMMYFUNCTION("""COMPUTED_VALUE"""),"QTY of Bags")</f>
        <v>QTY of Bags</v>
      </c>
    </row>
    <row r="3">
      <c r="A3" s="353">
        <f>IFERROR(__xludf.DUMMYFUNCTION("""COMPUTED_VALUE"""),44032.0)</f>
        <v>44032</v>
      </c>
      <c r="B3" s="96" t="str">
        <f>IFERROR(__xludf.DUMMYFUNCTION("""COMPUTED_VALUE"""),"SUNNY TULIP")</f>
        <v>SUNNY TULIP</v>
      </c>
      <c r="C3" s="96" t="str">
        <f>IFERROR(__xludf.DUMMYFUNCTION("""COMPUTED_VALUE"""),"TULIP")</f>
        <v>TULIP</v>
      </c>
      <c r="D3" s="96" t="str">
        <f>IFERROR(__xludf.DUMMYFUNCTION("""COMPUTED_VALUE"""),"ETUNGHA")</f>
        <v>ETUNGHA</v>
      </c>
      <c r="E3" s="96">
        <f>IFERROR(__xludf.DUMMYFUNCTION("""COMPUTED_VALUE"""),100.0)</f>
        <v>100</v>
      </c>
    </row>
    <row r="4">
      <c r="A4" s="353"/>
      <c r="B4" s="96"/>
      <c r="C4" s="96"/>
      <c r="D4" s="96"/>
      <c r="E4" s="96"/>
    </row>
    <row r="5">
      <c r="A5" s="353"/>
      <c r="B5" s="96"/>
      <c r="C5" s="96"/>
      <c r="D5" s="96"/>
      <c r="E5" s="96"/>
    </row>
    <row r="6">
      <c r="A6" s="353"/>
      <c r="B6" s="96"/>
      <c r="C6" s="96"/>
      <c r="D6" s="96"/>
      <c r="E6" s="96"/>
    </row>
    <row r="7">
      <c r="A7" s="353"/>
      <c r="B7" s="96"/>
      <c r="C7" s="96"/>
      <c r="D7" s="96"/>
      <c r="E7" s="96"/>
    </row>
    <row r="8">
      <c r="A8" s="353"/>
      <c r="B8" s="96"/>
      <c r="C8" s="96"/>
      <c r="D8" s="96"/>
      <c r="E8" s="96"/>
    </row>
    <row r="9">
      <c r="A9" s="353"/>
      <c r="B9" s="96"/>
      <c r="C9" s="96"/>
      <c r="D9" s="96"/>
      <c r="E9" s="96"/>
    </row>
    <row r="10">
      <c r="A10" s="353"/>
      <c r="B10" s="96"/>
      <c r="C10" s="96"/>
      <c r="D10" s="96"/>
      <c r="E10" s="96"/>
    </row>
    <row r="11">
      <c r="A11" s="353"/>
      <c r="B11" s="96"/>
      <c r="C11" s="96"/>
      <c r="D11" s="96"/>
      <c r="E11" s="96"/>
    </row>
    <row r="12">
      <c r="A12" s="353"/>
      <c r="B12" s="96"/>
      <c r="C12" s="96"/>
      <c r="D12" s="96"/>
      <c r="E12" s="96"/>
    </row>
    <row r="13">
      <c r="A13" s="353"/>
      <c r="B13" s="96"/>
      <c r="C13" s="96"/>
      <c r="D13" s="96"/>
      <c r="E13" s="96"/>
    </row>
    <row r="14">
      <c r="A14" s="353"/>
      <c r="B14" s="96"/>
      <c r="C14" s="96"/>
      <c r="D14" s="96"/>
      <c r="E14" s="96"/>
    </row>
    <row r="15">
      <c r="A15" s="353"/>
      <c r="B15" s="96"/>
      <c r="C15" s="96"/>
      <c r="D15" s="96"/>
      <c r="E15" s="96"/>
    </row>
    <row r="16">
      <c r="A16" s="353"/>
      <c r="B16" s="96"/>
      <c r="C16" s="96"/>
      <c r="D16" s="96"/>
      <c r="E16" s="96"/>
    </row>
    <row r="17">
      <c r="A17" s="353"/>
      <c r="B17" s="96"/>
      <c r="C17" s="96"/>
      <c r="D17" s="96"/>
      <c r="E17" s="96"/>
    </row>
    <row r="18">
      <c r="A18" s="353"/>
      <c r="B18" s="96"/>
      <c r="C18" s="96"/>
      <c r="D18" s="96"/>
      <c r="E18" s="96"/>
    </row>
    <row r="19">
      <c r="A19" s="353"/>
      <c r="B19" s="96"/>
      <c r="C19" s="96"/>
      <c r="D19" s="96"/>
      <c r="E19" s="96"/>
    </row>
    <row r="20">
      <c r="A20" s="353"/>
      <c r="B20" s="96"/>
      <c r="C20" s="96"/>
      <c r="D20" s="96"/>
      <c r="E20" s="96"/>
    </row>
    <row r="21">
      <c r="A21" s="353"/>
      <c r="B21" s="96"/>
      <c r="C21" s="96"/>
      <c r="D21" s="96"/>
      <c r="E21" s="96"/>
    </row>
    <row r="22">
      <c r="A22" s="353"/>
      <c r="B22" s="96"/>
      <c r="C22" s="96"/>
      <c r="D22" s="96"/>
      <c r="E22" s="96"/>
    </row>
    <row r="23">
      <c r="A23" s="353"/>
      <c r="B23" s="96"/>
      <c r="C23" s="96"/>
      <c r="D23" s="96"/>
      <c r="E23" s="96"/>
    </row>
    <row r="24">
      <c r="A24" s="353"/>
      <c r="B24" s="96"/>
      <c r="C24" s="96"/>
      <c r="D24" s="96"/>
      <c r="E24" s="96"/>
    </row>
    <row r="25">
      <c r="A25" s="353"/>
      <c r="B25" s="96"/>
      <c r="C25" s="96"/>
      <c r="D25" s="96"/>
      <c r="E25" s="96"/>
    </row>
    <row r="26">
      <c r="A26" s="353"/>
      <c r="B26" s="96"/>
      <c r="C26" s="96"/>
      <c r="D26" s="96"/>
      <c r="E26" s="96"/>
    </row>
    <row r="27">
      <c r="A27" s="353"/>
      <c r="B27" s="96"/>
      <c r="C27" s="96"/>
      <c r="D27" s="96"/>
      <c r="E27" s="96"/>
    </row>
    <row r="28">
      <c r="A28" s="353"/>
      <c r="B28" s="96"/>
      <c r="C28" s="96"/>
      <c r="D28" s="96"/>
      <c r="E28" s="96"/>
    </row>
    <row r="29">
      <c r="A29" s="353"/>
      <c r="B29" s="96"/>
      <c r="C29" s="96"/>
      <c r="D29" s="96"/>
      <c r="E29" s="96"/>
    </row>
    <row r="30">
      <c r="A30" s="353"/>
      <c r="B30" s="96"/>
      <c r="C30" s="96"/>
      <c r="D30" s="96"/>
      <c r="E30" s="96"/>
    </row>
    <row r="31">
      <c r="A31" s="353"/>
      <c r="B31" s="96"/>
      <c r="C31" s="96"/>
      <c r="D31" s="96"/>
      <c r="E31" s="96"/>
    </row>
    <row r="32">
      <c r="A32" s="353"/>
      <c r="B32" s="96"/>
      <c r="C32" s="96"/>
      <c r="D32" s="96"/>
      <c r="E32" s="96"/>
    </row>
    <row r="33">
      <c r="A33" s="353"/>
      <c r="B33" s="96"/>
      <c r="C33" s="96"/>
      <c r="D33" s="96"/>
      <c r="E33" s="96"/>
    </row>
    <row r="34">
      <c r="A34" s="353"/>
      <c r="B34" s="96"/>
      <c r="C34" s="96"/>
      <c r="D34" s="96"/>
      <c r="E34" s="96"/>
    </row>
    <row r="35">
      <c r="A35" s="353"/>
      <c r="B35" s="96"/>
      <c r="C35" s="96"/>
      <c r="D35" s="96"/>
      <c r="E35" s="96"/>
    </row>
    <row r="36">
      <c r="A36" s="353"/>
      <c r="B36" s="96"/>
      <c r="C36" s="96"/>
      <c r="D36" s="96"/>
      <c r="E36" s="96"/>
    </row>
    <row r="37">
      <c r="A37" s="353"/>
      <c r="B37" s="96"/>
      <c r="C37" s="96"/>
      <c r="D37" s="96"/>
      <c r="E37" s="96"/>
    </row>
    <row r="38">
      <c r="A38" s="353"/>
      <c r="B38" s="96"/>
      <c r="C38" s="96"/>
      <c r="D38" s="96"/>
      <c r="E38" s="96"/>
    </row>
    <row r="39">
      <c r="A39" s="353"/>
      <c r="B39" s="96"/>
      <c r="C39" s="96"/>
      <c r="D39" s="96"/>
      <c r="E39" s="96"/>
    </row>
    <row r="40">
      <c r="A40" s="353"/>
      <c r="B40" s="96"/>
      <c r="C40" s="96"/>
      <c r="D40" s="96"/>
      <c r="E40" s="96"/>
    </row>
    <row r="41">
      <c r="A41" s="353"/>
      <c r="B41" s="96"/>
      <c r="C41" s="96"/>
      <c r="D41" s="96"/>
      <c r="E41" s="96"/>
    </row>
    <row r="42">
      <c r="A42" s="353"/>
      <c r="B42" s="96"/>
      <c r="C42" s="96"/>
      <c r="D42" s="96"/>
      <c r="E42" s="96"/>
    </row>
    <row r="43">
      <c r="A43" s="353"/>
      <c r="B43" s="96"/>
      <c r="C43" s="96"/>
      <c r="D43" s="96"/>
      <c r="E43" s="96"/>
    </row>
    <row r="44">
      <c r="A44" s="353"/>
      <c r="B44" s="96"/>
      <c r="C44" s="96"/>
      <c r="D44" s="96"/>
      <c r="E44" s="96"/>
    </row>
    <row r="45">
      <c r="A45" s="353"/>
      <c r="B45" s="96"/>
      <c r="C45" s="96"/>
      <c r="D45" s="96"/>
      <c r="E45" s="96"/>
    </row>
    <row r="46">
      <c r="A46" s="353"/>
      <c r="B46" s="96"/>
      <c r="C46" s="96"/>
      <c r="D46" s="96"/>
      <c r="E46" s="96"/>
    </row>
    <row r="47">
      <c r="A47" s="353"/>
      <c r="B47" s="96"/>
      <c r="C47" s="96"/>
      <c r="D47" s="96"/>
      <c r="E47" s="96"/>
    </row>
    <row r="48">
      <c r="A48" s="353"/>
      <c r="B48" s="96"/>
      <c r="C48" s="96"/>
      <c r="D48" s="96"/>
      <c r="E48" s="96"/>
    </row>
    <row r="49">
      <c r="A49" s="353"/>
      <c r="B49" s="96"/>
      <c r="C49" s="96"/>
      <c r="D49" s="96"/>
      <c r="E49" s="96"/>
    </row>
    <row r="50">
      <c r="A50" s="353"/>
      <c r="B50" s="96"/>
      <c r="C50" s="96"/>
      <c r="D50" s="96"/>
      <c r="E50" s="96"/>
    </row>
    <row r="51">
      <c r="A51" s="353"/>
      <c r="B51" s="96"/>
      <c r="C51" s="96"/>
      <c r="D51" s="96"/>
      <c r="E51" s="96"/>
    </row>
    <row r="52">
      <c r="A52" s="353"/>
      <c r="B52" s="96"/>
      <c r="C52" s="96"/>
      <c r="D52" s="96"/>
      <c r="E52" s="96"/>
    </row>
    <row r="53">
      <c r="A53" s="353"/>
      <c r="B53" s="96"/>
      <c r="C53" s="96"/>
      <c r="D53" s="96"/>
      <c r="E53" s="96"/>
    </row>
    <row r="54">
      <c r="A54" s="353"/>
      <c r="B54" s="96"/>
      <c r="C54" s="96"/>
      <c r="D54" s="96"/>
      <c r="E54" s="96"/>
    </row>
    <row r="55">
      <c r="A55" s="353"/>
      <c r="B55" s="96"/>
      <c r="C55" s="96"/>
      <c r="D55" s="96"/>
      <c r="E55" s="96"/>
    </row>
    <row r="56">
      <c r="A56" s="353"/>
      <c r="B56" s="96"/>
      <c r="C56" s="96"/>
      <c r="D56" s="96"/>
      <c r="E56" s="96"/>
    </row>
    <row r="57">
      <c r="A57" s="353"/>
      <c r="B57" s="96"/>
      <c r="C57" s="96"/>
      <c r="D57" s="96"/>
      <c r="E57" s="96"/>
    </row>
    <row r="58">
      <c r="A58" s="353"/>
      <c r="B58" s="96"/>
      <c r="C58" s="96"/>
      <c r="D58" s="96"/>
      <c r="E58" s="96"/>
    </row>
    <row r="59">
      <c r="A59" s="353"/>
      <c r="B59" s="96"/>
      <c r="C59" s="96"/>
      <c r="D59" s="96"/>
      <c r="E59" s="96"/>
    </row>
    <row r="60">
      <c r="A60" s="353"/>
      <c r="B60" s="96"/>
      <c r="C60" s="96"/>
      <c r="D60" s="96"/>
      <c r="E60" s="96"/>
    </row>
    <row r="61">
      <c r="A61" s="353"/>
      <c r="B61" s="96"/>
      <c r="C61" s="96"/>
      <c r="D61" s="96"/>
      <c r="E61" s="96"/>
    </row>
    <row r="62">
      <c r="A62" s="353"/>
      <c r="B62" s="96"/>
      <c r="C62" s="96"/>
      <c r="D62" s="96"/>
      <c r="E62" s="96"/>
    </row>
    <row r="63">
      <c r="A63" s="353"/>
      <c r="B63" s="96"/>
      <c r="C63" s="96"/>
      <c r="D63" s="96"/>
      <c r="E63" s="96"/>
    </row>
    <row r="64">
      <c r="A64" s="353"/>
      <c r="B64" s="96"/>
      <c r="C64" s="96"/>
      <c r="D64" s="96"/>
      <c r="E64" s="96"/>
    </row>
    <row r="65">
      <c r="A65" s="353"/>
      <c r="B65" s="96"/>
      <c r="C65" s="96"/>
      <c r="D65" s="96"/>
      <c r="E65" s="96"/>
    </row>
    <row r="66">
      <c r="A66" s="353"/>
      <c r="B66" s="96"/>
      <c r="C66" s="96"/>
      <c r="D66" s="96"/>
      <c r="E66" s="96"/>
    </row>
    <row r="67">
      <c r="A67" s="353"/>
      <c r="B67" s="96"/>
      <c r="C67" s="96"/>
      <c r="D67" s="96"/>
      <c r="E67" s="96"/>
    </row>
    <row r="68">
      <c r="A68" s="353"/>
      <c r="B68" s="96"/>
      <c r="C68" s="96"/>
      <c r="D68" s="96"/>
      <c r="E68" s="96"/>
    </row>
    <row r="69">
      <c r="A69" s="353"/>
      <c r="B69" s="96"/>
      <c r="C69" s="96"/>
      <c r="D69" s="96"/>
      <c r="E69" s="96"/>
    </row>
    <row r="70">
      <c r="A70" s="353"/>
      <c r="B70" s="96"/>
      <c r="C70" s="96"/>
      <c r="D70" s="96"/>
      <c r="E70" s="96"/>
    </row>
    <row r="71">
      <c r="A71" s="353"/>
      <c r="B71" s="96"/>
      <c r="C71" s="96"/>
      <c r="D71" s="96"/>
      <c r="E71" s="96"/>
    </row>
    <row r="72">
      <c r="A72" s="353"/>
      <c r="B72" s="96"/>
      <c r="C72" s="96"/>
      <c r="D72" s="96"/>
      <c r="E72" s="96"/>
    </row>
    <row r="73">
      <c r="A73" s="353"/>
      <c r="B73" s="96"/>
      <c r="C73" s="96"/>
      <c r="D73" s="96"/>
      <c r="E73" s="96"/>
    </row>
    <row r="74">
      <c r="A74" s="353"/>
      <c r="B74" s="96"/>
      <c r="C74" s="96"/>
      <c r="D74" s="96"/>
      <c r="E74" s="96"/>
    </row>
    <row r="75">
      <c r="A75" s="353"/>
      <c r="B75" s="96"/>
      <c r="C75" s="96"/>
      <c r="D75" s="96"/>
      <c r="E75" s="96"/>
    </row>
    <row r="76">
      <c r="A76" s="353"/>
      <c r="B76" s="96"/>
      <c r="C76" s="96"/>
      <c r="D76" s="96"/>
      <c r="E76" s="96"/>
    </row>
    <row r="77">
      <c r="A77" s="353"/>
      <c r="B77" s="96"/>
      <c r="C77" s="96"/>
      <c r="D77" s="96"/>
      <c r="E77" s="96"/>
    </row>
    <row r="78">
      <c r="A78" s="353"/>
      <c r="B78" s="96"/>
      <c r="C78" s="96"/>
      <c r="D78" s="96"/>
      <c r="E78" s="96"/>
    </row>
    <row r="79">
      <c r="A79" s="353"/>
      <c r="B79" s="96"/>
      <c r="C79" s="96"/>
      <c r="D79" s="96"/>
      <c r="E79" s="96"/>
    </row>
    <row r="80">
      <c r="A80" s="353"/>
      <c r="B80" s="96"/>
      <c r="C80" s="96"/>
      <c r="D80" s="96"/>
      <c r="E80" s="96"/>
    </row>
    <row r="81">
      <c r="A81" s="353"/>
      <c r="B81" s="96"/>
      <c r="C81" s="96"/>
      <c r="D81" s="96"/>
      <c r="E81" s="96"/>
    </row>
    <row r="82">
      <c r="A82" s="353"/>
      <c r="B82" s="96"/>
      <c r="C82" s="96"/>
      <c r="D82" s="96"/>
      <c r="E82" s="96"/>
    </row>
    <row r="83">
      <c r="A83" s="353"/>
      <c r="B83" s="96"/>
      <c r="C83" s="96"/>
      <c r="D83" s="96"/>
      <c r="E83" s="96"/>
    </row>
    <row r="84">
      <c r="A84" s="353"/>
      <c r="B84" s="96"/>
      <c r="C84" s="96"/>
      <c r="D84" s="96"/>
      <c r="E84" s="96"/>
    </row>
    <row r="85">
      <c r="A85" s="353"/>
      <c r="B85" s="96"/>
      <c r="C85" s="96"/>
      <c r="D85" s="96"/>
      <c r="E85" s="96"/>
    </row>
    <row r="86">
      <c r="A86" s="353"/>
      <c r="B86" s="96"/>
      <c r="C86" s="96"/>
      <c r="D86" s="96"/>
      <c r="E86" s="96"/>
    </row>
    <row r="87">
      <c r="A87" s="353"/>
      <c r="B87" s="96"/>
      <c r="C87" s="96"/>
      <c r="D87" s="96"/>
      <c r="E87" s="96"/>
    </row>
    <row r="88">
      <c r="A88" s="353"/>
      <c r="B88" s="96"/>
      <c r="C88" s="96"/>
      <c r="D88" s="96"/>
      <c r="E88" s="96"/>
    </row>
    <row r="89">
      <c r="A89" s="353"/>
      <c r="B89" s="96"/>
      <c r="C89" s="96"/>
      <c r="D89" s="96"/>
      <c r="E89" s="96"/>
    </row>
    <row r="90">
      <c r="A90" s="353"/>
      <c r="B90" s="96"/>
      <c r="C90" s="96"/>
      <c r="D90" s="96"/>
      <c r="E90" s="96"/>
    </row>
    <row r="91">
      <c r="A91" s="353"/>
      <c r="B91" s="96"/>
      <c r="C91" s="96"/>
      <c r="D91" s="96"/>
      <c r="E91" s="96"/>
    </row>
    <row r="92">
      <c r="A92" s="353"/>
      <c r="B92" s="96"/>
      <c r="C92" s="96"/>
      <c r="D92" s="96"/>
      <c r="E92" s="96"/>
    </row>
    <row r="93">
      <c r="A93" s="353"/>
      <c r="B93" s="96"/>
      <c r="C93" s="96"/>
      <c r="D93" s="96"/>
      <c r="E93" s="96"/>
    </row>
    <row r="94">
      <c r="A94" s="353"/>
      <c r="B94" s="96"/>
      <c r="C94" s="96"/>
      <c r="D94" s="96"/>
      <c r="E94" s="96"/>
    </row>
    <row r="95">
      <c r="A95" s="353"/>
      <c r="B95" s="96"/>
      <c r="C95" s="96"/>
      <c r="D95" s="96"/>
      <c r="E95" s="96"/>
    </row>
    <row r="96">
      <c r="A96" s="353"/>
      <c r="B96" s="96"/>
      <c r="C96" s="96"/>
      <c r="D96" s="96"/>
      <c r="E96" s="96"/>
    </row>
    <row r="97">
      <c r="A97" s="353"/>
      <c r="B97" s="96"/>
      <c r="C97" s="96"/>
      <c r="D97" s="96"/>
      <c r="E97" s="96"/>
    </row>
    <row r="98">
      <c r="A98" s="353"/>
      <c r="B98" s="96"/>
      <c r="C98" s="96"/>
      <c r="D98" s="96"/>
      <c r="E98" s="96"/>
    </row>
    <row r="99">
      <c r="A99" s="353"/>
      <c r="B99" s="96"/>
      <c r="C99" s="96"/>
      <c r="D99" s="96"/>
      <c r="E99" s="96"/>
    </row>
    <row r="100">
      <c r="A100" s="353"/>
      <c r="B100" s="96"/>
      <c r="C100" s="96"/>
      <c r="D100" s="96"/>
      <c r="E100" s="96"/>
    </row>
    <row r="101">
      <c r="A101" s="353"/>
      <c r="B101" s="96"/>
      <c r="C101" s="96"/>
      <c r="D101" s="96"/>
      <c r="E101" s="96"/>
    </row>
    <row r="102">
      <c r="A102" s="353"/>
      <c r="B102" s="96"/>
      <c r="C102" s="96"/>
      <c r="D102" s="96"/>
      <c r="E102" s="96"/>
    </row>
    <row r="103">
      <c r="A103" s="353"/>
      <c r="B103" s="96"/>
      <c r="C103" s="96"/>
      <c r="D103" s="96"/>
      <c r="E103" s="96"/>
    </row>
    <row r="104">
      <c r="A104" s="353"/>
      <c r="B104" s="96"/>
      <c r="C104" s="96"/>
      <c r="D104" s="96"/>
      <c r="E104" s="96"/>
    </row>
    <row r="105">
      <c r="A105" s="353"/>
      <c r="B105" s="96"/>
      <c r="C105" s="96"/>
      <c r="D105" s="96"/>
      <c r="E105" s="96"/>
    </row>
    <row r="106">
      <c r="A106" s="353"/>
      <c r="B106" s="96"/>
      <c r="C106" s="96"/>
      <c r="D106" s="96"/>
      <c r="E106" s="96"/>
    </row>
    <row r="107">
      <c r="A107" s="353"/>
      <c r="B107" s="96"/>
      <c r="C107" s="96"/>
      <c r="D107" s="96"/>
      <c r="E107" s="96"/>
    </row>
    <row r="108">
      <c r="A108" s="353"/>
      <c r="B108" s="96"/>
      <c r="C108" s="96"/>
      <c r="D108" s="96"/>
      <c r="E108" s="96"/>
    </row>
    <row r="109">
      <c r="A109" s="353"/>
      <c r="B109" s="96"/>
      <c r="C109" s="96"/>
      <c r="D109" s="96"/>
      <c r="E109" s="96"/>
    </row>
    <row r="110">
      <c r="A110" s="353"/>
      <c r="B110" s="96"/>
      <c r="C110" s="96"/>
      <c r="D110" s="96"/>
      <c r="E110" s="96"/>
    </row>
    <row r="111">
      <c r="A111" s="353"/>
      <c r="B111" s="96"/>
      <c r="C111" s="96"/>
      <c r="D111" s="96"/>
      <c r="E111" s="96"/>
    </row>
    <row r="112">
      <c r="A112" s="353"/>
      <c r="B112" s="96"/>
      <c r="C112" s="96"/>
      <c r="D112" s="96"/>
      <c r="E112" s="96"/>
    </row>
    <row r="113">
      <c r="A113" s="353"/>
      <c r="B113" s="96"/>
      <c r="C113" s="96"/>
      <c r="D113" s="96"/>
      <c r="E113" s="96"/>
    </row>
    <row r="114">
      <c r="A114" s="353"/>
      <c r="B114" s="96"/>
      <c r="C114" s="96"/>
      <c r="D114" s="96"/>
      <c r="E114" s="96"/>
    </row>
    <row r="115">
      <c r="A115" s="353"/>
      <c r="B115" s="96"/>
      <c r="C115" s="96"/>
      <c r="D115" s="96"/>
      <c r="E115" s="96"/>
    </row>
    <row r="116">
      <c r="A116" s="353"/>
      <c r="B116" s="96"/>
      <c r="C116" s="96"/>
      <c r="D116" s="96"/>
      <c r="E116" s="96"/>
    </row>
    <row r="117">
      <c r="A117" s="353"/>
      <c r="B117" s="96"/>
      <c r="C117" s="96"/>
      <c r="D117" s="96"/>
      <c r="E117" s="96"/>
    </row>
    <row r="118">
      <c r="A118" s="353"/>
      <c r="B118" s="96"/>
      <c r="C118" s="96"/>
      <c r="D118" s="96"/>
      <c r="E118" s="96"/>
    </row>
    <row r="119">
      <c r="A119" s="353"/>
      <c r="B119" s="96"/>
      <c r="C119" s="96"/>
      <c r="D119" s="96"/>
      <c r="E119" s="96"/>
    </row>
    <row r="120">
      <c r="A120" s="353"/>
      <c r="B120" s="96"/>
      <c r="C120" s="96"/>
      <c r="D120" s="96"/>
      <c r="E120" s="96"/>
    </row>
    <row r="121">
      <c r="A121" s="353"/>
      <c r="B121" s="96"/>
      <c r="C121" s="96"/>
      <c r="D121" s="96"/>
      <c r="E121" s="96"/>
    </row>
    <row r="122">
      <c r="A122" s="353"/>
      <c r="B122" s="96"/>
      <c r="C122" s="96"/>
      <c r="D122" s="96"/>
      <c r="E122" s="96"/>
    </row>
    <row r="123">
      <c r="A123" s="353"/>
      <c r="B123" s="96"/>
      <c r="C123" s="96"/>
      <c r="D123" s="96"/>
      <c r="E123" s="96"/>
    </row>
    <row r="124">
      <c r="A124" s="353"/>
      <c r="B124" s="96"/>
      <c r="C124" s="96"/>
      <c r="D124" s="96"/>
      <c r="E124" s="96"/>
    </row>
    <row r="125">
      <c r="A125" s="353"/>
      <c r="B125" s="96"/>
      <c r="C125" s="96"/>
      <c r="D125" s="96"/>
      <c r="E125" s="96"/>
    </row>
    <row r="126">
      <c r="A126" s="353"/>
      <c r="B126" s="96"/>
      <c r="C126" s="96"/>
      <c r="D126" s="96"/>
      <c r="E126" s="96"/>
    </row>
    <row r="127">
      <c r="A127" s="353"/>
      <c r="B127" s="96"/>
      <c r="C127" s="96"/>
      <c r="D127" s="96"/>
      <c r="E127" s="96"/>
    </row>
    <row r="128">
      <c r="A128" s="353"/>
      <c r="B128" s="96"/>
      <c r="C128" s="96"/>
      <c r="D128" s="96"/>
      <c r="E128" s="96"/>
    </row>
    <row r="129">
      <c r="A129" s="353"/>
      <c r="B129" s="96"/>
      <c r="C129" s="96"/>
      <c r="D129" s="96"/>
      <c r="E129" s="96"/>
    </row>
    <row r="130">
      <c r="A130" s="353"/>
      <c r="B130" s="96"/>
      <c r="C130" s="96"/>
      <c r="D130" s="96"/>
      <c r="E130" s="96"/>
    </row>
    <row r="131">
      <c r="A131" s="353"/>
      <c r="B131" s="96"/>
      <c r="C131" s="96"/>
      <c r="D131" s="96"/>
      <c r="E131" s="96"/>
    </row>
    <row r="132">
      <c r="A132" s="353"/>
      <c r="B132" s="96"/>
      <c r="C132" s="96"/>
      <c r="D132" s="96"/>
      <c r="E132" s="96"/>
    </row>
    <row r="133">
      <c r="A133" s="353"/>
      <c r="B133" s="96"/>
      <c r="C133" s="96"/>
      <c r="D133" s="96"/>
      <c r="E133" s="96"/>
    </row>
    <row r="134">
      <c r="A134" s="353"/>
      <c r="B134" s="96"/>
      <c r="C134" s="96"/>
      <c r="D134" s="96"/>
      <c r="E134" s="96"/>
    </row>
    <row r="135">
      <c r="A135" s="353"/>
      <c r="B135" s="96"/>
      <c r="C135" s="96"/>
      <c r="D135" s="96"/>
      <c r="E135" s="96"/>
    </row>
    <row r="136">
      <c r="A136" s="353"/>
      <c r="B136" s="96"/>
      <c r="C136" s="96"/>
      <c r="D136" s="96"/>
      <c r="E136" s="96"/>
    </row>
    <row r="137">
      <c r="A137" s="353"/>
      <c r="B137" s="96"/>
      <c r="C137" s="96"/>
      <c r="D137" s="96"/>
      <c r="E137" s="96"/>
    </row>
    <row r="138">
      <c r="A138" s="353"/>
      <c r="B138" s="96"/>
      <c r="C138" s="96"/>
      <c r="D138" s="96"/>
      <c r="E138" s="96"/>
    </row>
    <row r="139">
      <c r="A139" s="353"/>
      <c r="B139" s="96"/>
      <c r="C139" s="96"/>
      <c r="D139" s="96"/>
      <c r="E139" s="96"/>
    </row>
    <row r="140">
      <c r="A140" s="353"/>
      <c r="B140" s="96"/>
      <c r="C140" s="96"/>
      <c r="D140" s="96"/>
      <c r="E140" s="96"/>
    </row>
    <row r="141">
      <c r="A141" s="353"/>
      <c r="B141" s="96"/>
      <c r="C141" s="96"/>
      <c r="D141" s="96"/>
      <c r="E141" s="96"/>
    </row>
    <row r="142">
      <c r="A142" s="353"/>
      <c r="B142" s="96"/>
      <c r="C142" s="96"/>
      <c r="D142" s="96"/>
      <c r="E142" s="96"/>
    </row>
    <row r="143">
      <c r="A143" s="353"/>
      <c r="B143" s="96"/>
      <c r="C143" s="96"/>
      <c r="D143" s="96"/>
      <c r="E143" s="96"/>
    </row>
    <row r="144">
      <c r="A144" s="353"/>
      <c r="B144" s="96"/>
      <c r="C144" s="96"/>
      <c r="D144" s="96"/>
      <c r="E144" s="96"/>
    </row>
    <row r="145">
      <c r="A145" s="353"/>
      <c r="B145" s="96"/>
      <c r="C145" s="96"/>
      <c r="D145" s="96"/>
      <c r="E145" s="96"/>
    </row>
    <row r="146">
      <c r="A146" s="353"/>
      <c r="B146" s="96"/>
      <c r="C146" s="96"/>
      <c r="D146" s="96"/>
      <c r="E146" s="96"/>
    </row>
    <row r="147">
      <c r="A147" s="353"/>
      <c r="B147" s="96"/>
      <c r="C147" s="96"/>
      <c r="D147" s="96"/>
      <c r="E147" s="96"/>
    </row>
    <row r="148">
      <c r="A148" s="353"/>
      <c r="B148" s="96"/>
      <c r="C148" s="96"/>
      <c r="D148" s="96"/>
      <c r="E148" s="96"/>
    </row>
    <row r="149">
      <c r="A149" s="353"/>
      <c r="B149" s="96"/>
      <c r="C149" s="96"/>
      <c r="D149" s="96"/>
      <c r="E149" s="96"/>
    </row>
    <row r="150">
      <c r="A150" s="353"/>
      <c r="B150" s="96"/>
      <c r="C150" s="96"/>
      <c r="D150" s="96"/>
      <c r="E150" s="96"/>
    </row>
    <row r="151">
      <c r="A151" s="353"/>
      <c r="B151" s="96"/>
      <c r="C151" s="96"/>
      <c r="D151" s="96"/>
      <c r="E151" s="96"/>
    </row>
    <row r="152">
      <c r="A152" s="353"/>
      <c r="B152" s="96"/>
      <c r="C152" s="96"/>
      <c r="D152" s="96"/>
      <c r="E152" s="96"/>
    </row>
    <row r="153">
      <c r="A153" s="353"/>
      <c r="B153" s="96"/>
      <c r="C153" s="96"/>
      <c r="D153" s="96"/>
      <c r="E153" s="96"/>
    </row>
    <row r="154">
      <c r="A154" s="353"/>
      <c r="B154" s="96"/>
      <c r="C154" s="96"/>
      <c r="D154" s="96"/>
      <c r="E154" s="96"/>
    </row>
    <row r="155">
      <c r="A155" s="353"/>
      <c r="B155" s="96"/>
      <c r="C155" s="96"/>
      <c r="D155" s="96"/>
      <c r="E155" s="96"/>
    </row>
    <row r="156">
      <c r="A156" s="353"/>
      <c r="B156" s="96"/>
      <c r="C156" s="96"/>
      <c r="D156" s="96"/>
      <c r="E156" s="96"/>
    </row>
    <row r="157">
      <c r="A157" s="353"/>
      <c r="B157" s="96"/>
      <c r="C157" s="96"/>
      <c r="D157" s="96"/>
      <c r="E157" s="96"/>
    </row>
    <row r="158">
      <c r="A158" s="353"/>
      <c r="B158" s="96"/>
      <c r="C158" s="96"/>
      <c r="D158" s="96"/>
      <c r="E158" s="96"/>
    </row>
    <row r="159">
      <c r="A159" s="353"/>
      <c r="B159" s="96"/>
      <c r="C159" s="96"/>
      <c r="D159" s="96"/>
      <c r="E159" s="96"/>
    </row>
    <row r="160">
      <c r="A160" s="353"/>
      <c r="B160" s="96"/>
      <c r="C160" s="96"/>
      <c r="D160" s="96"/>
      <c r="E160" s="96"/>
    </row>
    <row r="161">
      <c r="A161" s="353"/>
      <c r="B161" s="96"/>
      <c r="C161" s="96"/>
      <c r="D161" s="96"/>
      <c r="E161" s="96"/>
    </row>
    <row r="162">
      <c r="A162" s="353"/>
      <c r="B162" s="96"/>
      <c r="C162" s="96"/>
      <c r="D162" s="96"/>
      <c r="E162" s="96"/>
    </row>
    <row r="163">
      <c r="A163" s="353"/>
      <c r="B163" s="96"/>
      <c r="C163" s="96"/>
      <c r="D163" s="96"/>
      <c r="E163" s="96"/>
    </row>
    <row r="164">
      <c r="A164" s="353"/>
      <c r="B164" s="96"/>
      <c r="C164" s="96"/>
      <c r="D164" s="96"/>
      <c r="E164" s="96"/>
    </row>
    <row r="165">
      <c r="A165" s="353"/>
      <c r="B165" s="96"/>
      <c r="C165" s="96"/>
      <c r="D165" s="96"/>
      <c r="E165" s="96"/>
    </row>
    <row r="166">
      <c r="A166" s="353"/>
      <c r="B166" s="96"/>
      <c r="C166" s="96"/>
      <c r="D166" s="96"/>
      <c r="E166" s="96"/>
    </row>
    <row r="167">
      <c r="A167" s="353"/>
      <c r="B167" s="96"/>
      <c r="C167" s="96"/>
      <c r="D167" s="96"/>
      <c r="E167" s="96"/>
    </row>
    <row r="168">
      <c r="A168" s="353"/>
      <c r="B168" s="96"/>
      <c r="C168" s="96"/>
      <c r="D168" s="96"/>
      <c r="E168" s="96"/>
    </row>
    <row r="169">
      <c r="A169" s="353"/>
      <c r="B169" s="96"/>
      <c r="C169" s="96"/>
      <c r="D169" s="96"/>
      <c r="E169" s="96"/>
    </row>
    <row r="170">
      <c r="A170" s="353"/>
      <c r="B170" s="96"/>
      <c r="C170" s="96"/>
      <c r="D170" s="96"/>
      <c r="E170" s="96"/>
    </row>
    <row r="171">
      <c r="A171" s="353"/>
      <c r="B171" s="96"/>
      <c r="C171" s="96"/>
      <c r="D171" s="96"/>
      <c r="E171" s="96"/>
    </row>
    <row r="172">
      <c r="A172" s="353"/>
      <c r="B172" s="96"/>
      <c r="C172" s="96"/>
      <c r="D172" s="96"/>
      <c r="E172" s="96"/>
    </row>
    <row r="173">
      <c r="A173" s="353"/>
      <c r="B173" s="96"/>
      <c r="C173" s="96"/>
      <c r="D173" s="96"/>
      <c r="E173" s="96"/>
    </row>
    <row r="174">
      <c r="A174" s="353"/>
      <c r="B174" s="96"/>
      <c r="C174" s="96"/>
      <c r="D174" s="96"/>
      <c r="E174" s="96"/>
    </row>
    <row r="175">
      <c r="A175" s="353"/>
      <c r="B175" s="96"/>
      <c r="C175" s="96"/>
      <c r="D175" s="96"/>
      <c r="E175" s="96"/>
    </row>
    <row r="176">
      <c r="A176" s="353"/>
      <c r="B176" s="96"/>
      <c r="C176" s="96"/>
      <c r="D176" s="96"/>
      <c r="E176" s="96"/>
    </row>
    <row r="177">
      <c r="A177" s="353"/>
      <c r="B177" s="96"/>
      <c r="C177" s="96"/>
      <c r="D177" s="96"/>
      <c r="E177" s="96"/>
    </row>
    <row r="178">
      <c r="A178" s="353"/>
      <c r="B178" s="96"/>
      <c r="C178" s="96"/>
      <c r="D178" s="96"/>
      <c r="E178" s="96"/>
    </row>
    <row r="179">
      <c r="A179" s="353"/>
      <c r="B179" s="96"/>
      <c r="C179" s="96"/>
      <c r="D179" s="96"/>
      <c r="E179" s="96"/>
    </row>
    <row r="180">
      <c r="A180" s="353"/>
      <c r="B180" s="96"/>
      <c r="C180" s="96"/>
      <c r="D180" s="96"/>
      <c r="E180" s="96"/>
    </row>
    <row r="181">
      <c r="A181" s="353"/>
      <c r="B181" s="96"/>
      <c r="C181" s="96"/>
      <c r="D181" s="96"/>
      <c r="E181" s="96"/>
    </row>
    <row r="182">
      <c r="A182" s="353"/>
      <c r="B182" s="96"/>
      <c r="C182" s="96"/>
      <c r="D182" s="96"/>
      <c r="E182" s="96"/>
    </row>
    <row r="183">
      <c r="A183" s="353"/>
      <c r="B183" s="96"/>
      <c r="C183" s="96"/>
      <c r="D183" s="96"/>
      <c r="E183" s="96"/>
    </row>
    <row r="184">
      <c r="A184" s="353"/>
      <c r="B184" s="96"/>
      <c r="C184" s="96"/>
      <c r="D184" s="96"/>
      <c r="E184" s="96"/>
    </row>
    <row r="185">
      <c r="A185" s="353"/>
      <c r="B185" s="96"/>
      <c r="C185" s="96"/>
      <c r="D185" s="96"/>
      <c r="E185" s="96"/>
    </row>
    <row r="186">
      <c r="A186" s="353"/>
      <c r="B186" s="96"/>
      <c r="C186" s="96"/>
      <c r="D186" s="96"/>
      <c r="E186" s="96"/>
    </row>
    <row r="187">
      <c r="A187" s="353"/>
      <c r="B187" s="96"/>
      <c r="C187" s="96"/>
      <c r="D187" s="96"/>
      <c r="E187" s="96"/>
    </row>
    <row r="188">
      <c r="A188" s="353"/>
      <c r="B188" s="96"/>
      <c r="C188" s="96"/>
      <c r="D188" s="96"/>
      <c r="E188" s="96"/>
    </row>
    <row r="189">
      <c r="A189" s="353"/>
      <c r="B189" s="96"/>
      <c r="C189" s="96"/>
      <c r="D189" s="96"/>
      <c r="E189" s="96"/>
    </row>
    <row r="190">
      <c r="A190" s="353"/>
      <c r="B190" s="96"/>
      <c r="C190" s="96"/>
      <c r="D190" s="96"/>
      <c r="E190" s="96"/>
    </row>
    <row r="191">
      <c r="A191" s="353"/>
      <c r="B191" s="96"/>
      <c r="C191" s="96"/>
      <c r="D191" s="96"/>
      <c r="E191" s="96"/>
    </row>
    <row r="192">
      <c r="A192" s="353"/>
      <c r="B192" s="96"/>
      <c r="C192" s="96"/>
      <c r="D192" s="96"/>
      <c r="E192" s="96"/>
    </row>
    <row r="193">
      <c r="A193" s="353"/>
      <c r="B193" s="96"/>
      <c r="C193" s="96"/>
      <c r="D193" s="96"/>
      <c r="E193" s="96"/>
    </row>
    <row r="194">
      <c r="A194" s="353"/>
      <c r="B194" s="96"/>
      <c r="C194" s="96"/>
      <c r="D194" s="96"/>
      <c r="E194" s="96"/>
    </row>
    <row r="195">
      <c r="A195" s="353"/>
      <c r="B195" s="96"/>
      <c r="C195" s="96"/>
      <c r="D195" s="96"/>
      <c r="E195" s="96"/>
    </row>
    <row r="196">
      <c r="A196" s="353"/>
      <c r="B196" s="96"/>
      <c r="C196" s="96"/>
      <c r="D196" s="96"/>
      <c r="E196" s="96"/>
    </row>
    <row r="197">
      <c r="A197" s="353"/>
      <c r="B197" s="96"/>
      <c r="C197" s="96"/>
      <c r="D197" s="96"/>
      <c r="E197" s="96"/>
    </row>
    <row r="198">
      <c r="A198" s="353"/>
      <c r="B198" s="96"/>
      <c r="C198" s="96"/>
      <c r="D198" s="96"/>
      <c r="E198" s="96"/>
    </row>
    <row r="199">
      <c r="A199" s="353"/>
      <c r="B199" s="96"/>
      <c r="C199" s="96"/>
      <c r="D199" s="96"/>
      <c r="E199" s="96"/>
    </row>
    <row r="200">
      <c r="A200" s="353"/>
      <c r="B200" s="96"/>
      <c r="C200" s="96"/>
      <c r="D200" s="96"/>
      <c r="E200" s="96"/>
    </row>
    <row r="201">
      <c r="A201" s="353"/>
      <c r="B201" s="96"/>
      <c r="C201" s="96"/>
      <c r="D201" s="96"/>
      <c r="E201" s="96"/>
    </row>
    <row r="202">
      <c r="A202" s="353"/>
      <c r="B202" s="96"/>
      <c r="C202" s="96"/>
      <c r="D202" s="96"/>
      <c r="E202" s="96"/>
    </row>
    <row r="203">
      <c r="A203" s="353"/>
      <c r="B203" s="96"/>
      <c r="C203" s="96"/>
      <c r="D203" s="96"/>
      <c r="E203" s="96"/>
    </row>
    <row r="204">
      <c r="A204" s="353"/>
      <c r="B204" s="96"/>
      <c r="C204" s="96"/>
      <c r="D204" s="96"/>
      <c r="E204" s="96"/>
    </row>
    <row r="205">
      <c r="A205" s="353"/>
      <c r="B205" s="96"/>
      <c r="C205" s="96"/>
      <c r="D205" s="96"/>
      <c r="E205" s="96"/>
    </row>
    <row r="206">
      <c r="A206" s="353"/>
      <c r="B206" s="96"/>
      <c r="C206" s="96"/>
      <c r="D206" s="96"/>
      <c r="E206" s="96"/>
    </row>
    <row r="207">
      <c r="A207" s="353"/>
      <c r="B207" s="96"/>
      <c r="C207" s="96"/>
      <c r="D207" s="96"/>
      <c r="E207" s="96"/>
    </row>
    <row r="208">
      <c r="A208" s="353"/>
      <c r="B208" s="96"/>
      <c r="C208" s="96"/>
      <c r="D208" s="96"/>
      <c r="E208" s="96"/>
    </row>
    <row r="209">
      <c r="A209" s="353"/>
      <c r="B209" s="96"/>
      <c r="C209" s="96"/>
      <c r="D209" s="96"/>
      <c r="E209" s="96"/>
    </row>
    <row r="210">
      <c r="A210" s="353"/>
      <c r="B210" s="96"/>
      <c r="C210" s="96"/>
      <c r="D210" s="96"/>
      <c r="E210" s="96"/>
    </row>
    <row r="211">
      <c r="A211" s="353"/>
      <c r="B211" s="96"/>
      <c r="C211" s="96"/>
      <c r="D211" s="96"/>
      <c r="E211" s="96"/>
    </row>
    <row r="212">
      <c r="A212" s="353"/>
      <c r="B212" s="96"/>
      <c r="C212" s="96"/>
      <c r="D212" s="96"/>
      <c r="E212" s="96"/>
    </row>
    <row r="213">
      <c r="A213" s="353"/>
      <c r="B213" s="96"/>
      <c r="C213" s="96"/>
      <c r="D213" s="96"/>
      <c r="E213" s="96"/>
    </row>
    <row r="214">
      <c r="A214" s="353"/>
      <c r="B214" s="96"/>
      <c r="C214" s="96"/>
      <c r="D214" s="96"/>
      <c r="E214" s="96"/>
    </row>
    <row r="215">
      <c r="A215" s="353"/>
      <c r="B215" s="96"/>
      <c r="C215" s="96"/>
      <c r="D215" s="96"/>
      <c r="E215" s="96"/>
    </row>
    <row r="216">
      <c r="A216" s="353"/>
      <c r="B216" s="96"/>
      <c r="C216" s="96"/>
      <c r="D216" s="96"/>
      <c r="E216" s="96"/>
    </row>
    <row r="217">
      <c r="A217" s="353"/>
      <c r="B217" s="96"/>
      <c r="C217" s="96"/>
      <c r="D217" s="96"/>
      <c r="E217" s="96"/>
    </row>
    <row r="218">
      <c r="A218" s="353"/>
      <c r="B218" s="96"/>
      <c r="C218" s="96"/>
      <c r="D218" s="96"/>
      <c r="E218" s="96"/>
    </row>
    <row r="219">
      <c r="A219" s="353"/>
      <c r="B219" s="96"/>
      <c r="C219" s="96"/>
      <c r="D219" s="96"/>
      <c r="E219" s="96"/>
    </row>
    <row r="220">
      <c r="A220" s="353"/>
      <c r="B220" s="96"/>
      <c r="C220" s="96"/>
      <c r="D220" s="96"/>
      <c r="E220" s="96"/>
    </row>
    <row r="221">
      <c r="A221" s="353"/>
      <c r="B221" s="96"/>
      <c r="C221" s="96"/>
      <c r="D221" s="96"/>
      <c r="E221" s="96"/>
    </row>
    <row r="222">
      <c r="A222" s="353"/>
      <c r="B222" s="96"/>
      <c r="C222" s="96"/>
      <c r="D222" s="96"/>
      <c r="E222" s="96"/>
    </row>
    <row r="223">
      <c r="A223" s="353"/>
      <c r="B223" s="96"/>
      <c r="C223" s="96"/>
      <c r="D223" s="96"/>
      <c r="E223" s="96"/>
    </row>
    <row r="224">
      <c r="A224" s="353"/>
      <c r="B224" s="96"/>
      <c r="C224" s="96"/>
      <c r="D224" s="96"/>
      <c r="E224" s="96"/>
    </row>
    <row r="225">
      <c r="A225" s="353"/>
      <c r="B225" s="96"/>
      <c r="C225" s="96"/>
      <c r="D225" s="96"/>
      <c r="E225" s="96"/>
    </row>
    <row r="226">
      <c r="A226" s="353"/>
      <c r="B226" s="96"/>
      <c r="C226" s="96"/>
      <c r="D226" s="96"/>
      <c r="E226" s="96"/>
    </row>
    <row r="227">
      <c r="A227" s="353"/>
      <c r="B227" s="96"/>
      <c r="C227" s="96"/>
      <c r="D227" s="96"/>
      <c r="E227" s="96"/>
    </row>
    <row r="228">
      <c r="A228" s="353"/>
      <c r="B228" s="96"/>
      <c r="C228" s="96"/>
      <c r="D228" s="96"/>
      <c r="E228" s="96"/>
    </row>
    <row r="229">
      <c r="A229" s="353"/>
      <c r="B229" s="96"/>
      <c r="C229" s="96"/>
      <c r="D229" s="96"/>
      <c r="E229" s="96"/>
    </row>
    <row r="230">
      <c r="A230" s="353"/>
      <c r="B230" s="96"/>
      <c r="C230" s="96"/>
      <c r="D230" s="96"/>
      <c r="E230" s="96"/>
    </row>
    <row r="231">
      <c r="A231" s="353"/>
      <c r="B231" s="96"/>
      <c r="C231" s="96"/>
      <c r="D231" s="96"/>
      <c r="E231" s="96"/>
    </row>
    <row r="232">
      <c r="A232" s="353"/>
      <c r="B232" s="96"/>
      <c r="C232" s="96"/>
      <c r="D232" s="96"/>
      <c r="E232" s="96"/>
    </row>
    <row r="233">
      <c r="A233" s="353"/>
      <c r="B233" s="96"/>
      <c r="C233" s="96"/>
      <c r="D233" s="96"/>
      <c r="E233" s="96"/>
    </row>
    <row r="234">
      <c r="A234" s="353"/>
      <c r="B234" s="96"/>
      <c r="C234" s="96"/>
      <c r="D234" s="96"/>
      <c r="E234" s="96"/>
    </row>
    <row r="235">
      <c r="A235" s="353"/>
      <c r="B235" s="96"/>
      <c r="C235" s="96"/>
      <c r="D235" s="96"/>
      <c r="E235" s="96"/>
    </row>
    <row r="236">
      <c r="A236" s="353"/>
      <c r="B236" s="96"/>
      <c r="C236" s="96"/>
      <c r="D236" s="96"/>
      <c r="E236" s="96"/>
    </row>
    <row r="237">
      <c r="A237" s="353"/>
      <c r="B237" s="96"/>
      <c r="C237" s="96"/>
      <c r="D237" s="96"/>
      <c r="E237" s="96"/>
    </row>
    <row r="238">
      <c r="A238" s="353"/>
      <c r="B238" s="96"/>
      <c r="C238" s="96"/>
      <c r="D238" s="96"/>
      <c r="E238" s="96"/>
    </row>
    <row r="239">
      <c r="A239" s="353"/>
      <c r="B239" s="96"/>
      <c r="C239" s="96"/>
      <c r="D239" s="96"/>
      <c r="E239" s="96"/>
    </row>
    <row r="240">
      <c r="A240" s="353"/>
      <c r="B240" s="96"/>
      <c r="C240" s="96"/>
      <c r="D240" s="96"/>
      <c r="E240" s="96"/>
    </row>
    <row r="241">
      <c r="A241" s="353"/>
      <c r="B241" s="96"/>
      <c r="C241" s="96"/>
      <c r="D241" s="96"/>
      <c r="E241" s="96"/>
    </row>
    <row r="242">
      <c r="A242" s="353"/>
      <c r="B242" s="96"/>
      <c r="C242" s="96"/>
      <c r="D242" s="96"/>
      <c r="E242" s="96"/>
    </row>
    <row r="243">
      <c r="A243" s="353"/>
      <c r="B243" s="96"/>
      <c r="C243" s="96"/>
      <c r="D243" s="96"/>
      <c r="E243" s="96"/>
    </row>
    <row r="244">
      <c r="A244" s="353"/>
      <c r="B244" s="96"/>
      <c r="C244" s="96"/>
      <c r="D244" s="96"/>
      <c r="E244" s="96"/>
    </row>
    <row r="245">
      <c r="A245" s="353"/>
      <c r="B245" s="96"/>
      <c r="C245" s="96"/>
      <c r="D245" s="96"/>
      <c r="E245" s="96"/>
    </row>
    <row r="246">
      <c r="A246" s="353"/>
      <c r="B246" s="96"/>
      <c r="C246" s="96"/>
      <c r="D246" s="96"/>
      <c r="E246" s="96"/>
    </row>
    <row r="247">
      <c r="A247" s="353"/>
      <c r="B247" s="96"/>
      <c r="C247" s="96"/>
      <c r="D247" s="96"/>
      <c r="E247" s="96"/>
    </row>
    <row r="248">
      <c r="A248" s="353"/>
      <c r="B248" s="96"/>
      <c r="C248" s="96"/>
      <c r="D248" s="96"/>
      <c r="E248" s="96"/>
    </row>
    <row r="249">
      <c r="A249" s="353"/>
      <c r="B249" s="96"/>
      <c r="C249" s="96"/>
      <c r="D249" s="96"/>
      <c r="E249" s="96"/>
    </row>
    <row r="250">
      <c r="A250" s="353"/>
      <c r="B250" s="96"/>
      <c r="C250" s="96"/>
      <c r="D250" s="96"/>
      <c r="E250" s="96"/>
    </row>
    <row r="251">
      <c r="A251" s="353"/>
      <c r="B251" s="96"/>
      <c r="C251" s="96"/>
      <c r="D251" s="96"/>
      <c r="E251" s="96"/>
    </row>
    <row r="252">
      <c r="A252" s="353"/>
      <c r="B252" s="96"/>
      <c r="C252" s="96"/>
      <c r="D252" s="96"/>
      <c r="E252" s="96"/>
    </row>
    <row r="253">
      <c r="A253" s="353"/>
      <c r="B253" s="96"/>
      <c r="C253" s="96"/>
      <c r="D253" s="96"/>
      <c r="E253" s="96"/>
    </row>
    <row r="254">
      <c r="A254" s="353"/>
      <c r="B254" s="96"/>
      <c r="C254" s="96"/>
      <c r="D254" s="96"/>
      <c r="E254" s="96"/>
    </row>
    <row r="255">
      <c r="A255" s="353"/>
      <c r="B255" s="96"/>
      <c r="C255" s="96"/>
      <c r="D255" s="96"/>
      <c r="E255" s="96"/>
    </row>
    <row r="256">
      <c r="A256" s="353"/>
      <c r="B256" s="96"/>
      <c r="C256" s="96"/>
      <c r="D256" s="96"/>
      <c r="E256" s="96"/>
    </row>
    <row r="257">
      <c r="A257" s="353"/>
      <c r="B257" s="96"/>
      <c r="C257" s="96"/>
      <c r="D257" s="96"/>
      <c r="E257" s="96"/>
    </row>
    <row r="258">
      <c r="A258" s="353"/>
      <c r="B258" s="96"/>
      <c r="C258" s="96"/>
      <c r="D258" s="96"/>
      <c r="E258" s="96"/>
    </row>
    <row r="259">
      <c r="A259" s="353"/>
      <c r="B259" s="96"/>
      <c r="C259" s="96"/>
      <c r="D259" s="96"/>
      <c r="E259" s="96"/>
    </row>
    <row r="260">
      <c r="A260" s="353"/>
      <c r="B260" s="96"/>
      <c r="C260" s="96"/>
      <c r="D260" s="96"/>
      <c r="E260" s="96"/>
    </row>
    <row r="261">
      <c r="A261" s="353"/>
      <c r="B261" s="96"/>
      <c r="C261" s="96"/>
      <c r="D261" s="96"/>
      <c r="E261" s="96"/>
    </row>
    <row r="262">
      <c r="A262" s="353"/>
      <c r="B262" s="96"/>
      <c r="C262" s="96"/>
      <c r="D262" s="96"/>
      <c r="E262" s="96"/>
    </row>
    <row r="263">
      <c r="A263" s="353"/>
      <c r="B263" s="96"/>
      <c r="C263" s="96"/>
      <c r="D263" s="96"/>
      <c r="E263" s="96"/>
    </row>
    <row r="264">
      <c r="A264" s="353"/>
      <c r="B264" s="96"/>
      <c r="C264" s="96"/>
      <c r="D264" s="96"/>
      <c r="E264" s="96"/>
    </row>
    <row r="265">
      <c r="A265" s="353"/>
      <c r="B265" s="96"/>
      <c r="C265" s="96"/>
      <c r="D265" s="96"/>
      <c r="E265" s="96"/>
    </row>
    <row r="266">
      <c r="A266" s="353"/>
      <c r="B266" s="96"/>
      <c r="C266" s="96"/>
      <c r="D266" s="96"/>
      <c r="E266" s="96"/>
    </row>
    <row r="267">
      <c r="A267" s="353"/>
      <c r="B267" s="96"/>
      <c r="C267" s="96"/>
      <c r="D267" s="96"/>
      <c r="E267" s="96"/>
    </row>
    <row r="268">
      <c r="A268" s="353"/>
      <c r="B268" s="96"/>
      <c r="C268" s="96"/>
      <c r="D268" s="96"/>
      <c r="E268" s="96"/>
    </row>
    <row r="269">
      <c r="A269" s="353"/>
      <c r="B269" s="96"/>
      <c r="C269" s="96"/>
      <c r="D269" s="96"/>
      <c r="E269" s="96"/>
    </row>
    <row r="270">
      <c r="A270" s="353"/>
      <c r="B270" s="96"/>
      <c r="C270" s="96"/>
      <c r="D270" s="96"/>
      <c r="E270" s="96"/>
    </row>
    <row r="271">
      <c r="A271" s="353"/>
      <c r="B271" s="96"/>
      <c r="C271" s="96"/>
      <c r="D271" s="96"/>
      <c r="E271" s="96"/>
    </row>
    <row r="272">
      <c r="A272" s="353"/>
      <c r="B272" s="96"/>
      <c r="C272" s="96"/>
      <c r="D272" s="96"/>
      <c r="E272" s="96"/>
    </row>
    <row r="273">
      <c r="A273" s="353"/>
      <c r="B273" s="96"/>
      <c r="C273" s="96"/>
      <c r="D273" s="96"/>
      <c r="E273" s="96"/>
    </row>
    <row r="274">
      <c r="A274" s="353"/>
      <c r="B274" s="96"/>
      <c r="C274" s="96"/>
      <c r="D274" s="96"/>
      <c r="E274" s="96"/>
    </row>
    <row r="275">
      <c r="A275" s="353"/>
      <c r="B275" s="96"/>
      <c r="C275" s="96"/>
      <c r="D275" s="96"/>
      <c r="E275" s="96"/>
    </row>
    <row r="276">
      <c r="A276" s="353"/>
      <c r="B276" s="96"/>
      <c r="C276" s="96"/>
      <c r="D276" s="96"/>
      <c r="E276" s="96"/>
    </row>
    <row r="277">
      <c r="A277" s="353"/>
      <c r="B277" s="96"/>
      <c r="C277" s="96"/>
      <c r="D277" s="96"/>
      <c r="E277" s="96"/>
    </row>
    <row r="278">
      <c r="A278" s="353"/>
      <c r="B278" s="96"/>
      <c r="C278" s="96"/>
      <c r="D278" s="96"/>
      <c r="E278" s="96"/>
    </row>
    <row r="279">
      <c r="A279" s="353"/>
      <c r="B279" s="96"/>
      <c r="C279" s="96"/>
      <c r="D279" s="96"/>
      <c r="E279" s="96"/>
    </row>
    <row r="280">
      <c r="A280" s="353"/>
      <c r="B280" s="96"/>
      <c r="C280" s="96"/>
      <c r="D280" s="96"/>
      <c r="E280" s="96"/>
    </row>
    <row r="281">
      <c r="A281" s="353"/>
      <c r="B281" s="96"/>
      <c r="C281" s="96"/>
      <c r="D281" s="96"/>
      <c r="E281" s="96"/>
    </row>
    <row r="282">
      <c r="A282" s="353"/>
      <c r="B282" s="96"/>
      <c r="C282" s="96"/>
      <c r="D282" s="96"/>
      <c r="E282" s="96"/>
    </row>
    <row r="283">
      <c r="A283" s="353"/>
      <c r="B283" s="96"/>
      <c r="C283" s="96"/>
      <c r="D283" s="96"/>
      <c r="E283" s="96"/>
    </row>
    <row r="284">
      <c r="A284" s="353"/>
      <c r="B284" s="96"/>
      <c r="C284" s="96"/>
      <c r="D284" s="96"/>
      <c r="E284" s="96"/>
    </row>
    <row r="285">
      <c r="A285" s="353"/>
      <c r="B285" s="96"/>
      <c r="C285" s="96"/>
      <c r="D285" s="96"/>
      <c r="E285" s="96"/>
    </row>
    <row r="286">
      <c r="A286" s="353"/>
      <c r="B286" s="96"/>
      <c r="C286" s="96"/>
      <c r="D286" s="96"/>
      <c r="E286" s="96"/>
    </row>
    <row r="287">
      <c r="A287" s="353"/>
      <c r="B287" s="96"/>
      <c r="C287" s="96"/>
      <c r="D287" s="96"/>
      <c r="E287" s="96"/>
    </row>
    <row r="288">
      <c r="A288" s="353"/>
      <c r="B288" s="96"/>
      <c r="C288" s="96"/>
      <c r="D288" s="96"/>
      <c r="E288" s="96"/>
    </row>
    <row r="289">
      <c r="A289" s="353"/>
      <c r="B289" s="96"/>
      <c r="C289" s="96"/>
      <c r="D289" s="96"/>
      <c r="E289" s="96"/>
    </row>
    <row r="290">
      <c r="A290" s="353"/>
      <c r="B290" s="96"/>
      <c r="C290" s="96"/>
      <c r="D290" s="96"/>
      <c r="E290" s="96"/>
    </row>
    <row r="291">
      <c r="A291" s="353"/>
      <c r="B291" s="96"/>
      <c r="C291" s="96"/>
      <c r="D291" s="96"/>
      <c r="E291" s="96"/>
    </row>
    <row r="292">
      <c r="A292" s="353"/>
      <c r="B292" s="96"/>
      <c r="C292" s="96"/>
      <c r="D292" s="96"/>
      <c r="E292" s="96"/>
    </row>
    <row r="293">
      <c r="A293" s="353"/>
      <c r="B293" s="96"/>
      <c r="C293" s="96"/>
      <c r="D293" s="96"/>
      <c r="E293" s="96"/>
    </row>
    <row r="294">
      <c r="A294" s="353"/>
      <c r="B294" s="96"/>
      <c r="C294" s="96"/>
      <c r="D294" s="96"/>
      <c r="E294" s="96"/>
    </row>
    <row r="295">
      <c r="A295" s="353"/>
      <c r="B295" s="96"/>
      <c r="C295" s="96"/>
      <c r="D295" s="96"/>
      <c r="E295" s="96"/>
    </row>
    <row r="296">
      <c r="A296" s="353"/>
      <c r="B296" s="96"/>
      <c r="C296" s="96"/>
      <c r="D296" s="96"/>
      <c r="E296" s="96"/>
    </row>
    <row r="297">
      <c r="A297" s="353"/>
      <c r="B297" s="96"/>
      <c r="C297" s="96"/>
      <c r="D297" s="96"/>
      <c r="E297" s="96"/>
    </row>
    <row r="298">
      <c r="A298" s="353"/>
      <c r="B298" s="96"/>
      <c r="C298" s="96"/>
      <c r="D298" s="96"/>
      <c r="E298" s="96"/>
    </row>
    <row r="299">
      <c r="A299" s="353"/>
      <c r="B299" s="96"/>
      <c r="C299" s="96"/>
      <c r="D299" s="96"/>
      <c r="E299" s="96"/>
    </row>
    <row r="300">
      <c r="A300" s="353"/>
      <c r="B300" s="96"/>
      <c r="C300" s="96"/>
      <c r="D300" s="96"/>
      <c r="E300" s="96"/>
    </row>
    <row r="301">
      <c r="A301" s="353"/>
      <c r="B301" s="96"/>
      <c r="C301" s="96"/>
      <c r="D301" s="96"/>
      <c r="E301" s="96"/>
    </row>
    <row r="302">
      <c r="A302" s="353"/>
      <c r="B302" s="96"/>
      <c r="C302" s="96"/>
      <c r="D302" s="96"/>
      <c r="E302" s="96"/>
    </row>
    <row r="303">
      <c r="A303" s="353"/>
      <c r="B303" s="96"/>
      <c r="C303" s="96"/>
      <c r="D303" s="96"/>
      <c r="E303" s="96"/>
    </row>
    <row r="304">
      <c r="A304" s="353"/>
      <c r="B304" s="96"/>
      <c r="C304" s="96"/>
      <c r="D304" s="96"/>
      <c r="E304" s="96"/>
    </row>
    <row r="305">
      <c r="A305" s="353"/>
      <c r="B305" s="96"/>
      <c r="C305" s="96"/>
      <c r="D305" s="96"/>
      <c r="E305" s="96"/>
    </row>
    <row r="306">
      <c r="A306" s="353"/>
      <c r="B306" s="96"/>
      <c r="C306" s="96"/>
      <c r="D306" s="96"/>
      <c r="E306" s="96"/>
    </row>
    <row r="307">
      <c r="A307" s="353"/>
      <c r="B307" s="96"/>
      <c r="C307" s="96"/>
      <c r="D307" s="96"/>
      <c r="E307" s="96"/>
    </row>
    <row r="308">
      <c r="A308" s="353"/>
      <c r="B308" s="96"/>
      <c r="C308" s="96"/>
      <c r="D308" s="96"/>
      <c r="E308" s="96"/>
    </row>
    <row r="309">
      <c r="A309" s="353"/>
      <c r="B309" s="96"/>
      <c r="C309" s="96"/>
      <c r="D309" s="96"/>
      <c r="E309" s="96"/>
    </row>
    <row r="310">
      <c r="A310" s="353"/>
      <c r="B310" s="96"/>
      <c r="C310" s="96"/>
      <c r="D310" s="96"/>
      <c r="E310" s="96"/>
    </row>
    <row r="311">
      <c r="A311" s="353"/>
      <c r="B311" s="96"/>
      <c r="C311" s="96"/>
      <c r="D311" s="96"/>
      <c r="E311" s="96"/>
    </row>
    <row r="312">
      <c r="A312" s="353"/>
      <c r="B312" s="96"/>
      <c r="C312" s="96"/>
      <c r="D312" s="96"/>
      <c r="E312" s="96"/>
    </row>
    <row r="313">
      <c r="A313" s="353"/>
      <c r="B313" s="96"/>
      <c r="C313" s="96"/>
      <c r="D313" s="96"/>
      <c r="E313" s="96"/>
    </row>
    <row r="314">
      <c r="A314" s="353"/>
      <c r="B314" s="96"/>
      <c r="C314" s="96"/>
      <c r="D314" s="96"/>
      <c r="E314" s="96"/>
    </row>
    <row r="315">
      <c r="A315" s="353"/>
      <c r="B315" s="96"/>
      <c r="C315" s="96"/>
      <c r="D315" s="96"/>
      <c r="E315" s="96"/>
    </row>
    <row r="316">
      <c r="A316" s="353"/>
      <c r="B316" s="96"/>
      <c r="C316" s="96"/>
      <c r="D316" s="96"/>
      <c r="E316" s="96"/>
    </row>
    <row r="317">
      <c r="A317" s="353"/>
      <c r="B317" s="96"/>
      <c r="C317" s="96"/>
      <c r="D317" s="96"/>
      <c r="E317" s="96"/>
    </row>
    <row r="318">
      <c r="A318" s="353"/>
      <c r="B318" s="96"/>
      <c r="C318" s="96"/>
      <c r="D318" s="96"/>
      <c r="E318" s="96"/>
    </row>
    <row r="319">
      <c r="A319" s="353"/>
      <c r="B319" s="96"/>
      <c r="C319" s="96"/>
      <c r="D319" s="96"/>
      <c r="E319" s="96"/>
    </row>
    <row r="320">
      <c r="A320" s="353"/>
      <c r="B320" s="96"/>
      <c r="C320" s="96"/>
      <c r="D320" s="96"/>
      <c r="E320" s="96"/>
    </row>
    <row r="321">
      <c r="A321" s="353"/>
      <c r="B321" s="96"/>
      <c r="C321" s="96"/>
      <c r="D321" s="96"/>
      <c r="E321" s="96"/>
    </row>
    <row r="322">
      <c r="A322" s="353"/>
      <c r="B322" s="96"/>
      <c r="C322" s="96"/>
      <c r="D322" s="96"/>
      <c r="E322" s="96"/>
    </row>
    <row r="323">
      <c r="A323" s="353"/>
      <c r="B323" s="96"/>
      <c r="C323" s="96"/>
      <c r="D323" s="96"/>
      <c r="E323" s="96"/>
    </row>
    <row r="324">
      <c r="A324" s="353"/>
      <c r="B324" s="96"/>
      <c r="C324" s="96"/>
      <c r="D324" s="96"/>
      <c r="E324" s="96"/>
    </row>
    <row r="325">
      <c r="A325" s="353"/>
      <c r="B325" s="96"/>
      <c r="C325" s="96"/>
      <c r="D325" s="96"/>
      <c r="E325" s="96"/>
    </row>
    <row r="326">
      <c r="A326" s="353"/>
      <c r="B326" s="96"/>
      <c r="C326" s="96"/>
      <c r="D326" s="96"/>
      <c r="E326" s="96"/>
    </row>
    <row r="327">
      <c r="A327" s="353"/>
      <c r="B327" s="96"/>
      <c r="C327" s="96"/>
      <c r="D327" s="96"/>
      <c r="E327" s="96"/>
    </row>
    <row r="328">
      <c r="A328" s="353"/>
      <c r="B328" s="96"/>
      <c r="C328" s="96"/>
      <c r="D328" s="96"/>
      <c r="E328" s="96"/>
    </row>
    <row r="329">
      <c r="A329" s="353"/>
      <c r="B329" s="96"/>
      <c r="C329" s="96"/>
      <c r="D329" s="96"/>
      <c r="E329" s="96"/>
    </row>
    <row r="330">
      <c r="A330" s="353"/>
      <c r="B330" s="96"/>
      <c r="C330" s="96"/>
      <c r="D330" s="96"/>
      <c r="E330" s="96"/>
    </row>
    <row r="331">
      <c r="A331" s="353"/>
      <c r="B331" s="96"/>
      <c r="C331" s="96"/>
      <c r="D331" s="96"/>
      <c r="E331" s="96"/>
    </row>
    <row r="332">
      <c r="A332" s="353"/>
      <c r="B332" s="96"/>
      <c r="C332" s="96"/>
      <c r="D332" s="96"/>
      <c r="E332" s="96"/>
    </row>
    <row r="333">
      <c r="A333" s="353"/>
      <c r="B333" s="96"/>
      <c r="C333" s="96"/>
      <c r="D333" s="96"/>
      <c r="E333" s="96"/>
    </row>
    <row r="334">
      <c r="A334" s="353"/>
      <c r="B334" s="96"/>
      <c r="C334" s="96"/>
      <c r="D334" s="96"/>
      <c r="E334" s="96"/>
    </row>
    <row r="335">
      <c r="A335" s="353"/>
      <c r="B335" s="96"/>
      <c r="C335" s="96"/>
      <c r="D335" s="96"/>
      <c r="E335" s="96"/>
    </row>
    <row r="336">
      <c r="A336" s="353"/>
      <c r="B336" s="96"/>
      <c r="C336" s="96"/>
      <c r="D336" s="96"/>
      <c r="E336" s="96"/>
    </row>
    <row r="337">
      <c r="A337" s="353"/>
      <c r="B337" s="96"/>
      <c r="C337" s="96"/>
      <c r="D337" s="96"/>
      <c r="E337" s="96"/>
    </row>
    <row r="338">
      <c r="A338" s="353"/>
      <c r="B338" s="96"/>
      <c r="C338" s="96"/>
      <c r="D338" s="96"/>
      <c r="E338" s="96"/>
    </row>
    <row r="339">
      <c r="A339" s="353"/>
      <c r="B339" s="96"/>
      <c r="C339" s="96"/>
      <c r="D339" s="96"/>
      <c r="E339" s="96"/>
    </row>
    <row r="340">
      <c r="A340" s="353"/>
      <c r="B340" s="96"/>
      <c r="C340" s="96"/>
      <c r="D340" s="96"/>
      <c r="E340" s="96"/>
    </row>
    <row r="341">
      <c r="A341" s="353"/>
      <c r="B341" s="96"/>
      <c r="C341" s="96"/>
      <c r="D341" s="96"/>
      <c r="E341" s="96"/>
    </row>
    <row r="342">
      <c r="A342" s="353"/>
      <c r="B342" s="96"/>
      <c r="C342" s="96"/>
      <c r="D342" s="96"/>
      <c r="E342" s="96"/>
    </row>
    <row r="343">
      <c r="A343" s="353"/>
      <c r="B343" s="96"/>
      <c r="C343" s="96"/>
      <c r="D343" s="96"/>
      <c r="E343" s="96"/>
    </row>
    <row r="344">
      <c r="A344" s="353"/>
      <c r="B344" s="96"/>
      <c r="C344" s="96"/>
      <c r="D344" s="96"/>
      <c r="E344" s="96"/>
    </row>
    <row r="345">
      <c r="A345" s="353"/>
      <c r="B345" s="96"/>
      <c r="C345" s="96"/>
      <c r="D345" s="96"/>
      <c r="E345" s="96"/>
    </row>
    <row r="346">
      <c r="A346" s="353"/>
      <c r="B346" s="96"/>
      <c r="C346" s="96"/>
      <c r="D346" s="96"/>
      <c r="E346" s="96"/>
    </row>
    <row r="347">
      <c r="A347" s="353"/>
      <c r="B347" s="96"/>
      <c r="C347" s="96"/>
      <c r="D347" s="96"/>
      <c r="E347" s="96"/>
    </row>
    <row r="348">
      <c r="A348" s="353"/>
      <c r="B348" s="96"/>
      <c r="C348" s="96"/>
      <c r="D348" s="96"/>
      <c r="E348" s="96"/>
    </row>
    <row r="349">
      <c r="A349" s="353"/>
      <c r="B349" s="96"/>
      <c r="C349" s="96"/>
      <c r="D349" s="96"/>
      <c r="E349" s="96"/>
    </row>
    <row r="350">
      <c r="A350" s="353"/>
      <c r="B350" s="96"/>
      <c r="C350" s="96"/>
      <c r="D350" s="96"/>
      <c r="E350" s="96"/>
    </row>
    <row r="351">
      <c r="A351" s="353"/>
      <c r="B351" s="96"/>
      <c r="C351" s="96"/>
      <c r="D351" s="96"/>
      <c r="E351" s="96"/>
    </row>
    <row r="352">
      <c r="A352" s="353"/>
      <c r="B352" s="96"/>
      <c r="C352" s="96"/>
      <c r="D352" s="96"/>
      <c r="E352" s="96"/>
    </row>
    <row r="353">
      <c r="A353" s="353"/>
      <c r="B353" s="96"/>
      <c r="C353" s="96"/>
      <c r="D353" s="96"/>
      <c r="E353" s="96"/>
    </row>
    <row r="354">
      <c r="A354" s="353"/>
      <c r="B354" s="96"/>
      <c r="C354" s="96"/>
      <c r="D354" s="96"/>
      <c r="E354" s="96"/>
    </row>
    <row r="355">
      <c r="A355" s="353"/>
      <c r="B355" s="96"/>
      <c r="C355" s="96"/>
      <c r="D355" s="96"/>
      <c r="E355" s="96"/>
    </row>
    <row r="356">
      <c r="A356" s="353"/>
      <c r="B356" s="96"/>
      <c r="C356" s="96"/>
      <c r="D356" s="96"/>
      <c r="E356" s="96"/>
    </row>
    <row r="357">
      <c r="A357" s="353"/>
      <c r="B357" s="96"/>
      <c r="C357" s="96"/>
      <c r="D357" s="96"/>
      <c r="E357" s="96"/>
    </row>
    <row r="358">
      <c r="A358" s="353"/>
      <c r="B358" s="96"/>
      <c r="C358" s="96"/>
      <c r="D358" s="96"/>
      <c r="E358" s="96"/>
    </row>
    <row r="359">
      <c r="A359" s="353"/>
      <c r="B359" s="96"/>
      <c r="C359" s="96"/>
      <c r="D359" s="96"/>
      <c r="E359" s="96"/>
    </row>
    <row r="360">
      <c r="A360" s="353"/>
      <c r="B360" s="96"/>
      <c r="C360" s="96"/>
      <c r="D360" s="96"/>
      <c r="E360" s="96"/>
    </row>
    <row r="361">
      <c r="A361" s="353"/>
      <c r="B361" s="96"/>
      <c r="C361" s="96"/>
      <c r="D361" s="96"/>
      <c r="E361" s="96"/>
    </row>
    <row r="362">
      <c r="A362" s="353"/>
      <c r="B362" s="96"/>
      <c r="C362" s="96"/>
      <c r="D362" s="96"/>
      <c r="E362" s="96"/>
    </row>
    <row r="363">
      <c r="A363" s="353"/>
      <c r="B363" s="96"/>
      <c r="C363" s="96"/>
      <c r="D363" s="96"/>
      <c r="E363" s="96"/>
    </row>
    <row r="364">
      <c r="A364" s="353"/>
      <c r="B364" s="96"/>
      <c r="C364" s="96"/>
      <c r="D364" s="96"/>
      <c r="E364" s="96"/>
    </row>
    <row r="365">
      <c r="A365" s="353"/>
      <c r="B365" s="96"/>
      <c r="C365" s="96"/>
      <c r="D365" s="96"/>
      <c r="E365" s="96"/>
    </row>
    <row r="366">
      <c r="A366" s="353"/>
      <c r="B366" s="96"/>
      <c r="C366" s="96"/>
      <c r="D366" s="96"/>
      <c r="E366" s="96"/>
    </row>
    <row r="367">
      <c r="A367" s="353"/>
      <c r="B367" s="96"/>
      <c r="C367" s="96"/>
      <c r="D367" s="96"/>
      <c r="E367" s="96"/>
    </row>
    <row r="368">
      <c r="A368" s="353"/>
      <c r="B368" s="96"/>
      <c r="C368" s="96"/>
      <c r="D368" s="96"/>
      <c r="E368" s="96"/>
    </row>
    <row r="369">
      <c r="A369" s="353"/>
      <c r="B369" s="96"/>
      <c r="C369" s="96"/>
      <c r="D369" s="96"/>
      <c r="E369" s="96"/>
    </row>
    <row r="370">
      <c r="A370" s="353"/>
      <c r="B370" s="96"/>
      <c r="C370" s="96"/>
      <c r="D370" s="96"/>
      <c r="E370" s="96"/>
    </row>
    <row r="371">
      <c r="A371" s="353"/>
      <c r="B371" s="96"/>
      <c r="C371" s="96"/>
      <c r="D371" s="96"/>
      <c r="E371" s="96"/>
    </row>
    <row r="372">
      <c r="A372" s="353"/>
      <c r="B372" s="96"/>
      <c r="C372" s="96"/>
      <c r="D372" s="96"/>
      <c r="E372" s="96"/>
    </row>
    <row r="373">
      <c r="A373" s="353"/>
      <c r="B373" s="96"/>
      <c r="C373" s="96"/>
      <c r="D373" s="96"/>
      <c r="E373" s="96"/>
    </row>
    <row r="374">
      <c r="A374" s="353"/>
      <c r="B374" s="96"/>
      <c r="C374" s="96"/>
      <c r="D374" s="96"/>
      <c r="E374" s="96"/>
    </row>
    <row r="375">
      <c r="A375" s="353"/>
      <c r="B375" s="96"/>
      <c r="C375" s="96"/>
      <c r="D375" s="96"/>
      <c r="E375" s="96"/>
    </row>
    <row r="376">
      <c r="A376" s="353"/>
      <c r="B376" s="96"/>
      <c r="C376" s="96"/>
      <c r="D376" s="96"/>
      <c r="E376" s="96"/>
    </row>
    <row r="377">
      <c r="A377" s="353"/>
      <c r="B377" s="96"/>
      <c r="C377" s="96"/>
      <c r="D377" s="96"/>
      <c r="E377" s="96"/>
    </row>
    <row r="378">
      <c r="A378" s="353"/>
      <c r="B378" s="96"/>
      <c r="C378" s="96"/>
      <c r="D378" s="96"/>
      <c r="E378" s="96"/>
    </row>
    <row r="379">
      <c r="A379" s="353"/>
      <c r="B379" s="96"/>
      <c r="C379" s="96"/>
      <c r="D379" s="96"/>
      <c r="E379" s="96"/>
    </row>
    <row r="380">
      <c r="A380" s="353"/>
      <c r="B380" s="96"/>
      <c r="C380" s="96"/>
      <c r="D380" s="96"/>
      <c r="E380" s="96"/>
    </row>
    <row r="381">
      <c r="A381" s="353"/>
      <c r="B381" s="96"/>
      <c r="C381" s="96"/>
      <c r="D381" s="96"/>
      <c r="E381" s="96"/>
    </row>
    <row r="382">
      <c r="A382" s="353"/>
      <c r="B382" s="96"/>
      <c r="C382" s="96"/>
      <c r="D382" s="96"/>
      <c r="E382" s="96"/>
    </row>
    <row r="383">
      <c r="A383" s="353"/>
      <c r="B383" s="96"/>
      <c r="C383" s="96"/>
      <c r="D383" s="96"/>
      <c r="E383" s="96"/>
    </row>
    <row r="384">
      <c r="A384" s="353"/>
      <c r="B384" s="96"/>
      <c r="C384" s="96"/>
      <c r="D384" s="96"/>
      <c r="E384" s="96"/>
    </row>
    <row r="385">
      <c r="A385" s="353"/>
      <c r="B385" s="96"/>
      <c r="C385" s="96"/>
      <c r="D385" s="96"/>
      <c r="E385" s="96"/>
    </row>
    <row r="386">
      <c r="A386" s="353"/>
      <c r="B386" s="96"/>
      <c r="C386" s="96"/>
      <c r="D386" s="96"/>
      <c r="E386" s="96"/>
    </row>
    <row r="387">
      <c r="A387" s="353"/>
      <c r="B387" s="96"/>
      <c r="C387" s="96"/>
      <c r="D387" s="96"/>
      <c r="E387" s="96"/>
    </row>
    <row r="388">
      <c r="A388" s="353"/>
      <c r="B388" s="96"/>
      <c r="C388" s="96"/>
      <c r="D388" s="96"/>
      <c r="E388" s="96"/>
    </row>
    <row r="389">
      <c r="A389" s="353"/>
      <c r="B389" s="96"/>
      <c r="C389" s="96"/>
      <c r="D389" s="96"/>
      <c r="E389" s="96"/>
    </row>
    <row r="390">
      <c r="A390" s="353"/>
      <c r="B390" s="96"/>
      <c r="C390" s="96"/>
      <c r="D390" s="96"/>
      <c r="E390" s="96"/>
    </row>
    <row r="391">
      <c r="A391" s="353"/>
      <c r="B391" s="96"/>
      <c r="C391" s="96"/>
      <c r="D391" s="96"/>
      <c r="E391" s="96"/>
    </row>
    <row r="392">
      <c r="A392" s="353"/>
      <c r="B392" s="96"/>
      <c r="C392" s="96"/>
      <c r="D392" s="96"/>
      <c r="E392" s="96"/>
    </row>
    <row r="393">
      <c r="A393" s="353"/>
      <c r="B393" s="96"/>
      <c r="C393" s="96"/>
      <c r="D393" s="96"/>
      <c r="E393" s="96"/>
    </row>
    <row r="394">
      <c r="A394" s="353"/>
      <c r="B394" s="96"/>
      <c r="C394" s="96"/>
      <c r="D394" s="96"/>
      <c r="E394" s="96"/>
    </row>
    <row r="395">
      <c r="A395" s="353"/>
      <c r="B395" s="96"/>
      <c r="C395" s="96"/>
      <c r="D395" s="96"/>
      <c r="E395" s="96"/>
    </row>
    <row r="396">
      <c r="A396" s="353"/>
      <c r="B396" s="96"/>
      <c r="C396" s="96"/>
      <c r="D396" s="96"/>
      <c r="E396" s="96"/>
    </row>
    <row r="397">
      <c r="A397" s="353"/>
      <c r="B397" s="96"/>
      <c r="C397" s="96"/>
      <c r="D397" s="96"/>
      <c r="E397" s="96"/>
    </row>
    <row r="398">
      <c r="A398" s="353"/>
      <c r="B398" s="96"/>
      <c r="C398" s="96"/>
      <c r="D398" s="96"/>
      <c r="E398" s="96"/>
    </row>
    <row r="399">
      <c r="A399" s="353"/>
      <c r="B399" s="96"/>
      <c r="C399" s="96"/>
      <c r="D399" s="96"/>
      <c r="E399" s="96"/>
    </row>
    <row r="400">
      <c r="A400" s="353"/>
      <c r="B400" s="96"/>
      <c r="C400" s="96"/>
      <c r="D400" s="96"/>
      <c r="E400" s="96"/>
    </row>
    <row r="401">
      <c r="A401" s="353"/>
      <c r="B401" s="96"/>
      <c r="C401" s="96"/>
      <c r="D401" s="96"/>
      <c r="E401" s="96"/>
    </row>
    <row r="402">
      <c r="A402" s="353"/>
      <c r="B402" s="96"/>
      <c r="C402" s="96"/>
      <c r="D402" s="96"/>
      <c r="E402" s="96"/>
    </row>
    <row r="403">
      <c r="A403" s="353"/>
      <c r="B403" s="96"/>
      <c r="C403" s="96"/>
      <c r="D403" s="96"/>
      <c r="E403" s="96"/>
    </row>
    <row r="404">
      <c r="A404" s="353"/>
      <c r="B404" s="96"/>
      <c r="C404" s="96"/>
      <c r="D404" s="96"/>
      <c r="E404" s="96"/>
    </row>
    <row r="405">
      <c r="A405" s="353"/>
      <c r="B405" s="96"/>
      <c r="C405" s="96"/>
      <c r="D405" s="96"/>
      <c r="E405" s="96"/>
    </row>
    <row r="406">
      <c r="A406" s="353"/>
      <c r="B406" s="96"/>
      <c r="C406" s="96"/>
      <c r="D406" s="96"/>
      <c r="E406" s="96"/>
    </row>
    <row r="407">
      <c r="A407" s="353"/>
      <c r="B407" s="96"/>
      <c r="C407" s="96"/>
      <c r="D407" s="96"/>
      <c r="E407" s="96"/>
    </row>
    <row r="408">
      <c r="A408" s="353"/>
      <c r="B408" s="96"/>
      <c r="C408" s="96"/>
      <c r="D408" s="96"/>
      <c r="E408" s="96"/>
    </row>
    <row r="409">
      <c r="A409" s="353"/>
      <c r="B409" s="96"/>
      <c r="C409" s="96"/>
      <c r="D409" s="96"/>
      <c r="E409" s="96"/>
    </row>
    <row r="410">
      <c r="A410" s="353"/>
      <c r="B410" s="96"/>
      <c r="C410" s="96"/>
      <c r="D410" s="96"/>
      <c r="E410" s="96"/>
    </row>
    <row r="411">
      <c r="A411" s="353"/>
      <c r="B411" s="96"/>
      <c r="C411" s="96"/>
      <c r="D411" s="96"/>
      <c r="E411" s="96"/>
    </row>
    <row r="412">
      <c r="A412" s="353"/>
      <c r="B412" s="96"/>
      <c r="C412" s="96"/>
      <c r="D412" s="96"/>
      <c r="E412" s="96"/>
    </row>
    <row r="413">
      <c r="A413" s="353"/>
      <c r="B413" s="96"/>
      <c r="C413" s="96"/>
      <c r="D413" s="96"/>
      <c r="E413" s="96"/>
    </row>
    <row r="414">
      <c r="A414" s="353"/>
      <c r="B414" s="96"/>
      <c r="C414" s="96"/>
      <c r="D414" s="96"/>
      <c r="E414" s="96"/>
    </row>
    <row r="415">
      <c r="A415" s="353"/>
      <c r="B415" s="96"/>
      <c r="C415" s="96"/>
      <c r="D415" s="96"/>
      <c r="E415" s="96"/>
    </row>
    <row r="416">
      <c r="A416" s="353"/>
      <c r="B416" s="96"/>
      <c r="C416" s="96"/>
      <c r="D416" s="96"/>
      <c r="E416" s="96"/>
    </row>
    <row r="417">
      <c r="A417" s="353"/>
      <c r="B417" s="96"/>
      <c r="C417" s="96"/>
      <c r="D417" s="96"/>
      <c r="E417" s="96"/>
    </row>
    <row r="418">
      <c r="A418" s="353"/>
      <c r="B418" s="96"/>
      <c r="C418" s="96"/>
      <c r="D418" s="96"/>
      <c r="E418" s="96"/>
    </row>
    <row r="419">
      <c r="A419" s="353"/>
      <c r="B419" s="96"/>
      <c r="C419" s="96"/>
      <c r="D419" s="96"/>
      <c r="E419" s="96"/>
    </row>
    <row r="420">
      <c r="A420" s="353"/>
      <c r="B420" s="96"/>
      <c r="C420" s="96"/>
      <c r="D420" s="96"/>
      <c r="E420" s="96"/>
    </row>
    <row r="421">
      <c r="A421" s="353"/>
      <c r="B421" s="96"/>
      <c r="C421" s="96"/>
      <c r="D421" s="96"/>
      <c r="E421" s="96"/>
    </row>
    <row r="422">
      <c r="A422" s="353"/>
      <c r="B422" s="96"/>
      <c r="C422" s="96"/>
      <c r="D422" s="96"/>
      <c r="E422" s="96"/>
    </row>
    <row r="423">
      <c r="A423" s="353"/>
      <c r="B423" s="96"/>
      <c r="C423" s="96"/>
      <c r="D423" s="96"/>
      <c r="E423" s="96"/>
    </row>
    <row r="424">
      <c r="A424" s="353"/>
      <c r="B424" s="96"/>
      <c r="C424" s="96"/>
      <c r="D424" s="96"/>
      <c r="E424" s="96"/>
    </row>
    <row r="425">
      <c r="A425" s="353"/>
      <c r="B425" s="96"/>
      <c r="C425" s="96"/>
      <c r="D425" s="96"/>
      <c r="E425" s="96"/>
    </row>
    <row r="426">
      <c r="A426" s="353"/>
      <c r="B426" s="96"/>
      <c r="C426" s="96"/>
      <c r="D426" s="96"/>
      <c r="E426" s="96"/>
    </row>
    <row r="427">
      <c r="A427" s="353"/>
      <c r="B427" s="96"/>
      <c r="C427" s="96"/>
      <c r="D427" s="96"/>
      <c r="E427" s="96"/>
    </row>
    <row r="428">
      <c r="A428" s="353"/>
      <c r="B428" s="96"/>
      <c r="C428" s="96"/>
      <c r="D428" s="96"/>
      <c r="E428" s="96"/>
    </row>
    <row r="429">
      <c r="A429" s="353"/>
      <c r="B429" s="96"/>
      <c r="C429" s="96"/>
      <c r="D429" s="96"/>
      <c r="E429" s="96"/>
    </row>
    <row r="430">
      <c r="A430" s="353"/>
      <c r="B430" s="96"/>
      <c r="C430" s="96"/>
      <c r="D430" s="96"/>
      <c r="E430" s="96"/>
    </row>
    <row r="431">
      <c r="A431" s="353"/>
      <c r="B431" s="96"/>
      <c r="C431" s="96"/>
      <c r="D431" s="96"/>
      <c r="E431" s="96"/>
    </row>
    <row r="432">
      <c r="A432" s="353"/>
      <c r="B432" s="96"/>
      <c r="C432" s="96"/>
      <c r="D432" s="96"/>
      <c r="E432" s="96"/>
    </row>
    <row r="433">
      <c r="A433" s="353"/>
      <c r="B433" s="96"/>
      <c r="C433" s="96"/>
      <c r="D433" s="96"/>
      <c r="E433" s="96"/>
    </row>
    <row r="434">
      <c r="A434" s="353"/>
      <c r="B434" s="96"/>
      <c r="C434" s="96"/>
      <c r="D434" s="96"/>
      <c r="E434" s="96"/>
    </row>
    <row r="435">
      <c r="A435" s="353"/>
      <c r="B435" s="96"/>
      <c r="C435" s="96"/>
      <c r="D435" s="96"/>
      <c r="E435" s="96"/>
    </row>
    <row r="436">
      <c r="A436" s="353"/>
      <c r="B436" s="96"/>
      <c r="C436" s="96"/>
      <c r="D436" s="96"/>
      <c r="E436" s="96"/>
    </row>
    <row r="437">
      <c r="A437" s="353"/>
      <c r="B437" s="96"/>
      <c r="C437" s="96"/>
      <c r="D437" s="96"/>
      <c r="E437" s="96"/>
    </row>
    <row r="438">
      <c r="A438" s="353"/>
      <c r="B438" s="96"/>
      <c r="C438" s="96"/>
      <c r="D438" s="96"/>
      <c r="E438" s="96"/>
    </row>
    <row r="439">
      <c r="A439" s="353"/>
      <c r="B439" s="96"/>
      <c r="C439" s="96"/>
      <c r="D439" s="96"/>
      <c r="E439" s="96"/>
    </row>
    <row r="440">
      <c r="A440" s="353"/>
      <c r="B440" s="96"/>
      <c r="C440" s="96"/>
      <c r="D440" s="96"/>
      <c r="E440" s="96"/>
    </row>
    <row r="441">
      <c r="A441" s="353"/>
      <c r="B441" s="96"/>
      <c r="C441" s="96"/>
      <c r="D441" s="96"/>
      <c r="E441" s="96"/>
    </row>
    <row r="442">
      <c r="A442" s="353"/>
      <c r="B442" s="96"/>
      <c r="C442" s="96"/>
      <c r="D442" s="96"/>
      <c r="E442" s="96"/>
    </row>
    <row r="443">
      <c r="A443" s="353"/>
      <c r="B443" s="96"/>
      <c r="C443" s="96"/>
      <c r="D443" s="96"/>
      <c r="E443" s="96"/>
    </row>
    <row r="444">
      <c r="A444" s="353"/>
      <c r="B444" s="96"/>
      <c r="C444" s="96"/>
      <c r="D444" s="96"/>
      <c r="E444" s="96"/>
    </row>
    <row r="445">
      <c r="A445" s="353"/>
      <c r="B445" s="96"/>
      <c r="C445" s="96"/>
      <c r="D445" s="96"/>
      <c r="E445" s="96"/>
    </row>
    <row r="446">
      <c r="A446" s="353"/>
      <c r="B446" s="96"/>
      <c r="C446" s="96"/>
      <c r="D446" s="96"/>
      <c r="E446" s="96"/>
    </row>
    <row r="447">
      <c r="A447" s="353"/>
      <c r="B447" s="96"/>
      <c r="C447" s="96"/>
      <c r="D447" s="96"/>
      <c r="E447" s="96"/>
    </row>
    <row r="448">
      <c r="A448" s="353"/>
      <c r="B448" s="96"/>
      <c r="C448" s="96"/>
      <c r="D448" s="96"/>
      <c r="E448" s="96"/>
    </row>
    <row r="449">
      <c r="A449" s="353"/>
      <c r="B449" s="96"/>
      <c r="C449" s="96"/>
      <c r="D449" s="96"/>
      <c r="E449" s="96"/>
    </row>
    <row r="450">
      <c r="A450" s="353"/>
      <c r="B450" s="96"/>
      <c r="C450" s="96"/>
      <c r="D450" s="96"/>
      <c r="E450" s="96"/>
    </row>
    <row r="451">
      <c r="A451" s="353"/>
      <c r="B451" s="96"/>
      <c r="C451" s="96"/>
      <c r="D451" s="96"/>
      <c r="E451" s="96"/>
    </row>
    <row r="452">
      <c r="A452" s="353"/>
      <c r="B452" s="96"/>
      <c r="C452" s="96"/>
      <c r="D452" s="96"/>
      <c r="E452" s="96"/>
    </row>
    <row r="453">
      <c r="A453" s="353"/>
      <c r="B453" s="96"/>
      <c r="C453" s="96"/>
      <c r="D453" s="96"/>
      <c r="E453" s="96"/>
    </row>
    <row r="454">
      <c r="A454" s="353"/>
      <c r="B454" s="96"/>
      <c r="C454" s="96"/>
      <c r="D454" s="96"/>
      <c r="E454" s="96"/>
    </row>
    <row r="455">
      <c r="A455" s="353"/>
      <c r="B455" s="96"/>
      <c r="C455" s="96"/>
      <c r="D455" s="96"/>
      <c r="E455" s="96"/>
    </row>
    <row r="456">
      <c r="A456" s="353"/>
      <c r="B456" s="96"/>
      <c r="C456" s="96"/>
      <c r="D456" s="96"/>
      <c r="E456" s="96"/>
    </row>
    <row r="457">
      <c r="A457" s="353"/>
      <c r="B457" s="96"/>
      <c r="C457" s="96"/>
      <c r="D457" s="96"/>
      <c r="E457" s="96"/>
    </row>
    <row r="458">
      <c r="A458" s="353"/>
      <c r="B458" s="96"/>
      <c r="C458" s="96"/>
      <c r="D458" s="96"/>
      <c r="E458" s="96"/>
    </row>
    <row r="459">
      <c r="A459" s="353"/>
      <c r="B459" s="96"/>
      <c r="C459" s="96"/>
      <c r="D459" s="96"/>
      <c r="E459" s="96"/>
    </row>
    <row r="460">
      <c r="A460" s="353"/>
      <c r="B460" s="96"/>
      <c r="C460" s="96"/>
      <c r="D460" s="96"/>
      <c r="E460" s="96"/>
    </row>
    <row r="461">
      <c r="A461" s="353"/>
      <c r="B461" s="96"/>
      <c r="C461" s="96"/>
      <c r="D461" s="96"/>
      <c r="E461" s="96"/>
    </row>
    <row r="462">
      <c r="A462" s="353"/>
      <c r="B462" s="96"/>
      <c r="C462" s="96"/>
      <c r="D462" s="96"/>
      <c r="E462" s="96"/>
    </row>
    <row r="463">
      <c r="A463" s="353"/>
      <c r="B463" s="96"/>
      <c r="C463" s="96"/>
      <c r="D463" s="96"/>
      <c r="E463" s="96"/>
    </row>
    <row r="464">
      <c r="A464" s="353"/>
      <c r="B464" s="96"/>
      <c r="C464" s="96"/>
      <c r="D464" s="96"/>
      <c r="E464" s="96"/>
    </row>
    <row r="465">
      <c r="A465" s="353"/>
      <c r="B465" s="96"/>
      <c r="C465" s="96"/>
      <c r="D465" s="96"/>
      <c r="E465" s="96"/>
    </row>
    <row r="466">
      <c r="A466" s="353"/>
      <c r="B466" s="96"/>
      <c r="C466" s="96"/>
      <c r="D466" s="96"/>
      <c r="E466" s="96"/>
    </row>
    <row r="467">
      <c r="A467" s="353"/>
      <c r="B467" s="96"/>
      <c r="C467" s="96"/>
      <c r="D467" s="96"/>
      <c r="E467" s="96"/>
    </row>
    <row r="468">
      <c r="A468" s="353"/>
      <c r="B468" s="96"/>
      <c r="C468" s="96"/>
      <c r="D468" s="96"/>
      <c r="E468" s="96"/>
    </row>
    <row r="469">
      <c r="A469" s="353"/>
      <c r="B469" s="96"/>
      <c r="C469" s="96"/>
      <c r="D469" s="96"/>
      <c r="E469" s="96"/>
    </row>
    <row r="470">
      <c r="A470" s="353"/>
      <c r="B470" s="96"/>
      <c r="C470" s="96"/>
      <c r="D470" s="96"/>
      <c r="E470" s="96"/>
    </row>
    <row r="471">
      <c r="A471" s="353"/>
      <c r="B471" s="96"/>
      <c r="C471" s="96"/>
      <c r="D471" s="96"/>
      <c r="E471" s="96"/>
    </row>
    <row r="472">
      <c r="A472" s="353"/>
      <c r="B472" s="96"/>
      <c r="C472" s="96"/>
      <c r="D472" s="96"/>
      <c r="E472" s="96"/>
    </row>
    <row r="473">
      <c r="A473" s="353"/>
      <c r="B473" s="96"/>
      <c r="C473" s="96"/>
      <c r="D473" s="96"/>
      <c r="E473" s="96"/>
    </row>
    <row r="474">
      <c r="A474" s="353"/>
      <c r="B474" s="96"/>
      <c r="C474" s="96"/>
      <c r="D474" s="96"/>
      <c r="E474" s="96"/>
    </row>
    <row r="475">
      <c r="A475" s="353"/>
      <c r="B475" s="96"/>
      <c r="C475" s="96"/>
      <c r="D475" s="96"/>
      <c r="E475" s="96"/>
    </row>
    <row r="476">
      <c r="A476" s="353"/>
      <c r="B476" s="96"/>
      <c r="C476" s="96"/>
      <c r="D476" s="96"/>
      <c r="E476" s="96"/>
    </row>
    <row r="477">
      <c r="A477" s="353"/>
      <c r="B477" s="96"/>
      <c r="C477" s="96"/>
      <c r="D477" s="96"/>
      <c r="E477" s="96"/>
    </row>
    <row r="478">
      <c r="A478" s="353"/>
      <c r="B478" s="96"/>
      <c r="C478" s="96"/>
      <c r="D478" s="96"/>
      <c r="E478" s="96"/>
    </row>
    <row r="479">
      <c r="A479" s="353"/>
      <c r="B479" s="96"/>
      <c r="C479" s="96"/>
      <c r="D479" s="96"/>
      <c r="E479" s="96"/>
    </row>
    <row r="480">
      <c r="A480" s="353"/>
      <c r="B480" s="96"/>
      <c r="C480" s="96"/>
      <c r="D480" s="96"/>
      <c r="E480" s="96"/>
    </row>
    <row r="481">
      <c r="A481" s="353"/>
      <c r="B481" s="96"/>
      <c r="C481" s="96"/>
      <c r="D481" s="96"/>
      <c r="E481" s="96"/>
    </row>
    <row r="482">
      <c r="A482" s="353"/>
      <c r="B482" s="96"/>
      <c r="C482" s="96"/>
      <c r="D482" s="96"/>
      <c r="E482" s="96"/>
    </row>
    <row r="483">
      <c r="A483" s="353"/>
      <c r="B483" s="96"/>
      <c r="C483" s="96"/>
      <c r="D483" s="96"/>
      <c r="E483" s="96"/>
    </row>
    <row r="484">
      <c r="A484" s="353"/>
      <c r="B484" s="96"/>
      <c r="C484" s="96"/>
      <c r="D484" s="96"/>
      <c r="E484" s="96"/>
    </row>
    <row r="485">
      <c r="A485" s="353"/>
      <c r="B485" s="96"/>
      <c r="C485" s="96"/>
      <c r="D485" s="96"/>
      <c r="E485" s="96"/>
    </row>
    <row r="486">
      <c r="A486" s="353"/>
      <c r="B486" s="96"/>
      <c r="C486" s="96"/>
      <c r="D486" s="96"/>
      <c r="E486" s="96"/>
    </row>
    <row r="487">
      <c r="A487" s="353"/>
      <c r="B487" s="96"/>
      <c r="C487" s="96"/>
      <c r="D487" s="96"/>
      <c r="E487" s="96"/>
    </row>
    <row r="488">
      <c r="A488" s="353"/>
      <c r="B488" s="96"/>
      <c r="C488" s="96"/>
      <c r="D488" s="96"/>
      <c r="E488" s="96"/>
    </row>
    <row r="489">
      <c r="A489" s="353"/>
      <c r="B489" s="96"/>
      <c r="C489" s="96"/>
      <c r="D489" s="96"/>
      <c r="E489" s="96"/>
    </row>
    <row r="490">
      <c r="A490" s="353"/>
      <c r="B490" s="96"/>
      <c r="C490" s="96"/>
      <c r="D490" s="96"/>
      <c r="E490" s="96"/>
    </row>
    <row r="491">
      <c r="A491" s="353"/>
      <c r="B491" s="96"/>
      <c r="C491" s="96"/>
      <c r="D491" s="96"/>
      <c r="E491" s="96"/>
    </row>
    <row r="492">
      <c r="A492" s="353"/>
      <c r="B492" s="96"/>
      <c r="C492" s="96"/>
      <c r="D492" s="96"/>
      <c r="E492" s="96"/>
    </row>
    <row r="493">
      <c r="A493" s="353"/>
      <c r="B493" s="96"/>
      <c r="C493" s="96"/>
      <c r="D493" s="96"/>
      <c r="E493" s="96"/>
    </row>
    <row r="494">
      <c r="A494" s="353"/>
      <c r="B494" s="96"/>
      <c r="C494" s="96"/>
      <c r="D494" s="96"/>
      <c r="E494" s="96"/>
    </row>
    <row r="495">
      <c r="A495" s="353"/>
      <c r="B495" s="96"/>
      <c r="C495" s="96"/>
      <c r="D495" s="96"/>
      <c r="E495" s="96"/>
    </row>
    <row r="496">
      <c r="A496" s="353"/>
      <c r="B496" s="96"/>
      <c r="C496" s="96"/>
      <c r="D496" s="96"/>
      <c r="E496" s="96"/>
    </row>
    <row r="497">
      <c r="A497" s="353"/>
      <c r="B497" s="96"/>
      <c r="C497" s="96"/>
      <c r="D497" s="96"/>
      <c r="E497" s="96"/>
    </row>
    <row r="498">
      <c r="A498" s="353"/>
      <c r="B498" s="96"/>
      <c r="C498" s="96"/>
      <c r="D498" s="96"/>
      <c r="E498" s="96"/>
    </row>
    <row r="499">
      <c r="A499" s="353"/>
      <c r="B499" s="96"/>
      <c r="C499" s="96"/>
      <c r="D499" s="96"/>
      <c r="E499" s="96"/>
    </row>
    <row r="500">
      <c r="A500" s="353"/>
      <c r="B500" s="96"/>
      <c r="C500" s="96"/>
      <c r="D500" s="96"/>
      <c r="E500" s="96"/>
    </row>
    <row r="501">
      <c r="A501" s="353"/>
      <c r="B501" s="96"/>
      <c r="C501" s="96"/>
      <c r="D501" s="96"/>
      <c r="E501" s="96"/>
    </row>
    <row r="502">
      <c r="A502" s="353"/>
      <c r="B502" s="96"/>
      <c r="C502" s="96"/>
      <c r="D502" s="96"/>
      <c r="E502" s="96"/>
    </row>
    <row r="503">
      <c r="A503" s="353"/>
      <c r="B503" s="96"/>
      <c r="C503" s="96"/>
      <c r="D503" s="96"/>
      <c r="E503" s="96"/>
    </row>
    <row r="504">
      <c r="A504" s="353"/>
      <c r="B504" s="96"/>
      <c r="C504" s="96"/>
      <c r="D504" s="96"/>
      <c r="E504" s="96"/>
    </row>
    <row r="505">
      <c r="A505" s="353"/>
      <c r="B505" s="96"/>
      <c r="C505" s="96"/>
      <c r="D505" s="96"/>
      <c r="E505" s="96"/>
    </row>
    <row r="506">
      <c r="A506" s="353"/>
      <c r="B506" s="96"/>
      <c r="C506" s="96"/>
      <c r="D506" s="96"/>
      <c r="E506" s="96"/>
    </row>
    <row r="507">
      <c r="A507" s="353"/>
      <c r="B507" s="96"/>
      <c r="C507" s="96"/>
      <c r="D507" s="96"/>
      <c r="E507" s="96"/>
    </row>
    <row r="508">
      <c r="A508" s="353"/>
      <c r="B508" s="96"/>
      <c r="C508" s="96"/>
      <c r="D508" s="96"/>
      <c r="E508" s="96"/>
    </row>
    <row r="509">
      <c r="A509" s="353"/>
      <c r="B509" s="96"/>
      <c r="C509" s="96"/>
      <c r="D509" s="96"/>
      <c r="E509" s="96"/>
    </row>
    <row r="510">
      <c r="A510" s="353"/>
      <c r="B510" s="96"/>
      <c r="C510" s="96"/>
      <c r="D510" s="96"/>
      <c r="E510" s="96"/>
    </row>
    <row r="511">
      <c r="A511" s="353"/>
      <c r="B511" s="96"/>
      <c r="C511" s="96"/>
      <c r="D511" s="96"/>
      <c r="E511" s="96"/>
    </row>
    <row r="512">
      <c r="A512" s="353"/>
      <c r="B512" s="96"/>
      <c r="C512" s="96"/>
      <c r="D512" s="96"/>
      <c r="E512" s="96"/>
    </row>
    <row r="513">
      <c r="A513" s="353"/>
      <c r="B513" s="96"/>
      <c r="C513" s="96"/>
      <c r="D513" s="96"/>
      <c r="E513" s="96"/>
    </row>
    <row r="514">
      <c r="A514" s="353"/>
      <c r="B514" s="96"/>
      <c r="C514" s="96"/>
      <c r="D514" s="96"/>
      <c r="E514" s="96"/>
    </row>
    <row r="515">
      <c r="A515" s="353"/>
      <c r="B515" s="96"/>
      <c r="C515" s="96"/>
      <c r="D515" s="96"/>
      <c r="E515" s="96"/>
    </row>
    <row r="516">
      <c r="A516" s="353"/>
      <c r="B516" s="96"/>
      <c r="C516" s="96"/>
      <c r="D516" s="96"/>
      <c r="E516" s="96"/>
    </row>
    <row r="517">
      <c r="A517" s="353"/>
      <c r="B517" s="96"/>
      <c r="C517" s="96"/>
      <c r="D517" s="96"/>
      <c r="E517" s="96"/>
    </row>
    <row r="518">
      <c r="A518" s="353"/>
      <c r="B518" s="96"/>
      <c r="C518" s="96"/>
      <c r="D518" s="96"/>
      <c r="E518" s="96"/>
    </row>
    <row r="519">
      <c r="A519" s="353"/>
      <c r="B519" s="96"/>
      <c r="C519" s="96"/>
      <c r="D519" s="96"/>
      <c r="E519" s="96"/>
    </row>
    <row r="520">
      <c r="A520" s="353"/>
      <c r="B520" s="96"/>
      <c r="C520" s="96"/>
      <c r="D520" s="96"/>
      <c r="E520" s="96"/>
    </row>
    <row r="521">
      <c r="A521" s="353"/>
      <c r="B521" s="96"/>
      <c r="C521" s="96"/>
      <c r="D521" s="96"/>
      <c r="E521" s="96"/>
    </row>
    <row r="522">
      <c r="A522" s="353"/>
      <c r="B522" s="96"/>
      <c r="C522" s="96"/>
      <c r="D522" s="96"/>
      <c r="E522" s="96"/>
    </row>
    <row r="523">
      <c r="A523" s="353"/>
      <c r="B523" s="96"/>
      <c r="C523" s="96"/>
      <c r="D523" s="96"/>
      <c r="E523" s="96"/>
    </row>
    <row r="524">
      <c r="A524" s="353"/>
      <c r="B524" s="96"/>
      <c r="C524" s="96"/>
      <c r="D524" s="96"/>
      <c r="E524" s="96"/>
    </row>
    <row r="525">
      <c r="A525" s="353"/>
      <c r="B525" s="96"/>
      <c r="C525" s="96"/>
      <c r="D525" s="96"/>
      <c r="E525" s="96"/>
    </row>
    <row r="526">
      <c r="A526" s="353"/>
      <c r="B526" s="96"/>
      <c r="C526" s="96"/>
      <c r="D526" s="96"/>
      <c r="E526" s="96"/>
    </row>
    <row r="527">
      <c r="A527" s="353"/>
      <c r="B527" s="96"/>
      <c r="C527" s="96"/>
      <c r="D527" s="96"/>
      <c r="E527" s="96"/>
    </row>
    <row r="528">
      <c r="A528" s="353"/>
      <c r="B528" s="96"/>
      <c r="C528" s="96"/>
      <c r="D528" s="96"/>
      <c r="E528" s="96"/>
    </row>
    <row r="529">
      <c r="A529" s="353"/>
      <c r="B529" s="96"/>
      <c r="C529" s="96"/>
      <c r="D529" s="96"/>
      <c r="E529" s="96"/>
    </row>
    <row r="530">
      <c r="A530" s="353"/>
      <c r="B530" s="96"/>
      <c r="C530" s="96"/>
      <c r="D530" s="96"/>
      <c r="E530" s="96"/>
    </row>
    <row r="531">
      <c r="A531" s="353"/>
      <c r="B531" s="96"/>
      <c r="C531" s="96"/>
      <c r="D531" s="96"/>
      <c r="E531" s="96"/>
    </row>
    <row r="532">
      <c r="A532" s="353"/>
      <c r="B532" s="96"/>
      <c r="C532" s="96"/>
      <c r="D532" s="96"/>
      <c r="E532" s="96"/>
    </row>
    <row r="533">
      <c r="A533" s="353"/>
      <c r="B533" s="96"/>
      <c r="C533" s="96"/>
      <c r="D533" s="96"/>
      <c r="E533" s="96"/>
    </row>
    <row r="534">
      <c r="A534" s="353"/>
      <c r="B534" s="96"/>
      <c r="C534" s="96"/>
      <c r="D534" s="96"/>
      <c r="E534" s="96"/>
    </row>
    <row r="535">
      <c r="A535" s="353"/>
      <c r="B535" s="96"/>
      <c r="C535" s="96"/>
      <c r="D535" s="96"/>
      <c r="E535" s="96"/>
    </row>
    <row r="536">
      <c r="A536" s="353"/>
      <c r="B536" s="96"/>
      <c r="C536" s="96"/>
      <c r="D536" s="96"/>
      <c r="E536" s="96"/>
    </row>
    <row r="537">
      <c r="A537" s="353"/>
      <c r="B537" s="96"/>
      <c r="C537" s="96"/>
      <c r="D537" s="96"/>
      <c r="E537" s="96"/>
    </row>
    <row r="538">
      <c r="A538" s="353"/>
      <c r="B538" s="96"/>
      <c r="C538" s="96"/>
      <c r="D538" s="96"/>
      <c r="E538" s="96"/>
    </row>
    <row r="539">
      <c r="A539" s="353"/>
      <c r="B539" s="96"/>
      <c r="C539" s="96"/>
      <c r="D539" s="96"/>
      <c r="E539" s="96"/>
    </row>
    <row r="540">
      <c r="A540" s="353"/>
      <c r="B540" s="96"/>
      <c r="C540" s="96"/>
      <c r="D540" s="96"/>
      <c r="E540" s="96"/>
    </row>
    <row r="541">
      <c r="A541" s="353"/>
      <c r="B541" s="96"/>
      <c r="C541" s="96"/>
      <c r="D541" s="96"/>
      <c r="E541" s="96"/>
    </row>
    <row r="542">
      <c r="A542" s="353"/>
      <c r="B542" s="96"/>
      <c r="C542" s="96"/>
      <c r="D542" s="96"/>
      <c r="E542" s="96"/>
    </row>
    <row r="543">
      <c r="A543" s="353"/>
      <c r="B543" s="96"/>
      <c r="C543" s="96"/>
      <c r="D543" s="96"/>
      <c r="E543" s="96"/>
    </row>
    <row r="544">
      <c r="A544" s="353"/>
      <c r="B544" s="96"/>
      <c r="C544" s="96"/>
      <c r="D544" s="96"/>
      <c r="E544" s="96"/>
    </row>
    <row r="545">
      <c r="A545" s="353"/>
      <c r="B545" s="96"/>
      <c r="C545" s="96"/>
      <c r="D545" s="96"/>
      <c r="E545" s="96"/>
    </row>
    <row r="546">
      <c r="A546" s="353"/>
      <c r="B546" s="96"/>
      <c r="C546" s="96"/>
      <c r="D546" s="96"/>
      <c r="E546" s="96"/>
    </row>
    <row r="547">
      <c r="A547" s="353"/>
      <c r="B547" s="96"/>
      <c r="C547" s="96"/>
      <c r="D547" s="96"/>
      <c r="E547" s="96"/>
    </row>
    <row r="548">
      <c r="A548" s="353"/>
      <c r="B548" s="96"/>
      <c r="C548" s="96"/>
      <c r="D548" s="96"/>
      <c r="E548" s="96"/>
    </row>
    <row r="549">
      <c r="A549" s="353"/>
      <c r="B549" s="96"/>
      <c r="C549" s="96"/>
      <c r="D549" s="96"/>
      <c r="E549" s="96"/>
    </row>
    <row r="550">
      <c r="A550" s="353"/>
      <c r="B550" s="96"/>
      <c r="C550" s="96"/>
      <c r="D550" s="96"/>
      <c r="E550" s="96"/>
    </row>
    <row r="551">
      <c r="A551" s="353"/>
      <c r="B551" s="96"/>
      <c r="C551" s="96"/>
      <c r="D551" s="96"/>
      <c r="E551" s="96"/>
    </row>
    <row r="552">
      <c r="A552" s="353"/>
      <c r="B552" s="96"/>
      <c r="C552" s="96"/>
      <c r="D552" s="96"/>
      <c r="E552" s="96"/>
    </row>
    <row r="553">
      <c r="A553" s="353"/>
      <c r="B553" s="96"/>
      <c r="C553" s="96"/>
      <c r="D553" s="96"/>
      <c r="E553" s="96"/>
    </row>
    <row r="554">
      <c r="A554" s="353"/>
      <c r="B554" s="96"/>
      <c r="C554" s="96"/>
      <c r="D554" s="96"/>
      <c r="E554" s="96"/>
    </row>
    <row r="555">
      <c r="A555" s="353"/>
      <c r="B555" s="96"/>
      <c r="C555" s="96"/>
      <c r="D555" s="96"/>
      <c r="E555" s="96"/>
    </row>
    <row r="556">
      <c r="A556" s="353"/>
      <c r="B556" s="96"/>
      <c r="C556" s="96"/>
      <c r="D556" s="96"/>
      <c r="E556" s="96"/>
    </row>
    <row r="557">
      <c r="A557" s="353"/>
      <c r="B557" s="96"/>
      <c r="C557" s="96"/>
      <c r="D557" s="96"/>
      <c r="E557" s="96"/>
    </row>
    <row r="558">
      <c r="A558" s="353"/>
      <c r="B558" s="96"/>
      <c r="C558" s="96"/>
      <c r="D558" s="96"/>
      <c r="E558" s="96"/>
    </row>
    <row r="559">
      <c r="A559" s="353"/>
      <c r="B559" s="96"/>
      <c r="C559" s="96"/>
      <c r="D559" s="96"/>
      <c r="E559" s="96"/>
    </row>
    <row r="560">
      <c r="A560" s="353"/>
      <c r="B560" s="96"/>
      <c r="C560" s="96"/>
      <c r="D560" s="96"/>
      <c r="E560" s="96"/>
    </row>
    <row r="561">
      <c r="A561" s="353"/>
      <c r="B561" s="96"/>
      <c r="C561" s="96"/>
      <c r="D561" s="96"/>
      <c r="E561" s="96"/>
    </row>
    <row r="562">
      <c r="A562" s="353"/>
      <c r="B562" s="96"/>
      <c r="C562" s="96"/>
      <c r="D562" s="96"/>
      <c r="E562" s="96"/>
    </row>
    <row r="563">
      <c r="A563" s="353"/>
      <c r="B563" s="96"/>
      <c r="C563" s="96"/>
      <c r="D563" s="96"/>
      <c r="E563" s="96"/>
    </row>
    <row r="564">
      <c r="A564" s="353"/>
      <c r="B564" s="96"/>
      <c r="C564" s="96"/>
      <c r="D564" s="96"/>
      <c r="E564" s="96"/>
    </row>
    <row r="565">
      <c r="A565" s="353"/>
      <c r="B565" s="96"/>
      <c r="C565" s="96"/>
      <c r="D565" s="96"/>
      <c r="E565" s="96"/>
    </row>
    <row r="566">
      <c r="A566" s="353"/>
      <c r="B566" s="96"/>
      <c r="C566" s="96"/>
      <c r="D566" s="96"/>
      <c r="E566" s="96"/>
    </row>
    <row r="567">
      <c r="A567" s="353"/>
      <c r="B567" s="96"/>
      <c r="C567" s="96"/>
      <c r="D567" s="96"/>
      <c r="E567" s="96"/>
    </row>
    <row r="568">
      <c r="A568" s="353"/>
      <c r="B568" s="96"/>
      <c r="C568" s="96"/>
      <c r="D568" s="96"/>
      <c r="E568" s="96"/>
    </row>
    <row r="569">
      <c r="A569" s="353"/>
      <c r="B569" s="96"/>
      <c r="C569" s="96"/>
      <c r="D569" s="96"/>
      <c r="E569" s="96"/>
    </row>
    <row r="570">
      <c r="A570" s="353"/>
      <c r="B570" s="96"/>
      <c r="C570" s="96"/>
      <c r="D570" s="96"/>
      <c r="E570" s="96"/>
    </row>
    <row r="571">
      <c r="A571" s="353"/>
      <c r="B571" s="96"/>
      <c r="C571" s="96"/>
      <c r="D571" s="96"/>
      <c r="E571" s="96"/>
    </row>
    <row r="572">
      <c r="A572" s="353"/>
      <c r="B572" s="96"/>
      <c r="C572" s="96"/>
      <c r="D572" s="96"/>
      <c r="E572" s="96"/>
    </row>
    <row r="573">
      <c r="A573" s="353"/>
      <c r="B573" s="96"/>
      <c r="C573" s="96"/>
      <c r="D573" s="96"/>
      <c r="E573" s="96"/>
    </row>
    <row r="574">
      <c r="A574" s="353"/>
      <c r="B574" s="96"/>
      <c r="C574" s="96"/>
      <c r="D574" s="96"/>
      <c r="E574" s="96"/>
    </row>
    <row r="575">
      <c r="A575" s="353"/>
      <c r="B575" s="96"/>
      <c r="C575" s="96"/>
      <c r="D575" s="96"/>
      <c r="E575" s="96"/>
    </row>
    <row r="576">
      <c r="A576" s="353"/>
      <c r="B576" s="96"/>
      <c r="C576" s="96"/>
      <c r="D576" s="96"/>
      <c r="E576" s="96"/>
    </row>
    <row r="577">
      <c r="A577" s="353"/>
      <c r="B577" s="96"/>
      <c r="C577" s="96"/>
      <c r="D577" s="96"/>
      <c r="E577" s="96"/>
    </row>
    <row r="578">
      <c r="A578" s="353"/>
      <c r="B578" s="96"/>
      <c r="C578" s="96"/>
      <c r="D578" s="96"/>
      <c r="E578" s="96"/>
    </row>
    <row r="579">
      <c r="A579" s="353"/>
      <c r="B579" s="96"/>
      <c r="C579" s="96"/>
      <c r="D579" s="96"/>
      <c r="E579" s="96"/>
    </row>
    <row r="580">
      <c r="A580" s="353"/>
      <c r="B580" s="96"/>
      <c r="C580" s="96"/>
      <c r="D580" s="96"/>
      <c r="E580" s="96"/>
    </row>
    <row r="581">
      <c r="A581" s="353"/>
      <c r="B581" s="96"/>
      <c r="C581" s="96"/>
      <c r="D581" s="96"/>
      <c r="E581" s="96"/>
    </row>
    <row r="582">
      <c r="A582" s="353"/>
      <c r="B582" s="96"/>
      <c r="C582" s="96"/>
      <c r="D582" s="96"/>
      <c r="E582" s="96"/>
    </row>
    <row r="583">
      <c r="A583" s="353"/>
      <c r="B583" s="96"/>
      <c r="C583" s="96"/>
      <c r="D583" s="96"/>
      <c r="E583" s="96"/>
    </row>
    <row r="584">
      <c r="A584" s="353"/>
      <c r="B584" s="96"/>
      <c r="C584" s="96"/>
      <c r="D584" s="96"/>
      <c r="E584" s="96"/>
    </row>
    <row r="585">
      <c r="A585" s="353"/>
      <c r="B585" s="96"/>
      <c r="C585" s="96"/>
      <c r="D585" s="96"/>
      <c r="E585" s="96"/>
    </row>
    <row r="586">
      <c r="A586" s="353"/>
      <c r="B586" s="96"/>
      <c r="C586" s="96"/>
      <c r="D586" s="96"/>
      <c r="E586" s="96"/>
    </row>
    <row r="587">
      <c r="A587" s="353"/>
      <c r="B587" s="96"/>
      <c r="C587" s="96"/>
      <c r="D587" s="96"/>
      <c r="E587" s="96"/>
    </row>
    <row r="588">
      <c r="A588" s="353"/>
      <c r="B588" s="96"/>
      <c r="C588" s="96"/>
      <c r="D588" s="96"/>
      <c r="E588" s="96"/>
    </row>
    <row r="589">
      <c r="A589" s="353"/>
      <c r="B589" s="96"/>
      <c r="C589" s="96"/>
      <c r="D589" s="96"/>
      <c r="E589" s="96"/>
    </row>
    <row r="590">
      <c r="A590" s="353"/>
      <c r="B590" s="96"/>
      <c r="C590" s="96"/>
      <c r="D590" s="96"/>
      <c r="E590" s="96"/>
    </row>
    <row r="591">
      <c r="A591" s="353"/>
      <c r="B591" s="96"/>
      <c r="C591" s="96"/>
      <c r="D591" s="96"/>
      <c r="E591" s="96"/>
    </row>
    <row r="592">
      <c r="A592" s="353"/>
      <c r="B592" s="96"/>
      <c r="C592" s="96"/>
      <c r="D592" s="96"/>
      <c r="E592" s="96"/>
    </row>
    <row r="593">
      <c r="A593" s="353"/>
      <c r="B593" s="96"/>
      <c r="C593" s="96"/>
      <c r="D593" s="96"/>
      <c r="E593" s="96"/>
    </row>
    <row r="594">
      <c r="A594" s="353"/>
      <c r="B594" s="96"/>
      <c r="C594" s="96"/>
      <c r="D594" s="96"/>
      <c r="E594" s="96"/>
    </row>
    <row r="595">
      <c r="A595" s="353"/>
      <c r="B595" s="96"/>
      <c r="C595" s="96"/>
      <c r="D595" s="96"/>
      <c r="E595" s="96"/>
    </row>
    <row r="596">
      <c r="A596" s="353"/>
      <c r="B596" s="96"/>
      <c r="C596" s="96"/>
      <c r="D596" s="96"/>
      <c r="E596" s="96"/>
    </row>
    <row r="597">
      <c r="A597" s="353"/>
      <c r="B597" s="96"/>
      <c r="C597" s="96"/>
      <c r="D597" s="96"/>
      <c r="E597" s="96"/>
    </row>
    <row r="598">
      <c r="A598" s="353"/>
      <c r="B598" s="96"/>
      <c r="C598" s="96"/>
      <c r="D598" s="96"/>
      <c r="E598" s="96"/>
    </row>
    <row r="599">
      <c r="A599" s="353"/>
      <c r="B599" s="96"/>
      <c r="C599" s="96"/>
      <c r="D599" s="96"/>
      <c r="E599" s="96"/>
    </row>
    <row r="600">
      <c r="A600" s="353"/>
      <c r="B600" s="96"/>
      <c r="C600" s="96"/>
      <c r="D600" s="96"/>
      <c r="E600" s="96"/>
    </row>
    <row r="601">
      <c r="A601" s="353"/>
      <c r="B601" s="96"/>
      <c r="C601" s="96"/>
      <c r="D601" s="96"/>
      <c r="E601" s="96"/>
    </row>
    <row r="602">
      <c r="A602" s="353"/>
      <c r="B602" s="96"/>
      <c r="C602" s="96"/>
      <c r="D602" s="96"/>
      <c r="E602" s="96"/>
    </row>
    <row r="603">
      <c r="A603" s="353"/>
      <c r="B603" s="96"/>
      <c r="C603" s="96"/>
      <c r="D603" s="96"/>
      <c r="E603" s="96"/>
    </row>
    <row r="604">
      <c r="A604" s="353"/>
      <c r="B604" s="96"/>
      <c r="C604" s="96"/>
      <c r="D604" s="96"/>
      <c r="E604" s="96"/>
    </row>
    <row r="605">
      <c r="A605" s="353"/>
      <c r="B605" s="96"/>
      <c r="C605" s="96"/>
      <c r="D605" s="96"/>
      <c r="E605" s="96"/>
    </row>
    <row r="606">
      <c r="A606" s="353"/>
      <c r="B606" s="96"/>
      <c r="C606" s="96"/>
      <c r="D606" s="96"/>
      <c r="E606" s="96"/>
    </row>
    <row r="607">
      <c r="A607" s="353"/>
      <c r="B607" s="96"/>
      <c r="C607" s="96"/>
      <c r="D607" s="96"/>
      <c r="E607" s="96"/>
    </row>
    <row r="608">
      <c r="A608" s="353"/>
      <c r="B608" s="96"/>
      <c r="C608" s="96"/>
      <c r="D608" s="96"/>
      <c r="E608" s="96"/>
    </row>
    <row r="609">
      <c r="A609" s="353"/>
      <c r="B609" s="96"/>
      <c r="C609" s="96"/>
      <c r="D609" s="96"/>
      <c r="E609" s="96"/>
    </row>
    <row r="610">
      <c r="A610" s="353"/>
      <c r="B610" s="96"/>
      <c r="C610" s="96"/>
      <c r="D610" s="96"/>
      <c r="E610" s="96"/>
    </row>
    <row r="611">
      <c r="A611" s="353"/>
      <c r="B611" s="96"/>
      <c r="C611" s="96"/>
      <c r="D611" s="96"/>
      <c r="E611" s="96"/>
    </row>
    <row r="612">
      <c r="A612" s="353"/>
      <c r="B612" s="96"/>
      <c r="C612" s="96"/>
      <c r="D612" s="96"/>
      <c r="E612" s="96"/>
    </row>
    <row r="613">
      <c r="A613" s="353"/>
      <c r="B613" s="96"/>
      <c r="C613" s="96"/>
      <c r="D613" s="96"/>
      <c r="E613" s="96"/>
    </row>
    <row r="614">
      <c r="A614" s="353"/>
      <c r="B614" s="96"/>
      <c r="C614" s="96"/>
      <c r="D614" s="96"/>
      <c r="E614" s="96"/>
    </row>
    <row r="615">
      <c r="A615" s="353"/>
      <c r="B615" s="96"/>
      <c r="C615" s="96"/>
      <c r="D615" s="96"/>
      <c r="E615" s="96"/>
    </row>
    <row r="616">
      <c r="A616" s="353"/>
      <c r="B616" s="96"/>
      <c r="C616" s="96"/>
      <c r="D616" s="96"/>
      <c r="E616" s="96"/>
    </row>
    <row r="617">
      <c r="A617" s="353"/>
      <c r="B617" s="96"/>
      <c r="C617" s="96"/>
      <c r="D617" s="96"/>
      <c r="E617" s="96"/>
    </row>
    <row r="618">
      <c r="A618" s="353"/>
      <c r="B618" s="96"/>
      <c r="C618" s="96"/>
      <c r="D618" s="96"/>
      <c r="E618" s="96"/>
    </row>
    <row r="619">
      <c r="A619" s="353"/>
      <c r="B619" s="96"/>
      <c r="C619" s="96"/>
      <c r="D619" s="96"/>
      <c r="E619" s="96"/>
    </row>
    <row r="620">
      <c r="A620" s="353"/>
      <c r="B620" s="96"/>
      <c r="C620" s="96"/>
      <c r="D620" s="96"/>
      <c r="E620" s="96"/>
    </row>
    <row r="621">
      <c r="A621" s="353"/>
      <c r="B621" s="96"/>
      <c r="C621" s="96"/>
      <c r="D621" s="96"/>
      <c r="E621" s="96"/>
    </row>
    <row r="622">
      <c r="A622" s="353"/>
      <c r="B622" s="96"/>
      <c r="C622" s="96"/>
      <c r="D622" s="96"/>
      <c r="E622" s="96"/>
    </row>
    <row r="623">
      <c r="A623" s="353"/>
      <c r="B623" s="96"/>
      <c r="C623" s="96"/>
      <c r="D623" s="96"/>
      <c r="E623" s="96"/>
    </row>
    <row r="624">
      <c r="A624" s="353"/>
      <c r="B624" s="96"/>
      <c r="C624" s="96"/>
      <c r="D624" s="96"/>
      <c r="E624" s="96"/>
    </row>
    <row r="625">
      <c r="A625" s="353"/>
      <c r="B625" s="96"/>
      <c r="C625" s="96"/>
      <c r="D625" s="96"/>
      <c r="E625" s="96"/>
    </row>
    <row r="626">
      <c r="A626" s="353"/>
      <c r="B626" s="96"/>
      <c r="C626" s="96"/>
      <c r="D626" s="96"/>
      <c r="E626" s="96"/>
    </row>
    <row r="627">
      <c r="A627" s="353"/>
      <c r="B627" s="96"/>
      <c r="C627" s="96"/>
      <c r="D627" s="96"/>
      <c r="E627" s="96"/>
    </row>
    <row r="628">
      <c r="A628" s="353"/>
      <c r="B628" s="96"/>
      <c r="C628" s="96"/>
      <c r="D628" s="96"/>
      <c r="E628" s="96"/>
    </row>
    <row r="629">
      <c r="A629" s="353"/>
      <c r="B629" s="96"/>
      <c r="C629" s="96"/>
      <c r="D629" s="96"/>
      <c r="E629" s="96"/>
    </row>
    <row r="630">
      <c r="A630" s="353"/>
      <c r="B630" s="96"/>
      <c r="C630" s="96"/>
      <c r="D630" s="96"/>
      <c r="E630" s="96"/>
    </row>
    <row r="631">
      <c r="A631" s="353"/>
      <c r="B631" s="96"/>
      <c r="C631" s="96"/>
      <c r="D631" s="96"/>
      <c r="E631" s="96"/>
    </row>
    <row r="632">
      <c r="A632" s="353"/>
      <c r="B632" s="96"/>
      <c r="C632" s="96"/>
      <c r="D632" s="96"/>
      <c r="E632" s="96"/>
    </row>
    <row r="633">
      <c r="A633" s="353"/>
      <c r="B633" s="96"/>
      <c r="C633" s="96"/>
      <c r="D633" s="96"/>
      <c r="E633" s="96"/>
    </row>
    <row r="634">
      <c r="A634" s="353"/>
      <c r="B634" s="96"/>
      <c r="C634" s="96"/>
      <c r="D634" s="96"/>
      <c r="E634" s="96"/>
    </row>
    <row r="635">
      <c r="A635" s="353"/>
      <c r="B635" s="96"/>
      <c r="C635" s="96"/>
      <c r="D635" s="96"/>
      <c r="E635" s="96"/>
    </row>
    <row r="636">
      <c r="A636" s="353"/>
      <c r="B636" s="96"/>
      <c r="C636" s="96"/>
      <c r="D636" s="96"/>
      <c r="E636" s="96"/>
    </row>
    <row r="637">
      <c r="A637" s="353"/>
      <c r="B637" s="96"/>
      <c r="C637" s="96"/>
      <c r="D637" s="96"/>
      <c r="E637" s="96"/>
    </row>
    <row r="638">
      <c r="A638" s="353"/>
      <c r="B638" s="96"/>
      <c r="C638" s="96"/>
      <c r="D638" s="96"/>
      <c r="E638" s="96"/>
    </row>
    <row r="639">
      <c r="A639" s="353"/>
      <c r="B639" s="96"/>
      <c r="C639" s="96"/>
      <c r="D639" s="96"/>
      <c r="E639" s="96"/>
    </row>
    <row r="640">
      <c r="A640" s="353"/>
      <c r="B640" s="96"/>
      <c r="C640" s="96"/>
      <c r="D640" s="96"/>
      <c r="E640" s="96"/>
    </row>
    <row r="641">
      <c r="A641" s="353"/>
      <c r="B641" s="96"/>
      <c r="C641" s="96"/>
      <c r="D641" s="96"/>
      <c r="E641" s="96"/>
    </row>
    <row r="642">
      <c r="A642" s="353"/>
      <c r="B642" s="96"/>
      <c r="C642" s="96"/>
      <c r="D642" s="96"/>
      <c r="E642" s="96"/>
    </row>
    <row r="643">
      <c r="A643" s="353"/>
      <c r="B643" s="96"/>
      <c r="C643" s="96"/>
      <c r="D643" s="96"/>
      <c r="E643" s="96"/>
    </row>
    <row r="644">
      <c r="A644" s="353"/>
      <c r="B644" s="96"/>
      <c r="C644" s="96"/>
      <c r="D644" s="96"/>
      <c r="E644" s="96"/>
    </row>
    <row r="645">
      <c r="A645" s="353"/>
      <c r="B645" s="96"/>
      <c r="C645" s="96"/>
      <c r="D645" s="96"/>
      <c r="E645" s="96"/>
    </row>
    <row r="646">
      <c r="A646" s="353"/>
      <c r="B646" s="96"/>
      <c r="C646" s="96"/>
      <c r="D646" s="96"/>
      <c r="E646" s="96"/>
    </row>
    <row r="647">
      <c r="A647" s="353"/>
      <c r="B647" s="96"/>
      <c r="C647" s="96"/>
      <c r="D647" s="96"/>
      <c r="E647" s="96"/>
    </row>
    <row r="648">
      <c r="A648" s="353"/>
      <c r="B648" s="96"/>
      <c r="C648" s="96"/>
      <c r="D648" s="96"/>
      <c r="E648" s="96"/>
    </row>
    <row r="649">
      <c r="A649" s="353"/>
      <c r="B649" s="96"/>
      <c r="C649" s="96"/>
      <c r="D649" s="96"/>
      <c r="E649" s="96"/>
    </row>
    <row r="650">
      <c r="A650" s="353"/>
      <c r="B650" s="96"/>
      <c r="C650" s="96"/>
      <c r="D650" s="96"/>
      <c r="E650" s="96"/>
    </row>
    <row r="651">
      <c r="A651" s="353"/>
      <c r="B651" s="96"/>
      <c r="C651" s="96"/>
      <c r="D651" s="96"/>
      <c r="E651" s="96"/>
    </row>
    <row r="652">
      <c r="A652" s="353"/>
      <c r="B652" s="96"/>
      <c r="C652" s="96"/>
      <c r="D652" s="96"/>
      <c r="E652" s="96"/>
    </row>
    <row r="653">
      <c r="A653" s="353"/>
      <c r="B653" s="96"/>
      <c r="C653" s="96"/>
      <c r="D653" s="96"/>
      <c r="E653" s="96"/>
    </row>
    <row r="654">
      <c r="A654" s="353"/>
      <c r="B654" s="96"/>
      <c r="C654" s="96"/>
      <c r="D654" s="96"/>
      <c r="E654" s="96"/>
    </row>
    <row r="655">
      <c r="A655" s="353"/>
      <c r="B655" s="96"/>
      <c r="C655" s="96"/>
      <c r="D655" s="96"/>
      <c r="E655" s="96"/>
    </row>
    <row r="656">
      <c r="A656" s="353"/>
      <c r="B656" s="96"/>
      <c r="C656" s="96"/>
      <c r="D656" s="96"/>
      <c r="E656" s="96"/>
    </row>
    <row r="657">
      <c r="A657" s="353"/>
      <c r="B657" s="96"/>
      <c r="C657" s="96"/>
      <c r="D657" s="96"/>
      <c r="E657" s="96"/>
    </row>
    <row r="658">
      <c r="A658" s="353"/>
      <c r="B658" s="96"/>
      <c r="C658" s="96"/>
      <c r="D658" s="96"/>
      <c r="E658" s="96"/>
    </row>
    <row r="659">
      <c r="A659" s="353"/>
      <c r="B659" s="96"/>
      <c r="C659" s="96"/>
      <c r="D659" s="96"/>
      <c r="E659" s="96"/>
    </row>
    <row r="660">
      <c r="A660" s="353"/>
      <c r="B660" s="96"/>
      <c r="C660" s="96"/>
      <c r="D660" s="96"/>
      <c r="E660" s="96"/>
    </row>
    <row r="661">
      <c r="A661" s="353"/>
      <c r="B661" s="96"/>
      <c r="C661" s="96"/>
      <c r="D661" s="96"/>
      <c r="E661" s="96"/>
    </row>
    <row r="662">
      <c r="A662" s="353"/>
      <c r="B662" s="96"/>
      <c r="C662" s="96"/>
      <c r="D662" s="96"/>
      <c r="E662" s="96"/>
    </row>
    <row r="663">
      <c r="A663" s="353"/>
      <c r="B663" s="96"/>
      <c r="C663" s="96"/>
      <c r="D663" s="96"/>
      <c r="E663" s="96"/>
    </row>
    <row r="664">
      <c r="A664" s="353"/>
      <c r="B664" s="96"/>
      <c r="C664" s="96"/>
      <c r="D664" s="96"/>
      <c r="E664" s="96"/>
    </row>
    <row r="665">
      <c r="A665" s="353"/>
      <c r="B665" s="96"/>
      <c r="C665" s="96"/>
      <c r="D665" s="96"/>
      <c r="E665" s="96"/>
    </row>
    <row r="666">
      <c r="A666" s="353"/>
      <c r="B666" s="96"/>
      <c r="C666" s="96"/>
      <c r="D666" s="96"/>
      <c r="E666" s="96"/>
    </row>
    <row r="667">
      <c r="A667" s="353"/>
      <c r="B667" s="96"/>
      <c r="C667" s="96"/>
      <c r="D667" s="96"/>
      <c r="E667" s="96"/>
    </row>
    <row r="668">
      <c r="A668" s="353"/>
      <c r="B668" s="96"/>
      <c r="C668" s="96"/>
      <c r="D668" s="96"/>
      <c r="E668" s="96"/>
    </row>
    <row r="669">
      <c r="A669" s="353"/>
      <c r="B669" s="96"/>
      <c r="C669" s="96"/>
      <c r="D669" s="96"/>
      <c r="E669" s="96"/>
    </row>
    <row r="670">
      <c r="A670" s="353"/>
      <c r="B670" s="96"/>
      <c r="C670" s="96"/>
      <c r="D670" s="96"/>
      <c r="E670" s="96"/>
    </row>
    <row r="671">
      <c r="A671" s="353"/>
      <c r="B671" s="96"/>
      <c r="C671" s="96"/>
      <c r="D671" s="96"/>
      <c r="E671" s="96"/>
    </row>
    <row r="672">
      <c r="A672" s="353"/>
      <c r="B672" s="96"/>
      <c r="C672" s="96"/>
      <c r="D672" s="96"/>
      <c r="E672" s="96"/>
    </row>
    <row r="673">
      <c r="A673" s="353"/>
      <c r="B673" s="96"/>
      <c r="C673" s="96"/>
      <c r="D673" s="96"/>
      <c r="E673" s="96"/>
    </row>
    <row r="674">
      <c r="A674" s="353"/>
      <c r="B674" s="96"/>
      <c r="C674" s="96"/>
      <c r="D674" s="96"/>
      <c r="E674" s="96"/>
    </row>
    <row r="675">
      <c r="A675" s="353"/>
      <c r="B675" s="96"/>
      <c r="C675" s="96"/>
      <c r="D675" s="96"/>
      <c r="E675" s="96"/>
    </row>
    <row r="676">
      <c r="A676" s="353"/>
      <c r="B676" s="96"/>
      <c r="C676" s="96"/>
      <c r="D676" s="96"/>
      <c r="E676" s="96"/>
    </row>
    <row r="677">
      <c r="A677" s="353"/>
      <c r="B677" s="96"/>
      <c r="C677" s="96"/>
      <c r="D677" s="96"/>
      <c r="E677" s="96"/>
    </row>
    <row r="678">
      <c r="A678" s="353"/>
      <c r="B678" s="96"/>
      <c r="C678" s="96"/>
      <c r="D678" s="96"/>
      <c r="E678" s="96"/>
    </row>
    <row r="679">
      <c r="A679" s="353"/>
      <c r="B679" s="96"/>
      <c r="C679" s="96"/>
      <c r="D679" s="96"/>
      <c r="E679" s="96"/>
    </row>
    <row r="680">
      <c r="A680" s="353"/>
      <c r="B680" s="96"/>
      <c r="C680" s="96"/>
      <c r="D680" s="96"/>
      <c r="E680" s="96"/>
    </row>
    <row r="681">
      <c r="A681" s="353"/>
      <c r="B681" s="96"/>
      <c r="C681" s="96"/>
      <c r="D681" s="96"/>
      <c r="E681" s="96"/>
    </row>
    <row r="682">
      <c r="A682" s="353"/>
      <c r="B682" s="96"/>
      <c r="C682" s="96"/>
      <c r="D682" s="96"/>
      <c r="E682" s="96"/>
    </row>
    <row r="683">
      <c r="A683" s="353"/>
      <c r="B683" s="96"/>
      <c r="C683" s="96"/>
      <c r="D683" s="96"/>
      <c r="E683" s="96"/>
    </row>
    <row r="684">
      <c r="A684" s="353"/>
      <c r="B684" s="96"/>
      <c r="C684" s="96"/>
      <c r="D684" s="96"/>
      <c r="E684" s="96"/>
    </row>
    <row r="685">
      <c r="A685" s="353"/>
      <c r="B685" s="96"/>
      <c r="C685" s="96"/>
      <c r="D685" s="96"/>
      <c r="E685" s="96"/>
    </row>
    <row r="686">
      <c r="A686" s="353"/>
      <c r="B686" s="96"/>
      <c r="C686" s="96"/>
      <c r="D686" s="96"/>
      <c r="E686" s="96"/>
    </row>
    <row r="687">
      <c r="A687" s="353"/>
      <c r="B687" s="96"/>
      <c r="C687" s="96"/>
      <c r="D687" s="96"/>
      <c r="E687" s="96"/>
    </row>
    <row r="688">
      <c r="A688" s="353"/>
      <c r="B688" s="96"/>
      <c r="C688" s="96"/>
      <c r="D688" s="96"/>
      <c r="E688" s="96"/>
    </row>
    <row r="689">
      <c r="A689" s="353"/>
      <c r="B689" s="96"/>
      <c r="C689" s="96"/>
      <c r="D689" s="96"/>
      <c r="E689" s="96"/>
    </row>
    <row r="690">
      <c r="A690" s="353"/>
      <c r="B690" s="96"/>
      <c r="C690" s="96"/>
      <c r="D690" s="96"/>
      <c r="E690" s="96"/>
    </row>
    <row r="691">
      <c r="A691" s="353"/>
      <c r="B691" s="96"/>
      <c r="C691" s="96"/>
      <c r="D691" s="96"/>
      <c r="E691" s="96"/>
    </row>
    <row r="692">
      <c r="A692" s="353"/>
      <c r="B692" s="96"/>
      <c r="C692" s="96"/>
      <c r="D692" s="96"/>
      <c r="E692" s="96"/>
    </row>
    <row r="693">
      <c r="A693" s="353"/>
      <c r="B693" s="96"/>
      <c r="C693" s="96"/>
      <c r="D693" s="96"/>
      <c r="E693" s="96"/>
    </row>
    <row r="694">
      <c r="A694" s="353"/>
      <c r="B694" s="96"/>
      <c r="C694" s="96"/>
      <c r="D694" s="96"/>
      <c r="E694" s="96"/>
    </row>
    <row r="695">
      <c r="A695" s="353"/>
      <c r="B695" s="96"/>
      <c r="C695" s="96"/>
      <c r="D695" s="96"/>
      <c r="E695" s="96"/>
    </row>
    <row r="696">
      <c r="A696" s="353"/>
      <c r="B696" s="96"/>
      <c r="C696" s="96"/>
      <c r="D696" s="96"/>
      <c r="E696" s="96"/>
    </row>
    <row r="697">
      <c r="A697" s="353"/>
      <c r="B697" s="96"/>
      <c r="C697" s="96"/>
      <c r="D697" s="96"/>
      <c r="E697" s="96"/>
    </row>
    <row r="698">
      <c r="A698" s="353"/>
      <c r="B698" s="96"/>
      <c r="C698" s="96"/>
      <c r="D698" s="96"/>
      <c r="E698" s="96"/>
    </row>
    <row r="699">
      <c r="A699" s="353"/>
      <c r="B699" s="96"/>
      <c r="C699" s="96"/>
      <c r="D699" s="96"/>
      <c r="E699" s="96"/>
    </row>
    <row r="700">
      <c r="A700" s="353"/>
      <c r="B700" s="96"/>
      <c r="C700" s="96"/>
      <c r="D700" s="96"/>
      <c r="E700" s="96"/>
    </row>
    <row r="701">
      <c r="A701" s="353"/>
      <c r="B701" s="96"/>
      <c r="C701" s="96"/>
      <c r="D701" s="96"/>
      <c r="E701" s="96"/>
    </row>
    <row r="702">
      <c r="A702" s="353"/>
      <c r="B702" s="96"/>
      <c r="C702" s="96"/>
      <c r="D702" s="96"/>
      <c r="E702" s="96"/>
    </row>
    <row r="703">
      <c r="A703" s="353"/>
      <c r="B703" s="96"/>
      <c r="C703" s="96"/>
      <c r="D703" s="96"/>
      <c r="E703" s="96"/>
    </row>
    <row r="704">
      <c r="A704" s="353"/>
      <c r="B704" s="96"/>
      <c r="C704" s="96"/>
      <c r="D704" s="96"/>
      <c r="E704" s="96"/>
    </row>
    <row r="705">
      <c r="A705" s="353"/>
      <c r="B705" s="96"/>
      <c r="C705" s="96"/>
      <c r="D705" s="96"/>
      <c r="E705" s="96"/>
    </row>
    <row r="706">
      <c r="A706" s="353"/>
      <c r="B706" s="96"/>
      <c r="C706" s="96"/>
      <c r="D706" s="96"/>
      <c r="E706" s="96"/>
    </row>
    <row r="707">
      <c r="A707" s="353"/>
      <c r="B707" s="96"/>
      <c r="C707" s="96"/>
      <c r="D707" s="96"/>
      <c r="E707" s="96"/>
    </row>
    <row r="708">
      <c r="A708" s="353"/>
      <c r="B708" s="96"/>
      <c r="C708" s="96"/>
      <c r="D708" s="96"/>
      <c r="E708" s="96"/>
    </row>
    <row r="709">
      <c r="A709" s="353"/>
      <c r="B709" s="96"/>
      <c r="C709" s="96"/>
      <c r="D709" s="96"/>
      <c r="E709" s="96"/>
    </row>
    <row r="710">
      <c r="A710" s="353"/>
      <c r="B710" s="96"/>
      <c r="C710" s="96"/>
      <c r="D710" s="96"/>
      <c r="E710" s="96"/>
    </row>
    <row r="711">
      <c r="A711" s="353"/>
      <c r="B711" s="96"/>
      <c r="C711" s="96"/>
      <c r="D711" s="96"/>
      <c r="E711" s="96"/>
    </row>
    <row r="712">
      <c r="A712" s="353"/>
      <c r="B712" s="96"/>
      <c r="C712" s="96"/>
      <c r="D712" s="96"/>
      <c r="E712" s="96"/>
    </row>
    <row r="713">
      <c r="A713" s="353"/>
      <c r="B713" s="96"/>
      <c r="C713" s="96"/>
      <c r="D713" s="96"/>
      <c r="E713" s="96"/>
    </row>
    <row r="714">
      <c r="A714" s="353"/>
      <c r="B714" s="96"/>
      <c r="C714" s="96"/>
      <c r="D714" s="96"/>
      <c r="E714" s="96"/>
    </row>
    <row r="715">
      <c r="A715" s="353"/>
      <c r="B715" s="96"/>
      <c r="C715" s="96"/>
      <c r="D715" s="96"/>
      <c r="E715" s="96"/>
    </row>
    <row r="716">
      <c r="A716" s="353"/>
      <c r="B716" s="96"/>
      <c r="C716" s="96"/>
      <c r="D716" s="96"/>
      <c r="E716" s="96"/>
    </row>
    <row r="717">
      <c r="A717" s="353"/>
      <c r="B717" s="96"/>
      <c r="C717" s="96"/>
      <c r="D717" s="96"/>
      <c r="E717" s="96"/>
    </row>
    <row r="718">
      <c r="A718" s="353"/>
      <c r="B718" s="96"/>
      <c r="C718" s="96"/>
      <c r="D718" s="96"/>
      <c r="E718" s="96"/>
    </row>
    <row r="719">
      <c r="A719" s="353"/>
      <c r="B719" s="96"/>
      <c r="C719" s="96"/>
      <c r="D719" s="96"/>
      <c r="E719" s="96"/>
    </row>
    <row r="720">
      <c r="A720" s="353"/>
      <c r="B720" s="96"/>
      <c r="C720" s="96"/>
      <c r="D720" s="96"/>
      <c r="E720" s="96"/>
    </row>
    <row r="721">
      <c r="A721" s="353"/>
      <c r="B721" s="96"/>
      <c r="C721" s="96"/>
      <c r="D721" s="96"/>
      <c r="E721" s="96"/>
    </row>
    <row r="722">
      <c r="A722" s="353"/>
      <c r="B722" s="96"/>
      <c r="C722" s="96"/>
      <c r="D722" s="96"/>
      <c r="E722" s="96"/>
    </row>
    <row r="723">
      <c r="A723" s="353"/>
      <c r="B723" s="96"/>
      <c r="C723" s="96"/>
      <c r="D723" s="96"/>
      <c r="E723" s="96"/>
    </row>
    <row r="724">
      <c r="A724" s="353"/>
      <c r="B724" s="96"/>
      <c r="C724" s="96"/>
      <c r="D724" s="96"/>
      <c r="E724" s="96"/>
    </row>
    <row r="725">
      <c r="A725" s="353"/>
      <c r="B725" s="96"/>
      <c r="C725" s="96"/>
      <c r="D725" s="96"/>
      <c r="E725" s="96"/>
    </row>
    <row r="726">
      <c r="A726" s="353"/>
      <c r="B726" s="96"/>
      <c r="C726" s="96"/>
      <c r="D726" s="96"/>
      <c r="E726" s="96"/>
    </row>
    <row r="727">
      <c r="A727" s="353"/>
      <c r="B727" s="96"/>
      <c r="C727" s="96"/>
      <c r="D727" s="96"/>
      <c r="E727" s="96"/>
    </row>
    <row r="728">
      <c r="A728" s="353"/>
      <c r="B728" s="96"/>
      <c r="C728" s="96"/>
      <c r="D728" s="96"/>
      <c r="E728" s="96"/>
    </row>
    <row r="729">
      <c r="A729" s="353"/>
      <c r="B729" s="96"/>
      <c r="C729" s="96"/>
      <c r="D729" s="96"/>
      <c r="E729" s="96"/>
    </row>
    <row r="730">
      <c r="A730" s="353"/>
      <c r="B730" s="96"/>
      <c r="C730" s="96"/>
      <c r="D730" s="96"/>
      <c r="E730" s="96"/>
    </row>
    <row r="731">
      <c r="A731" s="353"/>
      <c r="B731" s="96"/>
      <c r="C731" s="96"/>
      <c r="D731" s="96"/>
      <c r="E731" s="96"/>
    </row>
    <row r="732">
      <c r="A732" s="353"/>
      <c r="B732" s="96"/>
      <c r="C732" s="96"/>
      <c r="D732" s="96"/>
      <c r="E732" s="96"/>
    </row>
    <row r="733">
      <c r="A733" s="353"/>
      <c r="B733" s="96"/>
      <c r="C733" s="96"/>
      <c r="D733" s="96"/>
      <c r="E733" s="96"/>
    </row>
    <row r="734">
      <c r="A734" s="353"/>
      <c r="B734" s="96"/>
      <c r="C734" s="96"/>
      <c r="D734" s="96"/>
      <c r="E734" s="96"/>
    </row>
    <row r="735">
      <c r="A735" s="353"/>
      <c r="B735" s="96"/>
      <c r="C735" s="96"/>
      <c r="D735" s="96"/>
      <c r="E735" s="96"/>
    </row>
    <row r="736">
      <c r="A736" s="353"/>
      <c r="B736" s="96"/>
      <c r="C736" s="96"/>
      <c r="D736" s="96"/>
      <c r="E736" s="96"/>
    </row>
    <row r="737">
      <c r="A737" s="353"/>
      <c r="B737" s="96"/>
      <c r="C737" s="96"/>
      <c r="D737" s="96"/>
      <c r="E737" s="96"/>
    </row>
    <row r="738">
      <c r="A738" s="353"/>
      <c r="B738" s="96"/>
      <c r="C738" s="96"/>
      <c r="D738" s="96"/>
      <c r="E738" s="96"/>
    </row>
    <row r="739">
      <c r="A739" s="353"/>
      <c r="B739" s="96"/>
      <c r="C739" s="96"/>
      <c r="D739" s="96"/>
      <c r="E739" s="96"/>
    </row>
    <row r="740">
      <c r="A740" s="353"/>
      <c r="B740" s="96"/>
      <c r="C740" s="96"/>
      <c r="D740" s="96"/>
      <c r="E740" s="96"/>
    </row>
    <row r="741">
      <c r="A741" s="353"/>
      <c r="B741" s="96"/>
      <c r="C741" s="96"/>
      <c r="D741" s="96"/>
      <c r="E741" s="96"/>
    </row>
    <row r="742">
      <c r="A742" s="353"/>
      <c r="B742" s="96"/>
      <c r="C742" s="96"/>
      <c r="D742" s="96"/>
      <c r="E742" s="96"/>
    </row>
    <row r="743">
      <c r="A743" s="353"/>
      <c r="B743" s="96"/>
      <c r="C743" s="96"/>
      <c r="D743" s="96"/>
      <c r="E743" s="96"/>
    </row>
    <row r="744">
      <c r="A744" s="353"/>
      <c r="B744" s="96"/>
      <c r="C744" s="96"/>
      <c r="D744" s="96"/>
      <c r="E744" s="96"/>
    </row>
    <row r="745">
      <c r="A745" s="353"/>
      <c r="B745" s="96"/>
      <c r="C745" s="96"/>
      <c r="D745" s="96"/>
      <c r="E745" s="96"/>
    </row>
    <row r="746">
      <c r="A746" s="353"/>
      <c r="B746" s="96"/>
      <c r="C746" s="96"/>
      <c r="D746" s="96"/>
      <c r="E746" s="96"/>
    </row>
    <row r="747">
      <c r="A747" s="353"/>
      <c r="B747" s="96"/>
      <c r="C747" s="96"/>
      <c r="D747" s="96"/>
      <c r="E747" s="96"/>
    </row>
    <row r="748">
      <c r="A748" s="353"/>
      <c r="B748" s="96"/>
      <c r="C748" s="96"/>
      <c r="D748" s="96"/>
      <c r="E748" s="96"/>
    </row>
    <row r="749">
      <c r="A749" s="353"/>
      <c r="B749" s="96"/>
      <c r="C749" s="96"/>
      <c r="D749" s="96"/>
      <c r="E749" s="96"/>
    </row>
    <row r="750">
      <c r="A750" s="353"/>
      <c r="B750" s="96"/>
      <c r="C750" s="96"/>
      <c r="D750" s="96"/>
      <c r="E750" s="96"/>
    </row>
    <row r="751">
      <c r="A751" s="353"/>
      <c r="B751" s="96"/>
      <c r="C751" s="96"/>
      <c r="D751" s="96"/>
      <c r="E751" s="96"/>
    </row>
    <row r="752">
      <c r="A752" s="353"/>
      <c r="B752" s="96"/>
      <c r="C752" s="96"/>
      <c r="D752" s="96"/>
      <c r="E752" s="96"/>
    </row>
    <row r="753">
      <c r="A753" s="353"/>
      <c r="B753" s="96"/>
      <c r="C753" s="96"/>
      <c r="D753" s="96"/>
      <c r="E753" s="96"/>
    </row>
    <row r="754">
      <c r="A754" s="353"/>
      <c r="B754" s="96"/>
      <c r="C754" s="96"/>
      <c r="D754" s="96"/>
      <c r="E754" s="96"/>
    </row>
    <row r="755">
      <c r="A755" s="353"/>
      <c r="B755" s="96"/>
      <c r="C755" s="96"/>
      <c r="D755" s="96"/>
      <c r="E755" s="96"/>
    </row>
    <row r="756">
      <c r="A756" s="353"/>
      <c r="B756" s="96"/>
      <c r="C756" s="96"/>
      <c r="D756" s="96"/>
      <c r="E756" s="96"/>
    </row>
    <row r="757">
      <c r="A757" s="353"/>
      <c r="B757" s="96"/>
      <c r="C757" s="96"/>
      <c r="D757" s="96"/>
      <c r="E757" s="96"/>
    </row>
    <row r="758">
      <c r="A758" s="353"/>
      <c r="B758" s="96"/>
      <c r="C758" s="96"/>
      <c r="D758" s="96"/>
      <c r="E758" s="96"/>
    </row>
    <row r="759">
      <c r="A759" s="353"/>
      <c r="B759" s="96"/>
      <c r="C759" s="96"/>
      <c r="D759" s="96"/>
      <c r="E759" s="96"/>
    </row>
    <row r="760">
      <c r="A760" s="353"/>
      <c r="B760" s="96"/>
      <c r="C760" s="96"/>
      <c r="D760" s="96"/>
      <c r="E760" s="96"/>
    </row>
    <row r="761">
      <c r="A761" s="353"/>
      <c r="B761" s="96"/>
      <c r="C761" s="96"/>
      <c r="D761" s="96"/>
      <c r="E761" s="96"/>
    </row>
    <row r="762">
      <c r="A762" s="353"/>
      <c r="B762" s="96"/>
      <c r="C762" s="96"/>
      <c r="D762" s="96"/>
      <c r="E762" s="96"/>
    </row>
    <row r="763">
      <c r="A763" s="353"/>
      <c r="B763" s="96"/>
      <c r="C763" s="96"/>
      <c r="D763" s="96"/>
      <c r="E763" s="96"/>
    </row>
    <row r="764">
      <c r="A764" s="353"/>
      <c r="B764" s="96"/>
      <c r="C764" s="96"/>
      <c r="D764" s="96"/>
      <c r="E764" s="96"/>
    </row>
    <row r="765">
      <c r="A765" s="353"/>
      <c r="B765" s="96"/>
      <c r="C765" s="96"/>
      <c r="D765" s="96"/>
      <c r="E765" s="96"/>
    </row>
    <row r="766">
      <c r="A766" s="353"/>
      <c r="B766" s="96"/>
      <c r="C766" s="96"/>
      <c r="D766" s="96"/>
      <c r="E766" s="96"/>
    </row>
    <row r="767">
      <c r="A767" s="353"/>
      <c r="B767" s="96"/>
      <c r="C767" s="96"/>
      <c r="D767" s="96"/>
      <c r="E767" s="96"/>
    </row>
    <row r="768">
      <c r="A768" s="353"/>
      <c r="B768" s="96"/>
      <c r="C768" s="96"/>
      <c r="D768" s="96"/>
      <c r="E768" s="96"/>
    </row>
    <row r="769">
      <c r="A769" s="353"/>
      <c r="B769" s="96"/>
      <c r="C769" s="96"/>
      <c r="D769" s="96"/>
      <c r="E769" s="96"/>
    </row>
    <row r="770">
      <c r="A770" s="353"/>
      <c r="B770" s="96"/>
      <c r="C770" s="96"/>
      <c r="D770" s="96"/>
      <c r="E770" s="96"/>
    </row>
    <row r="771">
      <c r="A771" s="353"/>
      <c r="B771" s="96"/>
      <c r="C771" s="96"/>
      <c r="D771" s="96"/>
      <c r="E771" s="96"/>
    </row>
    <row r="772">
      <c r="A772" s="353"/>
      <c r="B772" s="96"/>
      <c r="C772" s="96"/>
      <c r="D772" s="96"/>
      <c r="E772" s="96"/>
    </row>
    <row r="773">
      <c r="A773" s="353"/>
      <c r="B773" s="96"/>
      <c r="C773" s="96"/>
      <c r="D773" s="96"/>
      <c r="E773" s="96"/>
    </row>
    <row r="774">
      <c r="A774" s="353"/>
      <c r="B774" s="96"/>
      <c r="C774" s="96"/>
      <c r="D774" s="96"/>
      <c r="E774" s="96"/>
    </row>
    <row r="775">
      <c r="A775" s="353"/>
      <c r="B775" s="96"/>
      <c r="C775" s="96"/>
      <c r="D775" s="96"/>
      <c r="E775" s="96"/>
    </row>
    <row r="776">
      <c r="A776" s="353"/>
      <c r="B776" s="96"/>
      <c r="C776" s="96"/>
      <c r="D776" s="96"/>
      <c r="E776" s="96"/>
    </row>
    <row r="777">
      <c r="A777" s="353"/>
      <c r="B777" s="96"/>
      <c r="C777" s="96"/>
      <c r="D777" s="96"/>
      <c r="E777" s="96"/>
    </row>
    <row r="778">
      <c r="A778" s="353"/>
      <c r="B778" s="96"/>
      <c r="C778" s="96"/>
      <c r="D778" s="96"/>
      <c r="E778" s="96"/>
    </row>
    <row r="779">
      <c r="A779" s="353"/>
      <c r="B779" s="96"/>
      <c r="C779" s="96"/>
      <c r="D779" s="96"/>
      <c r="E779" s="96"/>
    </row>
    <row r="780">
      <c r="A780" s="353"/>
      <c r="B780" s="96"/>
      <c r="C780" s="96"/>
      <c r="D780" s="96"/>
      <c r="E780" s="96"/>
    </row>
    <row r="781">
      <c r="A781" s="353"/>
      <c r="B781" s="96"/>
      <c r="C781" s="96"/>
      <c r="D781" s="96"/>
      <c r="E781" s="96"/>
    </row>
    <row r="782">
      <c r="A782" s="353"/>
      <c r="B782" s="96"/>
      <c r="C782" s="96"/>
      <c r="D782" s="96"/>
      <c r="E782" s="96"/>
    </row>
    <row r="783">
      <c r="A783" s="353"/>
      <c r="B783" s="96"/>
      <c r="C783" s="96"/>
      <c r="D783" s="96"/>
      <c r="E783" s="96"/>
    </row>
    <row r="784">
      <c r="A784" s="353"/>
      <c r="B784" s="96"/>
      <c r="C784" s="96"/>
      <c r="D784" s="96"/>
      <c r="E784" s="96"/>
    </row>
    <row r="785">
      <c r="A785" s="353"/>
      <c r="B785" s="96"/>
      <c r="C785" s="96"/>
      <c r="D785" s="96"/>
      <c r="E785" s="96"/>
    </row>
    <row r="786">
      <c r="A786" s="353"/>
      <c r="B786" s="96"/>
      <c r="C786" s="96"/>
      <c r="D786" s="96"/>
      <c r="E786" s="96"/>
    </row>
    <row r="787">
      <c r="A787" s="353"/>
      <c r="B787" s="96"/>
      <c r="C787" s="96"/>
      <c r="D787" s="96"/>
      <c r="E787" s="96"/>
    </row>
    <row r="788">
      <c r="A788" s="353"/>
      <c r="B788" s="96"/>
      <c r="C788" s="96"/>
      <c r="D788" s="96"/>
      <c r="E788" s="96"/>
    </row>
    <row r="789">
      <c r="A789" s="353"/>
      <c r="B789" s="96"/>
      <c r="C789" s="96"/>
      <c r="D789" s="96"/>
      <c r="E789" s="96"/>
    </row>
    <row r="790">
      <c r="A790" s="353"/>
      <c r="B790" s="96"/>
      <c r="C790" s="96"/>
      <c r="D790" s="96"/>
      <c r="E790" s="96"/>
    </row>
    <row r="791">
      <c r="A791" s="353"/>
      <c r="B791" s="96"/>
      <c r="C791" s="96"/>
      <c r="D791" s="96"/>
      <c r="E791" s="96"/>
    </row>
    <row r="792">
      <c r="A792" s="353"/>
      <c r="B792" s="96"/>
      <c r="C792" s="96"/>
      <c r="D792" s="96"/>
      <c r="E792" s="96"/>
    </row>
    <row r="793">
      <c r="A793" s="353"/>
      <c r="B793" s="96"/>
      <c r="C793" s="96"/>
      <c r="D793" s="96"/>
      <c r="E793" s="96"/>
    </row>
    <row r="794">
      <c r="A794" s="353"/>
      <c r="B794" s="96"/>
      <c r="C794" s="96"/>
      <c r="D794" s="96"/>
      <c r="E794" s="96"/>
    </row>
    <row r="795">
      <c r="A795" s="353"/>
      <c r="B795" s="96"/>
      <c r="C795" s="96"/>
      <c r="D795" s="96"/>
      <c r="E795" s="96"/>
    </row>
    <row r="796">
      <c r="A796" s="353"/>
      <c r="B796" s="96"/>
      <c r="C796" s="96"/>
      <c r="D796" s="96"/>
      <c r="E796" s="96"/>
    </row>
    <row r="797">
      <c r="A797" s="353"/>
      <c r="B797" s="96"/>
      <c r="C797" s="96"/>
      <c r="D797" s="96"/>
      <c r="E797" s="96"/>
    </row>
    <row r="798">
      <c r="A798" s="353"/>
      <c r="B798" s="96"/>
      <c r="C798" s="96"/>
      <c r="D798" s="96"/>
      <c r="E798" s="96"/>
    </row>
    <row r="799">
      <c r="A799" s="353"/>
      <c r="B799" s="96"/>
      <c r="C799" s="96"/>
      <c r="D799" s="96"/>
      <c r="E799" s="96"/>
    </row>
    <row r="800">
      <c r="A800" s="353"/>
      <c r="B800" s="96"/>
      <c r="C800" s="96"/>
      <c r="D800" s="96"/>
      <c r="E800" s="96"/>
    </row>
    <row r="801">
      <c r="A801" s="353"/>
      <c r="B801" s="96"/>
      <c r="C801" s="96"/>
      <c r="D801" s="96"/>
      <c r="E801" s="96"/>
    </row>
    <row r="802">
      <c r="A802" s="353"/>
      <c r="B802" s="96"/>
      <c r="C802" s="96"/>
      <c r="D802" s="96"/>
      <c r="E802" s="96"/>
    </row>
    <row r="803">
      <c r="A803" s="353"/>
      <c r="B803" s="96"/>
      <c r="C803" s="96"/>
      <c r="D803" s="96"/>
      <c r="E803" s="96"/>
    </row>
    <row r="804">
      <c r="A804" s="353"/>
      <c r="B804" s="96"/>
      <c r="C804" s="96"/>
      <c r="D804" s="96"/>
      <c r="E804" s="96"/>
    </row>
    <row r="805">
      <c r="A805" s="353"/>
      <c r="B805" s="96"/>
      <c r="C805" s="96"/>
      <c r="D805" s="96"/>
      <c r="E805" s="96"/>
    </row>
    <row r="806">
      <c r="A806" s="353"/>
      <c r="B806" s="96"/>
      <c r="C806" s="96"/>
      <c r="D806" s="96"/>
      <c r="E806" s="96"/>
    </row>
    <row r="807">
      <c r="A807" s="353"/>
      <c r="B807" s="96"/>
      <c r="C807" s="96"/>
      <c r="D807" s="96"/>
      <c r="E807" s="96"/>
    </row>
    <row r="808">
      <c r="A808" s="353"/>
      <c r="B808" s="96"/>
      <c r="C808" s="96"/>
      <c r="D808" s="96"/>
      <c r="E808" s="96"/>
    </row>
    <row r="809">
      <c r="A809" s="353"/>
      <c r="B809" s="96"/>
      <c r="C809" s="96"/>
      <c r="D809" s="96"/>
      <c r="E809" s="96"/>
    </row>
    <row r="810">
      <c r="A810" s="353"/>
      <c r="B810" s="96"/>
      <c r="C810" s="96"/>
      <c r="D810" s="96"/>
      <c r="E810" s="96"/>
    </row>
    <row r="811">
      <c r="A811" s="353"/>
      <c r="B811" s="96"/>
      <c r="C811" s="96"/>
      <c r="D811" s="96"/>
      <c r="E811" s="96"/>
    </row>
    <row r="812">
      <c r="A812" s="353"/>
      <c r="B812" s="96"/>
      <c r="C812" s="96"/>
      <c r="D812" s="96"/>
      <c r="E812" s="96"/>
    </row>
    <row r="813">
      <c r="A813" s="353"/>
      <c r="B813" s="96"/>
      <c r="C813" s="96"/>
      <c r="D813" s="96"/>
      <c r="E813" s="96"/>
    </row>
    <row r="814">
      <c r="A814" s="353"/>
      <c r="B814" s="96"/>
      <c r="C814" s="96"/>
      <c r="D814" s="96"/>
      <c r="E814" s="96"/>
    </row>
    <row r="815">
      <c r="A815" s="353"/>
      <c r="B815" s="96"/>
      <c r="C815" s="96"/>
      <c r="D815" s="96"/>
      <c r="E815" s="96"/>
    </row>
    <row r="816">
      <c r="A816" s="353"/>
      <c r="B816" s="96"/>
      <c r="C816" s="96"/>
      <c r="D816" s="96"/>
      <c r="E816" s="96"/>
    </row>
    <row r="817">
      <c r="A817" s="353"/>
      <c r="B817" s="96"/>
      <c r="C817" s="96"/>
      <c r="D817" s="96"/>
      <c r="E817" s="96"/>
    </row>
    <row r="818">
      <c r="A818" s="353"/>
      <c r="B818" s="96"/>
      <c r="C818" s="96"/>
      <c r="D818" s="96"/>
      <c r="E818" s="96"/>
    </row>
    <row r="819">
      <c r="A819" s="353"/>
      <c r="B819" s="96"/>
      <c r="C819" s="96"/>
      <c r="D819" s="96"/>
      <c r="E819" s="96"/>
    </row>
    <row r="820">
      <c r="A820" s="353"/>
      <c r="B820" s="96"/>
      <c r="C820" s="96"/>
      <c r="D820" s="96"/>
      <c r="E820" s="96"/>
    </row>
    <row r="821">
      <c r="A821" s="353"/>
      <c r="B821" s="96"/>
      <c r="C821" s="96"/>
      <c r="D821" s="96"/>
      <c r="E821" s="96"/>
    </row>
    <row r="822">
      <c r="A822" s="353"/>
      <c r="B822" s="96"/>
      <c r="C822" s="96"/>
      <c r="D822" s="96"/>
      <c r="E822" s="96"/>
    </row>
    <row r="823">
      <c r="A823" s="353"/>
      <c r="B823" s="96"/>
      <c r="C823" s="96"/>
      <c r="D823" s="96"/>
      <c r="E823" s="96"/>
    </row>
    <row r="824">
      <c r="A824" s="353"/>
      <c r="B824" s="96"/>
      <c r="C824" s="96"/>
      <c r="D824" s="96"/>
      <c r="E824" s="96"/>
    </row>
    <row r="825">
      <c r="A825" s="353"/>
      <c r="B825" s="96"/>
      <c r="C825" s="96"/>
      <c r="D825" s="96"/>
      <c r="E825" s="96"/>
    </row>
    <row r="826">
      <c r="A826" s="353"/>
      <c r="B826" s="96"/>
      <c r="C826" s="96"/>
      <c r="D826" s="96"/>
      <c r="E826" s="96"/>
    </row>
    <row r="827">
      <c r="A827" s="353"/>
      <c r="B827" s="96"/>
      <c r="C827" s="96"/>
      <c r="D827" s="96"/>
      <c r="E827" s="96"/>
    </row>
    <row r="828">
      <c r="A828" s="353"/>
      <c r="B828" s="96"/>
      <c r="C828" s="96"/>
      <c r="D828" s="96"/>
      <c r="E828" s="96"/>
    </row>
    <row r="829">
      <c r="A829" s="353"/>
      <c r="B829" s="96"/>
      <c r="C829" s="96"/>
      <c r="D829" s="96"/>
      <c r="E829" s="96"/>
    </row>
    <row r="830">
      <c r="A830" s="353"/>
      <c r="B830" s="96"/>
      <c r="C830" s="96"/>
      <c r="D830" s="96"/>
      <c r="E830" s="96"/>
    </row>
    <row r="831">
      <c r="A831" s="353"/>
      <c r="B831" s="96"/>
      <c r="C831" s="96"/>
      <c r="D831" s="96"/>
      <c r="E831" s="96"/>
    </row>
    <row r="832">
      <c r="A832" s="353"/>
      <c r="B832" s="96"/>
      <c r="C832" s="96"/>
      <c r="D832" s="96"/>
      <c r="E832" s="96"/>
    </row>
    <row r="833">
      <c r="A833" s="353"/>
      <c r="B833" s="96"/>
      <c r="C833" s="96"/>
      <c r="D833" s="96"/>
      <c r="E833" s="96"/>
    </row>
    <row r="834">
      <c r="A834" s="353"/>
      <c r="B834" s="96"/>
      <c r="C834" s="96"/>
      <c r="D834" s="96"/>
      <c r="E834" s="96"/>
    </row>
    <row r="835">
      <c r="A835" s="353"/>
      <c r="B835" s="96"/>
      <c r="C835" s="96"/>
      <c r="D835" s="96"/>
      <c r="E835" s="96"/>
    </row>
    <row r="836">
      <c r="A836" s="353"/>
      <c r="B836" s="96"/>
      <c r="C836" s="96"/>
      <c r="D836" s="96"/>
      <c r="E836" s="96"/>
    </row>
    <row r="837">
      <c r="A837" s="353"/>
      <c r="B837" s="96"/>
      <c r="C837" s="96"/>
      <c r="D837" s="96"/>
      <c r="E837" s="96"/>
    </row>
    <row r="838">
      <c r="A838" s="353"/>
      <c r="B838" s="96"/>
      <c r="C838" s="96"/>
      <c r="D838" s="96"/>
      <c r="E838" s="96"/>
    </row>
    <row r="839">
      <c r="A839" s="353"/>
      <c r="B839" s="96"/>
      <c r="C839" s="96"/>
      <c r="D839" s="96"/>
      <c r="E839" s="96"/>
    </row>
    <row r="840">
      <c r="A840" s="353"/>
      <c r="B840" s="96"/>
      <c r="C840" s="96"/>
      <c r="D840" s="96"/>
      <c r="E840" s="96"/>
    </row>
    <row r="841">
      <c r="A841" s="353"/>
      <c r="B841" s="96"/>
      <c r="C841" s="96"/>
      <c r="D841" s="96"/>
      <c r="E841" s="96"/>
    </row>
    <row r="842">
      <c r="A842" s="353"/>
      <c r="B842" s="96"/>
      <c r="C842" s="96"/>
      <c r="D842" s="96"/>
      <c r="E842" s="96"/>
    </row>
    <row r="843">
      <c r="A843" s="353"/>
      <c r="B843" s="96"/>
      <c r="C843" s="96"/>
      <c r="D843" s="96"/>
      <c r="E843" s="96"/>
    </row>
    <row r="844">
      <c r="A844" s="353"/>
      <c r="B844" s="96"/>
      <c r="C844" s="96"/>
      <c r="D844" s="96"/>
      <c r="E844" s="96"/>
    </row>
    <row r="845">
      <c r="A845" s="353"/>
      <c r="B845" s="96"/>
      <c r="C845" s="96"/>
      <c r="D845" s="96"/>
      <c r="E845" s="96"/>
    </row>
    <row r="846">
      <c r="A846" s="353"/>
      <c r="B846" s="96"/>
      <c r="C846" s="96"/>
      <c r="D846" s="96"/>
      <c r="E846" s="96"/>
    </row>
    <row r="847">
      <c r="A847" s="353"/>
      <c r="B847" s="96"/>
      <c r="C847" s="96"/>
      <c r="D847" s="96"/>
      <c r="E847" s="96"/>
    </row>
    <row r="848">
      <c r="A848" s="353"/>
      <c r="B848" s="96"/>
      <c r="C848" s="96"/>
      <c r="D848" s="96"/>
      <c r="E848" s="96"/>
    </row>
    <row r="849">
      <c r="A849" s="353"/>
      <c r="B849" s="96"/>
      <c r="C849" s="96"/>
      <c r="D849" s="96"/>
      <c r="E849" s="96"/>
    </row>
    <row r="850">
      <c r="A850" s="353"/>
      <c r="B850" s="96"/>
      <c r="C850" s="96"/>
      <c r="D850" s="96"/>
      <c r="E850" s="96"/>
    </row>
    <row r="851">
      <c r="A851" s="353"/>
      <c r="B851" s="96"/>
      <c r="C851" s="96"/>
      <c r="D851" s="96"/>
      <c r="E851" s="96"/>
    </row>
    <row r="852">
      <c r="A852" s="353"/>
      <c r="B852" s="96"/>
      <c r="C852" s="96"/>
      <c r="D852" s="96"/>
      <c r="E852" s="96"/>
    </row>
    <row r="853">
      <c r="A853" s="353"/>
      <c r="B853" s="96"/>
      <c r="C853" s="96"/>
      <c r="D853" s="96"/>
      <c r="E853" s="96"/>
    </row>
    <row r="854">
      <c r="A854" s="353"/>
      <c r="B854" s="96"/>
      <c r="C854" s="96"/>
      <c r="D854" s="96"/>
      <c r="E854" s="96"/>
    </row>
    <row r="855">
      <c r="A855" s="353"/>
      <c r="B855" s="96"/>
      <c r="C855" s="96"/>
      <c r="D855" s="96"/>
      <c r="E855" s="96"/>
    </row>
    <row r="856">
      <c r="A856" s="353"/>
      <c r="B856" s="96"/>
      <c r="C856" s="96"/>
      <c r="D856" s="96"/>
      <c r="E856" s="96"/>
    </row>
    <row r="857">
      <c r="A857" s="353"/>
      <c r="B857" s="96"/>
      <c r="C857" s="96"/>
      <c r="D857" s="96"/>
      <c r="E857" s="96"/>
    </row>
    <row r="858">
      <c r="A858" s="353"/>
      <c r="B858" s="96"/>
      <c r="C858" s="96"/>
      <c r="D858" s="96"/>
      <c r="E858" s="96"/>
    </row>
    <row r="859">
      <c r="A859" s="353"/>
      <c r="B859" s="96"/>
      <c r="C859" s="96"/>
      <c r="D859" s="96"/>
      <c r="E859" s="96"/>
    </row>
    <row r="860">
      <c r="A860" s="353"/>
      <c r="B860" s="96"/>
      <c r="C860" s="96"/>
      <c r="D860" s="96"/>
      <c r="E860" s="96"/>
    </row>
    <row r="861">
      <c r="A861" s="353"/>
      <c r="B861" s="96"/>
      <c r="C861" s="96"/>
      <c r="D861" s="96"/>
      <c r="E861" s="96"/>
    </row>
    <row r="862">
      <c r="A862" s="353"/>
      <c r="B862" s="96"/>
      <c r="C862" s="96"/>
      <c r="D862" s="96"/>
      <c r="E862" s="96"/>
    </row>
    <row r="863">
      <c r="A863" s="353"/>
      <c r="B863" s="96"/>
      <c r="C863" s="96"/>
      <c r="D863" s="96"/>
      <c r="E863" s="96"/>
    </row>
    <row r="864">
      <c r="A864" s="353"/>
      <c r="B864" s="96"/>
      <c r="C864" s="96"/>
      <c r="D864" s="96"/>
      <c r="E864" s="96"/>
    </row>
    <row r="865">
      <c r="A865" s="353"/>
      <c r="B865" s="96"/>
      <c r="C865" s="96"/>
      <c r="D865" s="96"/>
      <c r="E865" s="96"/>
    </row>
    <row r="866">
      <c r="A866" s="353"/>
      <c r="B866" s="96"/>
      <c r="C866" s="96"/>
      <c r="D866" s="96"/>
      <c r="E866" s="96"/>
    </row>
    <row r="867">
      <c r="A867" s="353"/>
      <c r="B867" s="96"/>
      <c r="C867" s="96"/>
      <c r="D867" s="96"/>
      <c r="E867" s="96"/>
    </row>
    <row r="868">
      <c r="A868" s="353"/>
      <c r="B868" s="96"/>
      <c r="C868" s="96"/>
      <c r="D868" s="96"/>
      <c r="E868" s="96"/>
    </row>
    <row r="869">
      <c r="A869" s="353"/>
      <c r="B869" s="96"/>
      <c r="C869" s="96"/>
      <c r="D869" s="96"/>
      <c r="E869" s="96"/>
    </row>
    <row r="870">
      <c r="A870" s="353"/>
      <c r="B870" s="96"/>
      <c r="C870" s="96"/>
      <c r="D870" s="96"/>
      <c r="E870" s="96"/>
    </row>
    <row r="871">
      <c r="A871" s="353"/>
      <c r="B871" s="96"/>
      <c r="C871" s="96"/>
      <c r="D871" s="96"/>
      <c r="E871" s="96"/>
    </row>
    <row r="872">
      <c r="A872" s="353"/>
      <c r="B872" s="96"/>
      <c r="C872" s="96"/>
      <c r="D872" s="96"/>
      <c r="E872" s="96"/>
    </row>
    <row r="873">
      <c r="A873" s="353"/>
      <c r="B873" s="96"/>
      <c r="C873" s="96"/>
      <c r="D873" s="96"/>
      <c r="E873" s="96"/>
    </row>
    <row r="874">
      <c r="A874" s="353"/>
      <c r="B874" s="96"/>
      <c r="C874" s="96"/>
      <c r="D874" s="96"/>
      <c r="E874" s="96"/>
    </row>
    <row r="875">
      <c r="A875" s="353"/>
      <c r="B875" s="96"/>
      <c r="C875" s="96"/>
      <c r="D875" s="96"/>
      <c r="E875" s="96"/>
    </row>
    <row r="876">
      <c r="A876" s="353"/>
      <c r="B876" s="96"/>
      <c r="C876" s="96"/>
      <c r="D876" s="96"/>
      <c r="E876" s="96"/>
    </row>
    <row r="877">
      <c r="A877" s="353"/>
      <c r="B877" s="96"/>
      <c r="C877" s="96"/>
      <c r="D877" s="96"/>
      <c r="E877" s="96"/>
    </row>
    <row r="878">
      <c r="A878" s="353"/>
      <c r="B878" s="96"/>
      <c r="C878" s="96"/>
      <c r="D878" s="96"/>
      <c r="E878" s="96"/>
    </row>
    <row r="879">
      <c r="A879" s="353"/>
      <c r="B879" s="96"/>
      <c r="C879" s="96"/>
      <c r="D879" s="96"/>
      <c r="E879" s="96"/>
    </row>
    <row r="880">
      <c r="A880" s="353"/>
      <c r="B880" s="96"/>
      <c r="C880" s="96"/>
      <c r="D880" s="96"/>
      <c r="E880" s="96"/>
    </row>
    <row r="881">
      <c r="A881" s="353"/>
      <c r="B881" s="96"/>
      <c r="C881" s="96"/>
      <c r="D881" s="96"/>
      <c r="E881" s="96"/>
    </row>
    <row r="882">
      <c r="A882" s="353"/>
      <c r="B882" s="96"/>
      <c r="C882" s="96"/>
      <c r="D882" s="96"/>
      <c r="E882" s="96"/>
    </row>
    <row r="883">
      <c r="A883" s="353"/>
      <c r="B883" s="96"/>
      <c r="C883" s="96"/>
      <c r="D883" s="96"/>
      <c r="E883" s="96"/>
    </row>
    <row r="884">
      <c r="A884" s="353"/>
      <c r="B884" s="96"/>
      <c r="C884" s="96"/>
      <c r="D884" s="96"/>
      <c r="E884" s="96"/>
    </row>
    <row r="885">
      <c r="A885" s="353"/>
      <c r="B885" s="96"/>
      <c r="C885" s="96"/>
      <c r="D885" s="96"/>
      <c r="E885" s="96"/>
    </row>
    <row r="886">
      <c r="A886" s="353"/>
      <c r="B886" s="96"/>
      <c r="C886" s="96"/>
      <c r="D886" s="96"/>
      <c r="E886" s="96"/>
    </row>
    <row r="887">
      <c r="A887" s="353"/>
      <c r="B887" s="96"/>
      <c r="C887" s="96"/>
      <c r="D887" s="96"/>
      <c r="E887" s="96"/>
    </row>
    <row r="888">
      <c r="A888" s="353"/>
      <c r="B888" s="96"/>
      <c r="C888" s="96"/>
      <c r="D888" s="96"/>
      <c r="E888" s="96"/>
    </row>
    <row r="889">
      <c r="A889" s="353"/>
      <c r="B889" s="96"/>
      <c r="C889" s="96"/>
      <c r="D889" s="96"/>
      <c r="E889" s="96"/>
    </row>
    <row r="890">
      <c r="A890" s="353"/>
      <c r="B890" s="96"/>
      <c r="C890" s="96"/>
      <c r="D890" s="96"/>
      <c r="E890" s="96"/>
    </row>
    <row r="891">
      <c r="A891" s="353"/>
      <c r="B891" s="96"/>
      <c r="C891" s="96"/>
      <c r="D891" s="96"/>
      <c r="E891" s="96"/>
    </row>
    <row r="892">
      <c r="A892" s="353"/>
      <c r="B892" s="96"/>
      <c r="C892" s="96"/>
      <c r="D892" s="96"/>
      <c r="E892" s="96"/>
    </row>
    <row r="893">
      <c r="A893" s="353"/>
      <c r="B893" s="96"/>
      <c r="C893" s="96"/>
      <c r="D893" s="96"/>
      <c r="E893" s="96"/>
    </row>
    <row r="894">
      <c r="A894" s="353"/>
      <c r="B894" s="96"/>
      <c r="C894" s="96"/>
      <c r="D894" s="96"/>
      <c r="E894" s="96"/>
    </row>
    <row r="895">
      <c r="A895" s="353"/>
      <c r="B895" s="96"/>
      <c r="C895" s="96"/>
      <c r="D895" s="96"/>
      <c r="E895" s="96"/>
    </row>
    <row r="896">
      <c r="A896" s="353"/>
      <c r="B896" s="96"/>
      <c r="C896" s="96"/>
      <c r="D896" s="96"/>
      <c r="E896" s="96"/>
    </row>
    <row r="897">
      <c r="A897" s="353"/>
      <c r="B897" s="96"/>
      <c r="C897" s="96"/>
      <c r="D897" s="96"/>
      <c r="E897" s="96"/>
    </row>
    <row r="898">
      <c r="A898" s="353"/>
      <c r="B898" s="96"/>
      <c r="C898" s="96"/>
      <c r="D898" s="96"/>
      <c r="E898" s="96"/>
    </row>
    <row r="899">
      <c r="A899" s="353"/>
      <c r="B899" s="96"/>
      <c r="C899" s="96"/>
      <c r="D899" s="96"/>
      <c r="E899" s="96"/>
    </row>
    <row r="900">
      <c r="A900" s="353"/>
      <c r="B900" s="96"/>
      <c r="C900" s="96"/>
      <c r="D900" s="96"/>
      <c r="E900" s="96"/>
    </row>
    <row r="901">
      <c r="A901" s="353"/>
      <c r="B901" s="96"/>
      <c r="C901" s="96"/>
      <c r="D901" s="96"/>
      <c r="E901" s="96"/>
    </row>
    <row r="902">
      <c r="A902" s="353"/>
      <c r="B902" s="96"/>
      <c r="C902" s="96"/>
      <c r="D902" s="96"/>
      <c r="E902" s="96"/>
    </row>
    <row r="903">
      <c r="A903" s="353"/>
      <c r="B903" s="96"/>
      <c r="C903" s="96"/>
      <c r="D903" s="96"/>
      <c r="E903" s="96"/>
    </row>
    <row r="904">
      <c r="A904" s="353"/>
      <c r="B904" s="96"/>
      <c r="C904" s="96"/>
      <c r="D904" s="96"/>
      <c r="E904" s="96"/>
    </row>
    <row r="905">
      <c r="A905" s="353"/>
      <c r="B905" s="96"/>
      <c r="C905" s="96"/>
      <c r="D905" s="96"/>
      <c r="E905" s="96"/>
    </row>
    <row r="906">
      <c r="A906" s="353"/>
      <c r="B906" s="96"/>
      <c r="C906" s="96"/>
      <c r="D906" s="96"/>
      <c r="E906" s="96"/>
    </row>
    <row r="907">
      <c r="A907" s="353"/>
      <c r="B907" s="96"/>
      <c r="C907" s="96"/>
      <c r="D907" s="96"/>
      <c r="E907" s="96"/>
    </row>
    <row r="908">
      <c r="A908" s="353"/>
      <c r="B908" s="96"/>
      <c r="C908" s="96"/>
      <c r="D908" s="96"/>
      <c r="E908" s="96"/>
    </row>
    <row r="909">
      <c r="A909" s="353"/>
      <c r="B909" s="96"/>
      <c r="C909" s="96"/>
      <c r="D909" s="96"/>
      <c r="E909" s="96"/>
    </row>
    <row r="910">
      <c r="A910" s="353"/>
      <c r="B910" s="96"/>
      <c r="C910" s="96"/>
      <c r="D910" s="96"/>
      <c r="E910" s="96"/>
    </row>
    <row r="911">
      <c r="A911" s="353"/>
      <c r="B911" s="96"/>
      <c r="C911" s="96"/>
      <c r="D911" s="96"/>
      <c r="E911" s="96"/>
    </row>
    <row r="912">
      <c r="A912" s="353"/>
      <c r="B912" s="96"/>
      <c r="C912" s="96"/>
      <c r="D912" s="96"/>
      <c r="E912" s="96"/>
    </row>
    <row r="913">
      <c r="A913" s="353"/>
      <c r="B913" s="96"/>
      <c r="C913" s="96"/>
      <c r="D913" s="96"/>
      <c r="E913" s="96"/>
    </row>
    <row r="914">
      <c r="A914" s="353"/>
      <c r="B914" s="96"/>
      <c r="C914" s="96"/>
      <c r="D914" s="96"/>
      <c r="E914" s="96"/>
    </row>
    <row r="915">
      <c r="A915" s="353"/>
      <c r="B915" s="96"/>
      <c r="C915" s="96"/>
      <c r="D915" s="96"/>
      <c r="E915" s="96"/>
    </row>
    <row r="916">
      <c r="A916" s="353"/>
      <c r="B916" s="96"/>
      <c r="C916" s="96"/>
      <c r="D916" s="96"/>
      <c r="E916" s="96"/>
    </row>
    <row r="917">
      <c r="A917" s="353"/>
      <c r="B917" s="96"/>
      <c r="C917" s="96"/>
      <c r="D917" s="96"/>
      <c r="E917" s="96"/>
    </row>
    <row r="918">
      <c r="A918" s="353"/>
      <c r="B918" s="96"/>
      <c r="C918" s="96"/>
      <c r="D918" s="96"/>
      <c r="E918" s="96"/>
    </row>
    <row r="919">
      <c r="A919" s="353"/>
      <c r="B919" s="96"/>
      <c r="C919" s="96"/>
      <c r="D919" s="96"/>
      <c r="E919" s="96"/>
    </row>
    <row r="920">
      <c r="A920" s="353"/>
      <c r="B920" s="96"/>
      <c r="C920" s="96"/>
      <c r="D920" s="96"/>
      <c r="E920" s="96"/>
    </row>
    <row r="921">
      <c r="A921" s="353"/>
      <c r="B921" s="96"/>
      <c r="C921" s="96"/>
      <c r="D921" s="96"/>
      <c r="E921" s="96"/>
    </row>
    <row r="922">
      <c r="A922" s="353"/>
      <c r="B922" s="96"/>
      <c r="C922" s="96"/>
      <c r="D922" s="96"/>
      <c r="E922" s="96"/>
    </row>
    <row r="923">
      <c r="A923" s="353"/>
      <c r="B923" s="96"/>
      <c r="C923" s="96"/>
      <c r="D923" s="96"/>
      <c r="E923" s="96"/>
    </row>
    <row r="924">
      <c r="A924" s="353"/>
      <c r="B924" s="96"/>
      <c r="C924" s="96"/>
      <c r="D924" s="96"/>
      <c r="E924" s="96"/>
    </row>
    <row r="925">
      <c r="A925" s="353"/>
      <c r="B925" s="96"/>
      <c r="C925" s="96"/>
      <c r="D925" s="96"/>
      <c r="E925" s="96"/>
    </row>
    <row r="926">
      <c r="A926" s="353"/>
      <c r="B926" s="96"/>
      <c r="C926" s="96"/>
      <c r="D926" s="96"/>
      <c r="E926" s="96"/>
    </row>
    <row r="927">
      <c r="A927" s="353"/>
      <c r="B927" s="96"/>
      <c r="C927" s="96"/>
      <c r="D927" s="96"/>
      <c r="E927" s="96"/>
    </row>
    <row r="928">
      <c r="A928" s="353"/>
      <c r="B928" s="96"/>
      <c r="C928" s="96"/>
      <c r="D928" s="96"/>
      <c r="E928" s="96"/>
    </row>
    <row r="929">
      <c r="A929" s="353"/>
      <c r="B929" s="96"/>
      <c r="C929" s="96"/>
      <c r="D929" s="96"/>
      <c r="E929" s="96"/>
    </row>
    <row r="930">
      <c r="A930" s="353"/>
      <c r="B930" s="96"/>
      <c r="C930" s="96"/>
      <c r="D930" s="96"/>
      <c r="E930" s="96"/>
    </row>
    <row r="931">
      <c r="A931" s="353"/>
      <c r="B931" s="96"/>
      <c r="C931" s="96"/>
      <c r="D931" s="96"/>
      <c r="E931" s="96"/>
    </row>
    <row r="932">
      <c r="A932" s="353"/>
      <c r="B932" s="96"/>
      <c r="C932" s="96"/>
      <c r="D932" s="96"/>
      <c r="E932" s="96"/>
    </row>
    <row r="933">
      <c r="A933" s="353"/>
      <c r="B933" s="96"/>
      <c r="C933" s="96"/>
      <c r="D933" s="96"/>
      <c r="E933" s="96"/>
    </row>
    <row r="934">
      <c r="A934" s="353"/>
      <c r="B934" s="96"/>
      <c r="C934" s="96"/>
      <c r="D934" s="96"/>
      <c r="E934" s="96"/>
    </row>
    <row r="935">
      <c r="A935" s="353"/>
      <c r="B935" s="96"/>
      <c r="C935" s="96"/>
      <c r="D935" s="96"/>
      <c r="E935" s="96"/>
    </row>
    <row r="936">
      <c r="A936" s="353"/>
      <c r="B936" s="96"/>
      <c r="C936" s="96"/>
      <c r="D936" s="96"/>
      <c r="E936" s="96"/>
    </row>
    <row r="937">
      <c r="A937" s="353"/>
      <c r="B937" s="96"/>
      <c r="C937" s="96"/>
      <c r="D937" s="96"/>
      <c r="E937" s="96"/>
    </row>
    <row r="938">
      <c r="A938" s="353"/>
      <c r="B938" s="96"/>
      <c r="C938" s="96"/>
      <c r="D938" s="96"/>
      <c r="E938" s="96"/>
    </row>
    <row r="939">
      <c r="A939" s="353"/>
      <c r="B939" s="96"/>
      <c r="C939" s="96"/>
      <c r="D939" s="96"/>
      <c r="E939" s="96"/>
    </row>
    <row r="940">
      <c r="A940" s="353"/>
      <c r="B940" s="96"/>
      <c r="C940" s="96"/>
      <c r="D940" s="96"/>
      <c r="E940" s="96"/>
    </row>
    <row r="941">
      <c r="A941" s="353"/>
      <c r="B941" s="96"/>
      <c r="C941" s="96"/>
      <c r="D941" s="96"/>
      <c r="E941" s="96"/>
    </row>
    <row r="942">
      <c r="A942" s="353"/>
      <c r="B942" s="96"/>
      <c r="C942" s="96"/>
      <c r="D942" s="96"/>
      <c r="E942" s="96"/>
    </row>
    <row r="943">
      <c r="A943" s="353"/>
      <c r="B943" s="96"/>
      <c r="C943" s="96"/>
      <c r="D943" s="96"/>
      <c r="E943" s="96"/>
    </row>
    <row r="944">
      <c r="A944" s="353"/>
      <c r="B944" s="96"/>
      <c r="C944" s="96"/>
      <c r="D944" s="96"/>
      <c r="E944" s="96"/>
    </row>
    <row r="945">
      <c r="A945" s="353"/>
      <c r="B945" s="96"/>
      <c r="C945" s="96"/>
      <c r="D945" s="96"/>
      <c r="E945" s="96"/>
    </row>
    <row r="946">
      <c r="A946" s="353"/>
      <c r="B946" s="96"/>
      <c r="C946" s="96"/>
      <c r="D946" s="96"/>
      <c r="E946" s="96"/>
    </row>
    <row r="947">
      <c r="A947" s="353"/>
      <c r="B947" s="96"/>
      <c r="C947" s="96"/>
      <c r="D947" s="96"/>
      <c r="E947" s="96"/>
    </row>
    <row r="948">
      <c r="A948" s="353"/>
      <c r="B948" s="96"/>
      <c r="C948" s="96"/>
      <c r="D948" s="96"/>
      <c r="E948" s="96"/>
    </row>
    <row r="949">
      <c r="A949" s="353"/>
      <c r="B949" s="96"/>
      <c r="C949" s="96"/>
      <c r="D949" s="96"/>
      <c r="E949" s="96"/>
    </row>
    <row r="950">
      <c r="A950" s="353"/>
      <c r="B950" s="96"/>
      <c r="C950" s="96"/>
      <c r="D950" s="96"/>
      <c r="E950" s="96"/>
    </row>
    <row r="951">
      <c r="A951" s="353"/>
      <c r="B951" s="96"/>
      <c r="C951" s="96"/>
      <c r="D951" s="96"/>
      <c r="E951" s="96"/>
    </row>
    <row r="952">
      <c r="A952" s="353"/>
      <c r="B952" s="96"/>
      <c r="C952" s="96"/>
      <c r="D952" s="96"/>
      <c r="E952" s="96"/>
    </row>
    <row r="953">
      <c r="A953" s="353"/>
      <c r="B953" s="96"/>
      <c r="C953" s="96"/>
      <c r="D953" s="96"/>
      <c r="E953" s="96"/>
    </row>
    <row r="954">
      <c r="A954" s="353"/>
      <c r="B954" s="96"/>
      <c r="C954" s="96"/>
      <c r="D954" s="96"/>
      <c r="E954" s="96"/>
    </row>
    <row r="955">
      <c r="A955" s="353"/>
      <c r="B955" s="96"/>
      <c r="C955" s="96"/>
      <c r="D955" s="96"/>
      <c r="E955" s="96"/>
    </row>
    <row r="956">
      <c r="A956" s="353"/>
      <c r="B956" s="96"/>
      <c r="C956" s="96"/>
      <c r="D956" s="96"/>
      <c r="E956" s="96"/>
    </row>
    <row r="957">
      <c r="A957" s="353"/>
      <c r="B957" s="96"/>
      <c r="C957" s="96"/>
      <c r="D957" s="96"/>
      <c r="E957" s="96"/>
    </row>
    <row r="958">
      <c r="A958" s="353"/>
      <c r="B958" s="96"/>
      <c r="C958" s="96"/>
      <c r="D958" s="96"/>
      <c r="E958" s="96"/>
    </row>
    <row r="959">
      <c r="A959" s="353"/>
      <c r="B959" s="96"/>
      <c r="C959" s="96"/>
      <c r="D959" s="96"/>
      <c r="E959" s="96"/>
    </row>
    <row r="960">
      <c r="A960" s="353"/>
      <c r="B960" s="96"/>
      <c r="C960" s="96"/>
      <c r="D960" s="96"/>
      <c r="E960" s="96"/>
    </row>
    <row r="961">
      <c r="A961" s="353"/>
      <c r="B961" s="96"/>
      <c r="C961" s="96"/>
      <c r="D961" s="96"/>
      <c r="E961" s="96"/>
    </row>
    <row r="962">
      <c r="A962" s="353"/>
      <c r="B962" s="96"/>
      <c r="C962" s="96"/>
      <c r="D962" s="96"/>
      <c r="E962" s="96"/>
    </row>
    <row r="963">
      <c r="A963" s="353"/>
      <c r="B963" s="96"/>
      <c r="C963" s="96"/>
      <c r="D963" s="96"/>
      <c r="E963" s="96"/>
    </row>
    <row r="964">
      <c r="A964" s="353"/>
      <c r="B964" s="96"/>
      <c r="C964" s="96"/>
      <c r="D964" s="96"/>
      <c r="E964" s="96"/>
    </row>
    <row r="965">
      <c r="A965" s="353"/>
      <c r="B965" s="96"/>
      <c r="C965" s="96"/>
      <c r="D965" s="96"/>
      <c r="E965" s="96"/>
    </row>
    <row r="966">
      <c r="A966" s="353"/>
      <c r="B966" s="96"/>
      <c r="C966" s="96"/>
      <c r="D966" s="96"/>
      <c r="E966" s="96"/>
    </row>
    <row r="967">
      <c r="A967" s="353"/>
      <c r="B967" s="96"/>
      <c r="C967" s="96"/>
      <c r="D967" s="96"/>
      <c r="E967" s="96"/>
    </row>
    <row r="968">
      <c r="A968" s="353"/>
      <c r="B968" s="96"/>
      <c r="C968" s="96"/>
      <c r="D968" s="96"/>
      <c r="E968" s="96"/>
    </row>
    <row r="969">
      <c r="A969" s="353"/>
      <c r="B969" s="96"/>
      <c r="C969" s="96"/>
      <c r="D969" s="96"/>
      <c r="E969" s="96"/>
    </row>
    <row r="970">
      <c r="A970" s="353"/>
      <c r="B970" s="96"/>
      <c r="C970" s="96"/>
      <c r="D970" s="96"/>
      <c r="E970" s="96"/>
    </row>
    <row r="971">
      <c r="A971" s="353"/>
      <c r="B971" s="96"/>
      <c r="C971" s="96"/>
      <c r="D971" s="96"/>
      <c r="E971" s="96"/>
    </row>
    <row r="972">
      <c r="A972" s="353"/>
      <c r="B972" s="96"/>
      <c r="C972" s="96"/>
      <c r="D972" s="96"/>
      <c r="E972" s="96"/>
    </row>
    <row r="973">
      <c r="A973" s="353"/>
      <c r="B973" s="96"/>
      <c r="C973" s="96"/>
      <c r="D973" s="96"/>
      <c r="E973" s="96"/>
    </row>
    <row r="974">
      <c r="A974" s="353"/>
      <c r="B974" s="96"/>
      <c r="C974" s="96"/>
      <c r="D974" s="96"/>
      <c r="E974" s="96"/>
    </row>
    <row r="975">
      <c r="A975" s="353"/>
      <c r="B975" s="96"/>
      <c r="C975" s="96"/>
      <c r="D975" s="96"/>
      <c r="E975" s="96"/>
    </row>
    <row r="976">
      <c r="A976" s="353"/>
      <c r="B976" s="96"/>
      <c r="C976" s="96"/>
      <c r="D976" s="96"/>
      <c r="E976" s="96"/>
    </row>
    <row r="977">
      <c r="A977" s="353"/>
      <c r="B977" s="96"/>
      <c r="C977" s="96"/>
      <c r="D977" s="96"/>
      <c r="E977" s="96"/>
    </row>
    <row r="978">
      <c r="A978" s="353"/>
      <c r="B978" s="96"/>
      <c r="C978" s="96"/>
      <c r="D978" s="96"/>
      <c r="E978" s="96"/>
    </row>
    <row r="979">
      <c r="A979" s="353"/>
      <c r="B979" s="96"/>
      <c r="C979" s="96"/>
      <c r="D979" s="96"/>
      <c r="E979" s="96"/>
    </row>
    <row r="980">
      <c r="A980" s="353"/>
      <c r="B980" s="96"/>
      <c r="C980" s="96"/>
      <c r="D980" s="96"/>
      <c r="E980" s="96"/>
    </row>
    <row r="981">
      <c r="A981" s="353"/>
      <c r="B981" s="96"/>
      <c r="C981" s="96"/>
      <c r="D981" s="96"/>
      <c r="E981" s="96"/>
    </row>
    <row r="982">
      <c r="A982" s="353"/>
      <c r="B982" s="96"/>
      <c r="C982" s="96"/>
      <c r="D982" s="96"/>
      <c r="E982" s="96"/>
    </row>
    <row r="983">
      <c r="A983" s="353"/>
      <c r="B983" s="96"/>
      <c r="C983" s="96"/>
      <c r="D983" s="96"/>
      <c r="E983" s="96"/>
    </row>
    <row r="984">
      <c r="A984" s="353"/>
      <c r="B984" s="96"/>
      <c r="C984" s="96"/>
      <c r="D984" s="96"/>
      <c r="E984" s="96"/>
    </row>
    <row r="985">
      <c r="A985" s="353"/>
      <c r="B985" s="96"/>
      <c r="C985" s="96"/>
      <c r="D985" s="96"/>
      <c r="E985" s="96"/>
    </row>
    <row r="986">
      <c r="A986" s="353"/>
      <c r="B986" s="96"/>
      <c r="C986" s="96"/>
      <c r="D986" s="96"/>
      <c r="E986" s="96"/>
    </row>
    <row r="987">
      <c r="A987" s="353"/>
      <c r="B987" s="96"/>
      <c r="C987" s="96"/>
      <c r="D987" s="96"/>
      <c r="E987" s="96"/>
    </row>
    <row r="988">
      <c r="A988" s="353"/>
      <c r="B988" s="96"/>
      <c r="C988" s="96"/>
      <c r="D988" s="96"/>
      <c r="E988" s="96"/>
    </row>
    <row r="989">
      <c r="A989" s="353"/>
      <c r="B989" s="96"/>
      <c r="C989" s="96"/>
      <c r="D989" s="96"/>
      <c r="E989" s="96"/>
    </row>
    <row r="990">
      <c r="A990" s="353"/>
      <c r="B990" s="96"/>
      <c r="C990" s="96"/>
      <c r="D990" s="96"/>
      <c r="E990" s="96"/>
    </row>
    <row r="991">
      <c r="A991" s="353"/>
      <c r="B991" s="96"/>
      <c r="C991" s="96"/>
      <c r="D991" s="96"/>
      <c r="E991" s="96"/>
    </row>
    <row r="992">
      <c r="A992" s="353"/>
      <c r="B992" s="96"/>
      <c r="C992" s="96"/>
      <c r="D992" s="96"/>
      <c r="E992" s="96"/>
    </row>
    <row r="993">
      <c r="A993" s="353"/>
      <c r="B993" s="96"/>
      <c r="C993" s="96"/>
      <c r="D993" s="96"/>
      <c r="E993" s="96"/>
    </row>
    <row r="994">
      <c r="A994" s="353"/>
      <c r="B994" s="96"/>
      <c r="C994" s="96"/>
      <c r="D994" s="96"/>
      <c r="E994" s="96"/>
    </row>
    <row r="995">
      <c r="A995" s="353"/>
      <c r="B995" s="96"/>
      <c r="C995" s="96"/>
      <c r="D995" s="96"/>
      <c r="E995" s="96"/>
    </row>
    <row r="996">
      <c r="A996" s="353"/>
      <c r="B996" s="96"/>
      <c r="C996" s="96"/>
      <c r="D996" s="96"/>
      <c r="E996" s="96"/>
    </row>
    <row r="997">
      <c r="A997" s="353"/>
      <c r="B997" s="96"/>
      <c r="C997" s="96"/>
      <c r="D997" s="96"/>
      <c r="E997" s="96"/>
    </row>
    <row r="998">
      <c r="A998" s="353"/>
      <c r="B998" s="96"/>
      <c r="C998" s="96"/>
      <c r="D998" s="96"/>
      <c r="E998" s="96"/>
    </row>
    <row r="999">
      <c r="A999" s="353"/>
      <c r="B999" s="96"/>
      <c r="C999" s="96"/>
      <c r="D999" s="96"/>
      <c r="E999" s="96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38"/>
    <col customWidth="1" min="15" max="15" width="17.13"/>
  </cols>
  <sheetData>
    <row r="2">
      <c r="B2" s="96" t="str">
        <f>IFERROR(__xludf.DUMMYFUNCTION("QUERY(PreFinance!A2:S1502,""SELECT A,B,C,E,F,G,H,I,J,M,N,O,P,K,Q,R,S"",1)"),"COUNT")</f>
        <v>COUNT</v>
      </c>
      <c r="C2" s="96" t="str">
        <f>IFERROR(__xludf.DUMMYFUNCTION("""COMPUTED_VALUE"""),"DATE")</f>
        <v>DATE</v>
      </c>
      <c r="D2" s="96" t="str">
        <f>IFERROR(__xludf.DUMMYFUNCTION("""COMPUTED_VALUE"""),"NAMES")</f>
        <v>NAMES</v>
      </c>
      <c r="E2" s="96" t="str">
        <f>IFERROR(__xludf.DUMMYFUNCTION("""COMPUTED_VALUE"""),"GROSS WT")</f>
        <v>GROSS WT</v>
      </c>
      <c r="F2" s="96" t="str">
        <f>IFERROR(__xludf.DUMMYFUNCTION("""COMPUTED_VALUE"""),"TOTAL MST")</f>
        <v>TOTAL MST</v>
      </c>
      <c r="G2" s="96" t="str">
        <f>IFERROR(__xludf.DUMMYFUNCTION("""COMPUTED_VALUE"""),"QTY")</f>
        <v>QTY</v>
      </c>
      <c r="H2" s="96" t="str">
        <f>IFERROR(__xludf.DUMMYFUNCTION("""COMPUTED_VALUE"""),"TOTAL BAGS")</f>
        <v>TOTAL BAGS</v>
      </c>
      <c r="I2" s="96" t="str">
        <f>IFERROR(__xludf.DUMMYFUNCTION("""COMPUTED_VALUE""")," CHINA BAGS")</f>
        <v> CHINA BAGS</v>
      </c>
      <c r="J2" s="96" t="str">
        <f>IFERROR(__xludf.DUMMYFUNCTION("""COMPUTED_VALUE"""),"UNIT PRC")</f>
        <v>UNIT PRC</v>
      </c>
      <c r="K2" s="96" t="str">
        <f>IFERROR(__xludf.DUMMYFUNCTION("""COMPUTED_VALUE"""),"A M")</f>
        <v>A M</v>
      </c>
      <c r="L2" s="96" t="str">
        <f>IFERROR(__xludf.DUMMYFUNCTION("""COMPUTED_VALUE"""),"MSTRE DISCT")</f>
        <v>MSTRE DISCT</v>
      </c>
      <c r="M2" s="96" t="str">
        <f>IFERROR(__xludf.DUMMYFUNCTION("""COMPUTED_VALUE"""),"BAGS")</f>
        <v>BAGS</v>
      </c>
      <c r="N2" s="96" t="str">
        <f>IFERROR(__xludf.DUMMYFUNCTION("""COMPUTED_VALUE"""),"KGS")</f>
        <v>KGS</v>
      </c>
      <c r="O2" s="96" t="str">
        <f>IFERROR(__xludf.DUMMYFUNCTION("""COMPUTED_VALUE"""),"ADVANCE")</f>
        <v>ADVANCE</v>
      </c>
      <c r="P2" s="96" t="str">
        <f>IFERROR(__xludf.DUMMYFUNCTION("""COMPUTED_VALUE"""),"PAYABLE")</f>
        <v>PAYABLE</v>
      </c>
      <c r="Q2" s="96" t="str">
        <f>IFERROR(__xludf.DUMMYFUNCTION("""COMPUTED_VALUE"""),"AMT")</f>
        <v>AMT</v>
      </c>
      <c r="R2" s="96" t="str">
        <f>IFERROR(__xludf.DUMMYFUNCTION("""COMPUTED_VALUE"""),"RUNNING BAL")</f>
        <v>RUNNING BAL</v>
      </c>
    </row>
    <row r="3">
      <c r="B3" s="96">
        <f>IFERROR(__xludf.DUMMYFUNCTION("""COMPUTED_VALUE"""),1.0)</f>
        <v>1</v>
      </c>
      <c r="C3" s="98">
        <f>IFERROR(__xludf.DUMMYFUNCTION("""COMPUTED_VALUE"""),43743.0)</f>
        <v>43743</v>
      </c>
      <c r="D3" s="96" t="str">
        <f>IFERROR(__xludf.DUMMYFUNCTION("""COMPUTED_VALUE"""),"EDWARD OKO")</f>
        <v>EDWARD OKO</v>
      </c>
      <c r="E3" s="96"/>
      <c r="F3" s="96"/>
      <c r="G3" s="96"/>
      <c r="H3" s="96"/>
      <c r="I3" s="96"/>
      <c r="J3" s="96"/>
      <c r="K3" s="96"/>
      <c r="L3" s="96">
        <f>IFERROR(__xludf.DUMMYFUNCTION("""COMPUTED_VALUE"""),0.0)</f>
        <v>0</v>
      </c>
      <c r="M3" s="96">
        <f>IFERROR(__xludf.DUMMYFUNCTION("""COMPUTED_VALUE"""),0.0)</f>
        <v>0</v>
      </c>
      <c r="N3" s="96">
        <f>IFERROR(__xludf.DUMMYFUNCTION("""COMPUTED_VALUE"""),0.0)</f>
        <v>0</v>
      </c>
      <c r="O3" s="96">
        <f>IFERROR(__xludf.DUMMYFUNCTION("""COMPUTED_VALUE"""),521000.0)</f>
        <v>521000</v>
      </c>
      <c r="P3" s="129">
        <f>IFERROR(__xludf.DUMMYFUNCTION("""COMPUTED_VALUE"""),0.0)</f>
        <v>0</v>
      </c>
      <c r="Q3" s="99"/>
      <c r="R3" s="99">
        <f>IFERROR(__xludf.DUMMYFUNCTION("""COMPUTED_VALUE"""),521000.0)</f>
        <v>521000</v>
      </c>
    </row>
    <row r="4">
      <c r="B4" s="96">
        <f>IFERROR(__xludf.DUMMYFUNCTION("""COMPUTED_VALUE"""),1.0)</f>
        <v>1</v>
      </c>
      <c r="C4" s="98">
        <f>IFERROR(__xludf.DUMMYFUNCTION("""COMPUTED_VALUE"""),43743.0)</f>
        <v>43743</v>
      </c>
      <c r="D4" s="96" t="str">
        <f>IFERROR(__xludf.DUMMYFUNCTION("""COMPUTED_VALUE"""),"INT OTU")</f>
        <v>INT OTU</v>
      </c>
      <c r="E4" s="96"/>
      <c r="F4" s="96"/>
      <c r="G4" s="96"/>
      <c r="H4" s="96"/>
      <c r="I4" s="96"/>
      <c r="J4" s="96"/>
      <c r="K4" s="96"/>
      <c r="L4" s="96">
        <f>IFERROR(__xludf.DUMMYFUNCTION("""COMPUTED_VALUE"""),0.0)</f>
        <v>0</v>
      </c>
      <c r="M4" s="96">
        <f>IFERROR(__xludf.DUMMYFUNCTION("""COMPUTED_VALUE"""),0.0)</f>
        <v>0</v>
      </c>
      <c r="N4" s="96">
        <f>IFERROR(__xludf.DUMMYFUNCTION("""COMPUTED_VALUE"""),0.0)</f>
        <v>0</v>
      </c>
      <c r="O4" s="96">
        <f>IFERROR(__xludf.DUMMYFUNCTION("""COMPUTED_VALUE"""),555000.0)</f>
        <v>555000</v>
      </c>
      <c r="P4" s="129">
        <f>IFERROR(__xludf.DUMMYFUNCTION("""COMPUTED_VALUE"""),0.0)</f>
        <v>0</v>
      </c>
      <c r="Q4" s="99"/>
      <c r="R4" s="99">
        <f>IFERROR(__xludf.DUMMYFUNCTION("""COMPUTED_VALUE"""),555000.0)</f>
        <v>555000</v>
      </c>
    </row>
    <row r="5">
      <c r="B5" s="96">
        <f>IFERROR(__xludf.DUMMYFUNCTION("""COMPUTED_VALUE"""),1.0)</f>
        <v>1</v>
      </c>
      <c r="C5" s="98">
        <f>IFERROR(__xludf.DUMMYFUNCTION("""COMPUTED_VALUE"""),43743.0)</f>
        <v>43743</v>
      </c>
      <c r="D5" s="96" t="str">
        <f>IFERROR(__xludf.DUMMYFUNCTION("""COMPUTED_VALUE"""),"ETUK EFFI")</f>
        <v>ETUK EFFI</v>
      </c>
      <c r="E5" s="96"/>
      <c r="F5" s="96"/>
      <c r="G5" s="96"/>
      <c r="H5" s="96"/>
      <c r="I5" s="96"/>
      <c r="J5" s="96"/>
      <c r="K5" s="96"/>
      <c r="L5" s="96">
        <f>IFERROR(__xludf.DUMMYFUNCTION("""COMPUTED_VALUE"""),0.0)</f>
        <v>0</v>
      </c>
      <c r="M5" s="96">
        <f>IFERROR(__xludf.DUMMYFUNCTION("""COMPUTED_VALUE"""),0.0)</f>
        <v>0</v>
      </c>
      <c r="N5" s="96">
        <f>IFERROR(__xludf.DUMMYFUNCTION("""COMPUTED_VALUE"""),0.0)</f>
        <v>0</v>
      </c>
      <c r="O5" s="96">
        <f>IFERROR(__xludf.DUMMYFUNCTION("""COMPUTED_VALUE"""),700000.0)</f>
        <v>700000</v>
      </c>
      <c r="P5" s="129">
        <f>IFERROR(__xludf.DUMMYFUNCTION("""COMPUTED_VALUE"""),0.0)</f>
        <v>0</v>
      </c>
      <c r="Q5" s="99"/>
      <c r="R5" s="99">
        <f>IFERROR(__xludf.DUMMYFUNCTION("""COMPUTED_VALUE"""),700000.0)</f>
        <v>700000</v>
      </c>
    </row>
    <row r="6">
      <c r="B6" s="96">
        <f>IFERROR(__xludf.DUMMYFUNCTION("""COMPUTED_VALUE"""),1.0)</f>
        <v>1</v>
      </c>
      <c r="C6" s="98">
        <f>IFERROR(__xludf.DUMMYFUNCTION("""COMPUTED_VALUE"""),43743.0)</f>
        <v>43743</v>
      </c>
      <c r="D6" s="96" t="str">
        <f>IFERROR(__xludf.DUMMYFUNCTION("""COMPUTED_VALUE"""),"ADE ADE")</f>
        <v>ADE ADE</v>
      </c>
      <c r="E6" s="96"/>
      <c r="F6" s="96"/>
      <c r="G6" s="96"/>
      <c r="H6" s="96"/>
      <c r="I6" s="96"/>
      <c r="J6" s="96"/>
      <c r="K6" s="96"/>
      <c r="L6" s="96">
        <f>IFERROR(__xludf.DUMMYFUNCTION("""COMPUTED_VALUE"""),0.0)</f>
        <v>0</v>
      </c>
      <c r="M6" s="96">
        <f>IFERROR(__xludf.DUMMYFUNCTION("""COMPUTED_VALUE"""),0.0)</f>
        <v>0</v>
      </c>
      <c r="N6" s="96">
        <f>IFERROR(__xludf.DUMMYFUNCTION("""COMPUTED_VALUE"""),0.0)</f>
        <v>0</v>
      </c>
      <c r="O6" s="96">
        <f>IFERROR(__xludf.DUMMYFUNCTION("""COMPUTED_VALUE"""),328000.0)</f>
        <v>328000</v>
      </c>
      <c r="P6" s="129">
        <f>IFERROR(__xludf.DUMMYFUNCTION("""COMPUTED_VALUE"""),0.0)</f>
        <v>0</v>
      </c>
      <c r="Q6" s="99"/>
      <c r="R6" s="99">
        <f>IFERROR(__xludf.DUMMYFUNCTION("""COMPUTED_VALUE"""),328000.0)</f>
        <v>328000</v>
      </c>
    </row>
    <row r="7">
      <c r="B7" s="96">
        <f>IFERROR(__xludf.DUMMYFUNCTION("""COMPUTED_VALUE"""),1.0)</f>
        <v>1</v>
      </c>
      <c r="C7" s="98">
        <f>IFERROR(__xludf.DUMMYFUNCTION("""COMPUTED_VALUE"""),43743.0)</f>
        <v>43743</v>
      </c>
      <c r="D7" s="96" t="str">
        <f>IFERROR(__xludf.DUMMYFUNCTION("""COMPUTED_VALUE"""),"BESSONG BESONG")</f>
        <v>BESSONG BESONG</v>
      </c>
      <c r="E7" s="96"/>
      <c r="F7" s="96"/>
      <c r="G7" s="96"/>
      <c r="H7" s="96"/>
      <c r="I7" s="96"/>
      <c r="J7" s="96"/>
      <c r="K7" s="96"/>
      <c r="L7" s="96">
        <f>IFERROR(__xludf.DUMMYFUNCTION("""COMPUTED_VALUE"""),0.0)</f>
        <v>0</v>
      </c>
      <c r="M7" s="96">
        <f>IFERROR(__xludf.DUMMYFUNCTION("""COMPUTED_VALUE"""),0.0)</f>
        <v>0</v>
      </c>
      <c r="N7" s="96">
        <f>IFERROR(__xludf.DUMMYFUNCTION("""COMPUTED_VALUE"""),0.0)</f>
        <v>0</v>
      </c>
      <c r="O7" s="96">
        <f>IFERROR(__xludf.DUMMYFUNCTION("""COMPUTED_VALUE"""),497440.0)</f>
        <v>497440</v>
      </c>
      <c r="P7" s="129">
        <f>IFERROR(__xludf.DUMMYFUNCTION("""COMPUTED_VALUE"""),0.0)</f>
        <v>0</v>
      </c>
      <c r="Q7" s="99"/>
      <c r="R7" s="99">
        <f>IFERROR(__xludf.DUMMYFUNCTION("""COMPUTED_VALUE"""),497440.0)</f>
        <v>497440</v>
      </c>
    </row>
    <row r="8">
      <c r="B8" s="96">
        <f>IFERROR(__xludf.DUMMYFUNCTION("""COMPUTED_VALUE"""),1.0)</f>
        <v>1</v>
      </c>
      <c r="C8" s="98">
        <f>IFERROR(__xludf.DUMMYFUNCTION("""COMPUTED_VALUE"""),43743.0)</f>
        <v>43743</v>
      </c>
      <c r="D8" s="96" t="str">
        <f>IFERROR(__xludf.DUMMYFUNCTION("""COMPUTED_VALUE"""),"MINOR")</f>
        <v>MINOR</v>
      </c>
      <c r="E8" s="96"/>
      <c r="F8" s="96"/>
      <c r="G8" s="96"/>
      <c r="H8" s="96"/>
      <c r="I8" s="96"/>
      <c r="J8" s="96"/>
      <c r="K8" s="96"/>
      <c r="L8" s="96">
        <f>IFERROR(__xludf.DUMMYFUNCTION("""COMPUTED_VALUE"""),0.0)</f>
        <v>0</v>
      </c>
      <c r="M8" s="96">
        <f>IFERROR(__xludf.DUMMYFUNCTION("""COMPUTED_VALUE"""),0.0)</f>
        <v>0</v>
      </c>
      <c r="N8" s="96">
        <f>IFERROR(__xludf.DUMMYFUNCTION("""COMPUTED_VALUE"""),0.0)</f>
        <v>0</v>
      </c>
      <c r="O8" s="96">
        <f>IFERROR(__xludf.DUMMYFUNCTION("""COMPUTED_VALUE"""),409300.0)</f>
        <v>409300</v>
      </c>
      <c r="P8" s="129">
        <f>IFERROR(__xludf.DUMMYFUNCTION("""COMPUTED_VALUE"""),0.0)</f>
        <v>0</v>
      </c>
      <c r="Q8" s="99"/>
      <c r="R8" s="99">
        <f>IFERROR(__xludf.DUMMYFUNCTION("""COMPUTED_VALUE"""),409300.0)</f>
        <v>409300</v>
      </c>
    </row>
    <row r="9">
      <c r="B9" s="96">
        <f>IFERROR(__xludf.DUMMYFUNCTION("""COMPUTED_VALUE"""),1.0)</f>
        <v>1</v>
      </c>
      <c r="C9" s="98">
        <f>IFERROR(__xludf.DUMMYFUNCTION("""COMPUTED_VALUE"""),43743.0)</f>
        <v>43743</v>
      </c>
      <c r="D9" s="96" t="str">
        <f>IFERROR(__xludf.DUMMYFUNCTION("""COMPUTED_VALUE"""),"COLLINS  OFFA")</f>
        <v>COLLINS  OFFA</v>
      </c>
      <c r="E9" s="96"/>
      <c r="F9" s="96"/>
      <c r="G9" s="96"/>
      <c r="H9" s="96"/>
      <c r="I9" s="96"/>
      <c r="J9" s="96"/>
      <c r="K9" s="96"/>
      <c r="L9" s="96">
        <f>IFERROR(__xludf.DUMMYFUNCTION("""COMPUTED_VALUE"""),0.0)</f>
        <v>0</v>
      </c>
      <c r="M9" s="96">
        <f>IFERROR(__xludf.DUMMYFUNCTION("""COMPUTED_VALUE"""),0.0)</f>
        <v>0</v>
      </c>
      <c r="N9" s="96">
        <f>IFERROR(__xludf.DUMMYFUNCTION("""COMPUTED_VALUE"""),0.0)</f>
        <v>0</v>
      </c>
      <c r="O9" s="96">
        <f>IFERROR(__xludf.DUMMYFUNCTION("""COMPUTED_VALUE"""),1090000.0)</f>
        <v>1090000</v>
      </c>
      <c r="P9" s="129">
        <f>IFERROR(__xludf.DUMMYFUNCTION("""COMPUTED_VALUE"""),0.0)</f>
        <v>0</v>
      </c>
      <c r="Q9" s="99"/>
      <c r="R9" s="99">
        <f>IFERROR(__xludf.DUMMYFUNCTION("""COMPUTED_VALUE"""),1090000.0)</f>
        <v>1090000</v>
      </c>
    </row>
    <row r="10">
      <c r="B10" s="96">
        <f>IFERROR(__xludf.DUMMYFUNCTION("""COMPUTED_VALUE"""),1.0)</f>
        <v>1</v>
      </c>
      <c r="C10" s="98">
        <f>IFERROR(__xludf.DUMMYFUNCTION("""COMPUTED_VALUE"""),43743.0)</f>
        <v>43743</v>
      </c>
      <c r="D10" s="96" t="str">
        <f>IFERROR(__xludf.DUMMYFUNCTION("""COMPUTED_VALUE"""),"SEPH ODEY")</f>
        <v>SEPH ODEY</v>
      </c>
      <c r="E10" s="96"/>
      <c r="F10" s="96"/>
      <c r="G10" s="96"/>
      <c r="H10" s="96"/>
      <c r="I10" s="96"/>
      <c r="J10" s="96"/>
      <c r="K10" s="96"/>
      <c r="L10" s="96">
        <f>IFERROR(__xludf.DUMMYFUNCTION("""COMPUTED_VALUE"""),0.0)</f>
        <v>0</v>
      </c>
      <c r="M10" s="96">
        <f>IFERROR(__xludf.DUMMYFUNCTION("""COMPUTED_VALUE"""),0.0)</f>
        <v>0</v>
      </c>
      <c r="N10" s="96">
        <f>IFERROR(__xludf.DUMMYFUNCTION("""COMPUTED_VALUE"""),0.0)</f>
        <v>0</v>
      </c>
      <c r="O10" s="96">
        <f>IFERROR(__xludf.DUMMYFUNCTION("""COMPUTED_VALUE"""),126000.0)</f>
        <v>126000</v>
      </c>
      <c r="P10" s="129">
        <f>IFERROR(__xludf.DUMMYFUNCTION("""COMPUTED_VALUE"""),0.0)</f>
        <v>0</v>
      </c>
      <c r="Q10" s="99"/>
      <c r="R10" s="99">
        <f>IFERROR(__xludf.DUMMYFUNCTION("""COMPUTED_VALUE"""),126000.0)</f>
        <v>126000</v>
      </c>
    </row>
    <row r="11">
      <c r="B11" s="96">
        <f>IFERROR(__xludf.DUMMYFUNCTION("""COMPUTED_VALUE"""),1.0)</f>
        <v>1</v>
      </c>
      <c r="C11" s="98">
        <f>IFERROR(__xludf.DUMMYFUNCTION("""COMPUTED_VALUE"""),43743.0)</f>
        <v>43743</v>
      </c>
      <c r="D11" s="96" t="str">
        <f>IFERROR(__xludf.DUMMYFUNCTION("""COMPUTED_VALUE"""),"OSIM MARIAM")</f>
        <v>OSIM MARIAM</v>
      </c>
      <c r="E11" s="96"/>
      <c r="F11" s="96"/>
      <c r="G11" s="96"/>
      <c r="H11" s="96"/>
      <c r="I11" s="96"/>
      <c r="J11" s="96"/>
      <c r="K11" s="96"/>
      <c r="L11" s="96">
        <f>IFERROR(__xludf.DUMMYFUNCTION("""COMPUTED_VALUE"""),0.0)</f>
        <v>0</v>
      </c>
      <c r="M11" s="96">
        <f>IFERROR(__xludf.DUMMYFUNCTION("""COMPUTED_VALUE"""),0.0)</f>
        <v>0</v>
      </c>
      <c r="N11" s="96">
        <f>IFERROR(__xludf.DUMMYFUNCTION("""COMPUTED_VALUE"""),0.0)</f>
        <v>0</v>
      </c>
      <c r="O11" s="96">
        <f>IFERROR(__xludf.DUMMYFUNCTION("""COMPUTED_VALUE"""),400000.0)</f>
        <v>400000</v>
      </c>
      <c r="P11" s="129">
        <f>IFERROR(__xludf.DUMMYFUNCTION("""COMPUTED_VALUE"""),0.0)</f>
        <v>0</v>
      </c>
      <c r="Q11" s="99"/>
      <c r="R11" s="99">
        <f>IFERROR(__xludf.DUMMYFUNCTION("""COMPUTED_VALUE"""),400000.0)</f>
        <v>400000</v>
      </c>
    </row>
    <row r="12">
      <c r="B12" s="96">
        <f>IFERROR(__xludf.DUMMYFUNCTION("""COMPUTED_VALUE"""),1.0)</f>
        <v>1</v>
      </c>
      <c r="C12" s="98">
        <f>IFERROR(__xludf.DUMMYFUNCTION("""COMPUTED_VALUE"""),43743.0)</f>
        <v>43743</v>
      </c>
      <c r="D12" s="96" t="str">
        <f>IFERROR(__xludf.DUMMYFUNCTION("""COMPUTED_VALUE"""),"ENYA HN")</f>
        <v>ENYA HN</v>
      </c>
      <c r="E12" s="96"/>
      <c r="F12" s="96"/>
      <c r="G12" s="96"/>
      <c r="H12" s="96"/>
      <c r="I12" s="96"/>
      <c r="J12" s="96"/>
      <c r="K12" s="96"/>
      <c r="L12" s="96">
        <f>IFERROR(__xludf.DUMMYFUNCTION("""COMPUTED_VALUE"""),0.0)</f>
        <v>0</v>
      </c>
      <c r="M12" s="96">
        <f>IFERROR(__xludf.DUMMYFUNCTION("""COMPUTED_VALUE"""),0.0)</f>
        <v>0</v>
      </c>
      <c r="N12" s="96">
        <f>IFERROR(__xludf.DUMMYFUNCTION("""COMPUTED_VALUE"""),0.0)</f>
        <v>0</v>
      </c>
      <c r="O12" s="96">
        <f>IFERROR(__xludf.DUMMYFUNCTION("""COMPUTED_VALUE"""),187000.0)</f>
        <v>187000</v>
      </c>
      <c r="P12" s="129">
        <f>IFERROR(__xludf.DUMMYFUNCTION("""COMPUTED_VALUE"""),0.0)</f>
        <v>0</v>
      </c>
      <c r="Q12" s="99"/>
      <c r="R12" s="99">
        <f>IFERROR(__xludf.DUMMYFUNCTION("""COMPUTED_VALUE"""),187000.0)</f>
        <v>187000</v>
      </c>
    </row>
    <row r="13">
      <c r="B13" s="96">
        <f>IFERROR(__xludf.DUMMYFUNCTION("""COMPUTED_VALUE"""),1.0)</f>
        <v>1</v>
      </c>
      <c r="C13" s="98">
        <f>IFERROR(__xludf.DUMMYFUNCTION("""COMPUTED_VALUE"""),43743.0)</f>
        <v>43743</v>
      </c>
      <c r="D13" s="96" t="str">
        <f>IFERROR(__xludf.DUMMYFUNCTION("""COMPUTED_VALUE"""),"BOSURU  BOSURU")</f>
        <v>BOSURU  BOSURU</v>
      </c>
      <c r="E13" s="96"/>
      <c r="F13" s="96"/>
      <c r="G13" s="96"/>
      <c r="H13" s="96"/>
      <c r="I13" s="96"/>
      <c r="J13" s="96"/>
      <c r="K13" s="96"/>
      <c r="L13" s="96">
        <f>IFERROR(__xludf.DUMMYFUNCTION("""COMPUTED_VALUE"""),0.0)</f>
        <v>0</v>
      </c>
      <c r="M13" s="96">
        <f>IFERROR(__xludf.DUMMYFUNCTION("""COMPUTED_VALUE"""),0.0)</f>
        <v>0</v>
      </c>
      <c r="N13" s="96">
        <f>IFERROR(__xludf.DUMMYFUNCTION("""COMPUTED_VALUE"""),0.0)</f>
        <v>0</v>
      </c>
      <c r="O13" s="96">
        <f>IFERROR(__xludf.DUMMYFUNCTION("""COMPUTED_VALUE"""),1000000.0)</f>
        <v>1000000</v>
      </c>
      <c r="P13" s="129">
        <f>IFERROR(__xludf.DUMMYFUNCTION("""COMPUTED_VALUE"""),0.0)</f>
        <v>0</v>
      </c>
      <c r="Q13" s="99"/>
      <c r="R13" s="99">
        <f>IFERROR(__xludf.DUMMYFUNCTION("""COMPUTED_VALUE"""),1000000.0)</f>
        <v>1000000</v>
      </c>
    </row>
    <row r="14">
      <c r="B14" s="96">
        <f>IFERROR(__xludf.DUMMYFUNCTION("""COMPUTED_VALUE"""),1.0)</f>
        <v>1</v>
      </c>
      <c r="C14" s="98">
        <f>IFERROR(__xludf.DUMMYFUNCTION("""COMPUTED_VALUE"""),43743.0)</f>
        <v>43743</v>
      </c>
      <c r="D14" s="96" t="str">
        <f>IFERROR(__xludf.DUMMYFUNCTION("""COMPUTED_VALUE"""),"ASOQUO SUNDAY")</f>
        <v>ASOQUO SUNDAY</v>
      </c>
      <c r="E14" s="96"/>
      <c r="F14" s="96"/>
      <c r="G14" s="96"/>
      <c r="H14" s="96"/>
      <c r="I14" s="96"/>
      <c r="J14" s="96"/>
      <c r="K14" s="96"/>
      <c r="L14" s="96">
        <f>IFERROR(__xludf.DUMMYFUNCTION("""COMPUTED_VALUE"""),0.0)</f>
        <v>0</v>
      </c>
      <c r="M14" s="96">
        <f>IFERROR(__xludf.DUMMYFUNCTION("""COMPUTED_VALUE"""),0.0)</f>
        <v>0</v>
      </c>
      <c r="N14" s="96">
        <f>IFERROR(__xludf.DUMMYFUNCTION("""COMPUTED_VALUE"""),0.0)</f>
        <v>0</v>
      </c>
      <c r="O14" s="96">
        <f>IFERROR(__xludf.DUMMYFUNCTION("""COMPUTED_VALUE"""),620000.0)</f>
        <v>620000</v>
      </c>
      <c r="P14" s="129">
        <f>IFERROR(__xludf.DUMMYFUNCTION("""COMPUTED_VALUE"""),0.0)</f>
        <v>0</v>
      </c>
      <c r="Q14" s="99"/>
      <c r="R14" s="99">
        <f>IFERROR(__xludf.DUMMYFUNCTION("""COMPUTED_VALUE"""),620000.0)</f>
        <v>620000</v>
      </c>
    </row>
    <row r="15">
      <c r="B15" s="96">
        <f>IFERROR(__xludf.DUMMYFUNCTION("""COMPUTED_VALUE"""),1.0)</f>
        <v>1</v>
      </c>
      <c r="C15" s="98">
        <f>IFERROR(__xludf.DUMMYFUNCTION("""COMPUTED_VALUE"""),43743.0)</f>
        <v>43743</v>
      </c>
      <c r="D15" s="96" t="str">
        <f>IFERROR(__xludf.DUMMYFUNCTION("""COMPUTED_VALUE"""),"OTU KOKO KEIBO")</f>
        <v>OTU KOKO KEIBO</v>
      </c>
      <c r="E15" s="96"/>
      <c r="F15" s="96"/>
      <c r="G15" s="96"/>
      <c r="H15" s="96"/>
      <c r="I15" s="96"/>
      <c r="J15" s="96"/>
      <c r="K15" s="96"/>
      <c r="L15" s="96">
        <f>IFERROR(__xludf.DUMMYFUNCTION("""COMPUTED_VALUE"""),0.0)</f>
        <v>0</v>
      </c>
      <c r="M15" s="96">
        <f>IFERROR(__xludf.DUMMYFUNCTION("""COMPUTED_VALUE"""),0.0)</f>
        <v>0</v>
      </c>
      <c r="N15" s="96">
        <f>IFERROR(__xludf.DUMMYFUNCTION("""COMPUTED_VALUE"""),0.0)</f>
        <v>0</v>
      </c>
      <c r="O15" s="96">
        <f>IFERROR(__xludf.DUMMYFUNCTION("""COMPUTED_VALUE"""),2399925.0)</f>
        <v>2399925</v>
      </c>
      <c r="P15" s="129">
        <f>IFERROR(__xludf.DUMMYFUNCTION("""COMPUTED_VALUE"""),0.0)</f>
        <v>0</v>
      </c>
      <c r="Q15" s="99"/>
      <c r="R15" s="99">
        <f>IFERROR(__xludf.DUMMYFUNCTION("""COMPUTED_VALUE"""),2399925.0)</f>
        <v>2399925</v>
      </c>
    </row>
    <row r="16">
      <c r="B16" s="96">
        <f>IFERROR(__xludf.DUMMYFUNCTION("""COMPUTED_VALUE"""),1.0)</f>
        <v>1</v>
      </c>
      <c r="C16" s="98">
        <f>IFERROR(__xludf.DUMMYFUNCTION("""COMPUTED_VALUE"""),43743.0)</f>
        <v>43743</v>
      </c>
      <c r="D16" s="96" t="str">
        <f>IFERROR(__xludf.DUMMYFUNCTION("""COMPUTED_VALUE"""),"AUGUSTINE IGBA")</f>
        <v>AUGUSTINE IGBA</v>
      </c>
      <c r="E16" s="96"/>
      <c r="F16" s="96"/>
      <c r="G16" s="96"/>
      <c r="H16" s="96"/>
      <c r="I16" s="96"/>
      <c r="J16" s="96"/>
      <c r="K16" s="96"/>
      <c r="L16" s="96">
        <f>IFERROR(__xludf.DUMMYFUNCTION("""COMPUTED_VALUE"""),0.0)</f>
        <v>0</v>
      </c>
      <c r="M16" s="96">
        <f>IFERROR(__xludf.DUMMYFUNCTION("""COMPUTED_VALUE"""),0.0)</f>
        <v>0</v>
      </c>
      <c r="N16" s="96">
        <f>IFERROR(__xludf.DUMMYFUNCTION("""COMPUTED_VALUE"""),0.0)</f>
        <v>0</v>
      </c>
      <c r="O16" s="96">
        <f>IFERROR(__xludf.DUMMYFUNCTION("""COMPUTED_VALUE"""),2.025962E7)</f>
        <v>20259620</v>
      </c>
      <c r="P16" s="129">
        <f>IFERROR(__xludf.DUMMYFUNCTION("""COMPUTED_VALUE"""),0.0)</f>
        <v>0</v>
      </c>
      <c r="Q16" s="99"/>
      <c r="R16" s="99">
        <f>IFERROR(__xludf.DUMMYFUNCTION("""COMPUTED_VALUE"""),2.025962E7)</f>
        <v>20259620</v>
      </c>
    </row>
    <row r="17">
      <c r="B17" s="96">
        <f>IFERROR(__xludf.DUMMYFUNCTION("""COMPUTED_VALUE"""),1.0)</f>
        <v>1</v>
      </c>
      <c r="C17" s="98">
        <f>IFERROR(__xludf.DUMMYFUNCTION("""COMPUTED_VALUE"""),43743.0)</f>
        <v>43743</v>
      </c>
      <c r="D17" s="96" t="str">
        <f>IFERROR(__xludf.DUMMYFUNCTION("""COMPUTED_VALUE"""),"PETER JAMES")</f>
        <v>PETER JAMES</v>
      </c>
      <c r="E17" s="96"/>
      <c r="F17" s="96"/>
      <c r="G17" s="96"/>
      <c r="H17" s="96"/>
      <c r="I17" s="96"/>
      <c r="J17" s="96"/>
      <c r="K17" s="96"/>
      <c r="L17" s="96">
        <f>IFERROR(__xludf.DUMMYFUNCTION("""COMPUTED_VALUE"""),0.0)</f>
        <v>0</v>
      </c>
      <c r="M17" s="96">
        <f>IFERROR(__xludf.DUMMYFUNCTION("""COMPUTED_VALUE"""),0.0)</f>
        <v>0</v>
      </c>
      <c r="N17" s="96">
        <f>IFERROR(__xludf.DUMMYFUNCTION("""COMPUTED_VALUE"""),0.0)</f>
        <v>0</v>
      </c>
      <c r="O17" s="96">
        <f>IFERROR(__xludf.DUMMYFUNCTION("""COMPUTED_VALUE"""),340094.0)</f>
        <v>340094</v>
      </c>
      <c r="P17" s="129">
        <f>IFERROR(__xludf.DUMMYFUNCTION("""COMPUTED_VALUE"""),0.0)</f>
        <v>0</v>
      </c>
      <c r="Q17" s="99"/>
      <c r="R17" s="99">
        <f>IFERROR(__xludf.DUMMYFUNCTION("""COMPUTED_VALUE"""),340094.0)</f>
        <v>340094</v>
      </c>
    </row>
    <row r="18">
      <c r="B18" s="96">
        <f>IFERROR(__xludf.DUMMYFUNCTION("""COMPUTED_VALUE"""),1.0)</f>
        <v>1</v>
      </c>
      <c r="C18" s="98">
        <f>IFERROR(__xludf.DUMMYFUNCTION("""COMPUTED_VALUE"""),43743.0)</f>
        <v>43743</v>
      </c>
      <c r="D18" s="96" t="str">
        <f>IFERROR(__xludf.DUMMYFUNCTION("""COMPUTED_VALUE"""),"AYUK AYUK")</f>
        <v>AYUK AYUK</v>
      </c>
      <c r="E18" s="96"/>
      <c r="F18" s="96"/>
      <c r="G18" s="96"/>
      <c r="H18" s="96"/>
      <c r="I18" s="96"/>
      <c r="J18" s="96"/>
      <c r="K18" s="96"/>
      <c r="L18" s="96">
        <f>IFERROR(__xludf.DUMMYFUNCTION("""COMPUTED_VALUE"""),0.0)</f>
        <v>0</v>
      </c>
      <c r="M18" s="96">
        <f>IFERROR(__xludf.DUMMYFUNCTION("""COMPUTED_VALUE"""),0.0)</f>
        <v>0</v>
      </c>
      <c r="N18" s="96">
        <f>IFERROR(__xludf.DUMMYFUNCTION("""COMPUTED_VALUE"""),0.0)</f>
        <v>0</v>
      </c>
      <c r="O18" s="96">
        <f>IFERROR(__xludf.DUMMYFUNCTION("""COMPUTED_VALUE"""),120000.0)</f>
        <v>120000</v>
      </c>
      <c r="P18" s="129">
        <f>IFERROR(__xludf.DUMMYFUNCTION("""COMPUTED_VALUE"""),0.0)</f>
        <v>0</v>
      </c>
      <c r="Q18" s="99"/>
      <c r="R18" s="99">
        <f>IFERROR(__xludf.DUMMYFUNCTION("""COMPUTED_VALUE"""),120000.0)</f>
        <v>120000</v>
      </c>
    </row>
    <row r="19">
      <c r="B19" s="96">
        <f>IFERROR(__xludf.DUMMYFUNCTION("""COMPUTED_VALUE"""),1.0)</f>
        <v>1</v>
      </c>
      <c r="C19" s="98">
        <f>IFERROR(__xludf.DUMMYFUNCTION("""COMPUTED_VALUE"""),43743.0)</f>
        <v>43743</v>
      </c>
      <c r="D19" s="96" t="str">
        <f>IFERROR(__xludf.DUMMYFUNCTION("""COMPUTED_VALUE""")," MAXWELL AGRO")</f>
        <v> MAXWELL AGRO</v>
      </c>
      <c r="E19" s="96"/>
      <c r="F19" s="96"/>
      <c r="G19" s="96"/>
      <c r="H19" s="96"/>
      <c r="I19" s="96"/>
      <c r="J19" s="96"/>
      <c r="K19" s="96"/>
      <c r="L19" s="96">
        <f>IFERROR(__xludf.DUMMYFUNCTION("""COMPUTED_VALUE"""),0.0)</f>
        <v>0</v>
      </c>
      <c r="M19" s="96">
        <f>IFERROR(__xludf.DUMMYFUNCTION("""COMPUTED_VALUE"""),0.0)</f>
        <v>0</v>
      </c>
      <c r="N19" s="96">
        <f>IFERROR(__xludf.DUMMYFUNCTION("""COMPUTED_VALUE"""),0.0)</f>
        <v>0</v>
      </c>
      <c r="O19" s="96">
        <f>IFERROR(__xludf.DUMMYFUNCTION("""COMPUTED_VALUE"""),300000.0)</f>
        <v>300000</v>
      </c>
      <c r="P19" s="129">
        <f>IFERROR(__xludf.DUMMYFUNCTION("""COMPUTED_VALUE"""),0.0)</f>
        <v>0</v>
      </c>
      <c r="Q19" s="99"/>
      <c r="R19" s="99">
        <f>IFERROR(__xludf.DUMMYFUNCTION("""COMPUTED_VALUE"""),300000.0)</f>
        <v>300000</v>
      </c>
    </row>
    <row r="20">
      <c r="B20" s="96">
        <f>IFERROR(__xludf.DUMMYFUNCTION("""COMPUTED_VALUE"""),1.0)</f>
        <v>1</v>
      </c>
      <c r="C20" s="98">
        <f>IFERROR(__xludf.DUMMYFUNCTION("""COMPUTED_VALUE"""),43743.0)</f>
        <v>43743</v>
      </c>
      <c r="D20" s="96" t="str">
        <f>IFERROR(__xludf.DUMMYFUNCTION("""COMPUTED_VALUE"""),"RAPHEAL OKON")</f>
        <v>RAPHEAL OKON</v>
      </c>
      <c r="E20" s="96"/>
      <c r="F20" s="96"/>
      <c r="G20" s="96"/>
      <c r="H20" s="96"/>
      <c r="I20" s="96"/>
      <c r="J20" s="96"/>
      <c r="K20" s="96"/>
      <c r="L20" s="96">
        <f>IFERROR(__xludf.DUMMYFUNCTION("""COMPUTED_VALUE"""),0.0)</f>
        <v>0</v>
      </c>
      <c r="M20" s="96">
        <f>IFERROR(__xludf.DUMMYFUNCTION("""COMPUTED_VALUE"""),0.0)</f>
        <v>0</v>
      </c>
      <c r="N20" s="96">
        <f>IFERROR(__xludf.DUMMYFUNCTION("""COMPUTED_VALUE"""),0.0)</f>
        <v>0</v>
      </c>
      <c r="O20" s="96">
        <f>IFERROR(__xludf.DUMMYFUNCTION("""COMPUTED_VALUE"""),200000.0)</f>
        <v>200000</v>
      </c>
      <c r="P20" s="129">
        <f>IFERROR(__xludf.DUMMYFUNCTION("""COMPUTED_VALUE"""),0.0)</f>
        <v>0</v>
      </c>
      <c r="Q20" s="99"/>
      <c r="R20" s="99">
        <f>IFERROR(__xludf.DUMMYFUNCTION("""COMPUTED_VALUE"""),200000.0)</f>
        <v>200000</v>
      </c>
    </row>
    <row r="21">
      <c r="B21" s="96">
        <f>IFERROR(__xludf.DUMMYFUNCTION("""COMPUTED_VALUE"""),1.0)</f>
        <v>1</v>
      </c>
      <c r="C21" s="98">
        <f>IFERROR(__xludf.DUMMYFUNCTION("""COMPUTED_VALUE"""),43743.0)</f>
        <v>43743</v>
      </c>
      <c r="D21" s="96" t="str">
        <f>IFERROR(__xludf.DUMMYFUNCTION("""COMPUTED_VALUE"""),"EKABA ETTA")</f>
        <v>EKABA ETTA</v>
      </c>
      <c r="E21" s="96"/>
      <c r="F21" s="96"/>
      <c r="G21" s="96"/>
      <c r="H21" s="96"/>
      <c r="I21" s="96"/>
      <c r="J21" s="96"/>
      <c r="K21" s="96"/>
      <c r="L21" s="96">
        <f>IFERROR(__xludf.DUMMYFUNCTION("""COMPUTED_VALUE"""),0.0)</f>
        <v>0</v>
      </c>
      <c r="M21" s="96">
        <f>IFERROR(__xludf.DUMMYFUNCTION("""COMPUTED_VALUE"""),0.0)</f>
        <v>0</v>
      </c>
      <c r="N21" s="96">
        <f>IFERROR(__xludf.DUMMYFUNCTION("""COMPUTED_VALUE"""),0.0)</f>
        <v>0</v>
      </c>
      <c r="O21" s="96">
        <f>IFERROR(__xludf.DUMMYFUNCTION("""COMPUTED_VALUE"""),1200000.0)</f>
        <v>1200000</v>
      </c>
      <c r="P21" s="129">
        <f>IFERROR(__xludf.DUMMYFUNCTION("""COMPUTED_VALUE"""),0.0)</f>
        <v>0</v>
      </c>
      <c r="Q21" s="99"/>
      <c r="R21" s="99">
        <f>IFERROR(__xludf.DUMMYFUNCTION("""COMPUTED_VALUE"""),1200000.0)</f>
        <v>1200000</v>
      </c>
    </row>
    <row r="22">
      <c r="B22" s="96">
        <f>IFERROR(__xludf.DUMMYFUNCTION("""COMPUTED_VALUE"""),1.0)</f>
        <v>1</v>
      </c>
      <c r="C22" s="98">
        <f>IFERROR(__xludf.DUMMYFUNCTION("""COMPUTED_VALUE"""),43743.0)</f>
        <v>43743</v>
      </c>
      <c r="D22" s="96" t="str">
        <f>IFERROR(__xludf.DUMMYFUNCTION("""COMPUTED_VALUE"""),"LAWERENCE ETTA OGAR")</f>
        <v>LAWERENCE ETTA OGAR</v>
      </c>
      <c r="E22" s="96"/>
      <c r="F22" s="96"/>
      <c r="G22" s="96"/>
      <c r="H22" s="96"/>
      <c r="I22" s="96"/>
      <c r="J22" s="96"/>
      <c r="K22" s="96"/>
      <c r="L22" s="96">
        <f>IFERROR(__xludf.DUMMYFUNCTION("""COMPUTED_VALUE"""),0.0)</f>
        <v>0</v>
      </c>
      <c r="M22" s="96">
        <f>IFERROR(__xludf.DUMMYFUNCTION("""COMPUTED_VALUE"""),0.0)</f>
        <v>0</v>
      </c>
      <c r="N22" s="96">
        <f>IFERROR(__xludf.DUMMYFUNCTION("""COMPUTED_VALUE"""),0.0)</f>
        <v>0</v>
      </c>
      <c r="O22" s="96">
        <f>IFERROR(__xludf.DUMMYFUNCTION("""COMPUTED_VALUE"""),323719.0)</f>
        <v>323719</v>
      </c>
      <c r="P22" s="129">
        <f>IFERROR(__xludf.DUMMYFUNCTION("""COMPUTED_VALUE"""),0.0)</f>
        <v>0</v>
      </c>
      <c r="Q22" s="99"/>
      <c r="R22" s="99">
        <f>IFERROR(__xludf.DUMMYFUNCTION("""COMPUTED_VALUE"""),323719.0)</f>
        <v>323719</v>
      </c>
    </row>
    <row r="23">
      <c r="B23" s="96">
        <f>IFERROR(__xludf.DUMMYFUNCTION("""COMPUTED_VALUE"""),1.0)</f>
        <v>1</v>
      </c>
      <c r="C23" s="98">
        <f>IFERROR(__xludf.DUMMYFUNCTION("""COMPUTED_VALUE"""),43743.0)</f>
        <v>43743</v>
      </c>
      <c r="D23" s="96" t="str">
        <f>IFERROR(__xludf.DUMMYFUNCTION("""COMPUTED_VALUE"""),"LYDIA HNSON ")</f>
        <v>LYDIA HNSON </v>
      </c>
      <c r="E23" s="96"/>
      <c r="F23" s="96"/>
      <c r="G23" s="96"/>
      <c r="H23" s="96"/>
      <c r="I23" s="96"/>
      <c r="J23" s="96"/>
      <c r="K23" s="96"/>
      <c r="L23" s="96">
        <f>IFERROR(__xludf.DUMMYFUNCTION("""COMPUTED_VALUE"""),0.0)</f>
        <v>0</v>
      </c>
      <c r="M23" s="96">
        <f>IFERROR(__xludf.DUMMYFUNCTION("""COMPUTED_VALUE"""),0.0)</f>
        <v>0</v>
      </c>
      <c r="N23" s="96">
        <f>IFERROR(__xludf.DUMMYFUNCTION("""COMPUTED_VALUE"""),0.0)</f>
        <v>0</v>
      </c>
      <c r="O23" s="96">
        <f>IFERROR(__xludf.DUMMYFUNCTION("""COMPUTED_VALUE"""),2600000.0)</f>
        <v>2600000</v>
      </c>
      <c r="P23" s="129">
        <f>IFERROR(__xludf.DUMMYFUNCTION("""COMPUTED_VALUE"""),0.0)</f>
        <v>0</v>
      </c>
      <c r="Q23" s="99"/>
      <c r="R23" s="99">
        <f>IFERROR(__xludf.DUMMYFUNCTION("""COMPUTED_VALUE"""),2600000.0)</f>
        <v>2600000</v>
      </c>
    </row>
    <row r="24">
      <c r="B24" s="96">
        <f>IFERROR(__xludf.DUMMYFUNCTION("""COMPUTED_VALUE"""),1.0)</f>
        <v>1</v>
      </c>
      <c r="C24" s="98">
        <f>IFERROR(__xludf.DUMMYFUNCTION("""COMPUTED_VALUE"""),43743.0)</f>
        <v>43743</v>
      </c>
      <c r="D24" s="96" t="str">
        <f>IFERROR(__xludf.DUMMYFUNCTION("""COMPUTED_VALUE"""),"NAOMI")</f>
        <v>NAOMI</v>
      </c>
      <c r="E24" s="96"/>
      <c r="F24" s="96"/>
      <c r="G24" s="96"/>
      <c r="H24" s="96"/>
      <c r="I24" s="96"/>
      <c r="J24" s="96"/>
      <c r="K24" s="96"/>
      <c r="L24" s="96">
        <f>IFERROR(__xludf.DUMMYFUNCTION("""COMPUTED_VALUE"""),0.0)</f>
        <v>0</v>
      </c>
      <c r="M24" s="96">
        <f>IFERROR(__xludf.DUMMYFUNCTION("""COMPUTED_VALUE"""),0.0)</f>
        <v>0</v>
      </c>
      <c r="N24" s="96">
        <f>IFERROR(__xludf.DUMMYFUNCTION("""COMPUTED_VALUE"""),0.0)</f>
        <v>0</v>
      </c>
      <c r="O24" s="96">
        <f>IFERROR(__xludf.DUMMYFUNCTION("""COMPUTED_VALUE"""),1.3090265E7)</f>
        <v>13090265</v>
      </c>
      <c r="P24" s="129">
        <f>IFERROR(__xludf.DUMMYFUNCTION("""COMPUTED_VALUE"""),0.0)</f>
        <v>0</v>
      </c>
      <c r="Q24" s="99"/>
      <c r="R24" s="99">
        <f>IFERROR(__xludf.DUMMYFUNCTION("""COMPUTED_VALUE"""),1.3090265E7)</f>
        <v>13090265</v>
      </c>
    </row>
    <row r="25">
      <c r="B25" s="96">
        <f>IFERROR(__xludf.DUMMYFUNCTION("""COMPUTED_VALUE"""),1.0)</f>
        <v>1</v>
      </c>
      <c r="C25" s="98">
        <f>IFERROR(__xludf.DUMMYFUNCTION("""COMPUTED_VALUE"""),43743.0)</f>
        <v>43743</v>
      </c>
      <c r="D25" s="96" t="str">
        <f>IFERROR(__xludf.DUMMYFUNCTION("""COMPUTED_VALUE"""),"MAXWELL AGRO OBI")</f>
        <v>MAXWELL AGRO OBI</v>
      </c>
      <c r="E25" s="96"/>
      <c r="F25" s="96"/>
      <c r="G25" s="96"/>
      <c r="H25" s="96"/>
      <c r="I25" s="96"/>
      <c r="J25" s="96"/>
      <c r="K25" s="96"/>
      <c r="L25" s="96">
        <f>IFERROR(__xludf.DUMMYFUNCTION("""COMPUTED_VALUE"""),0.0)</f>
        <v>0</v>
      </c>
      <c r="M25" s="96">
        <f>IFERROR(__xludf.DUMMYFUNCTION("""COMPUTED_VALUE"""),0.0)</f>
        <v>0</v>
      </c>
      <c r="N25" s="96">
        <f>IFERROR(__xludf.DUMMYFUNCTION("""COMPUTED_VALUE"""),0.0)</f>
        <v>0</v>
      </c>
      <c r="O25" s="96">
        <f>IFERROR(__xludf.DUMMYFUNCTION("""COMPUTED_VALUE"""),500000.0)</f>
        <v>500000</v>
      </c>
      <c r="P25" s="129">
        <f>IFERROR(__xludf.DUMMYFUNCTION("""COMPUTED_VALUE"""),0.0)</f>
        <v>0</v>
      </c>
      <c r="Q25" s="99"/>
      <c r="R25" s="99">
        <f>IFERROR(__xludf.DUMMYFUNCTION("""COMPUTED_VALUE"""),500000.0)</f>
        <v>500000</v>
      </c>
    </row>
    <row r="26">
      <c r="B26" s="96">
        <f>IFERROR(__xludf.DUMMYFUNCTION("""COMPUTED_VALUE"""),1.0)</f>
        <v>1</v>
      </c>
      <c r="C26" s="98">
        <f>IFERROR(__xludf.DUMMYFUNCTION("""COMPUTED_VALUE"""),43743.0)</f>
        <v>43743</v>
      </c>
      <c r="D26" s="96" t="str">
        <f>IFERROR(__xludf.DUMMYFUNCTION("""COMPUTED_VALUE"""),"R.  MAXWELL AGRO")</f>
        <v>R.  MAXWELL AGRO</v>
      </c>
      <c r="E26" s="96"/>
      <c r="F26" s="96"/>
      <c r="G26" s="96"/>
      <c r="H26" s="96"/>
      <c r="I26" s="96"/>
      <c r="J26" s="96"/>
      <c r="K26" s="96"/>
      <c r="L26" s="96">
        <f>IFERROR(__xludf.DUMMYFUNCTION("""COMPUTED_VALUE"""),0.0)</f>
        <v>0</v>
      </c>
      <c r="M26" s="96">
        <f>IFERROR(__xludf.DUMMYFUNCTION("""COMPUTED_VALUE"""),0.0)</f>
        <v>0</v>
      </c>
      <c r="N26" s="96">
        <f>IFERROR(__xludf.DUMMYFUNCTION("""COMPUTED_VALUE"""),0.0)</f>
        <v>0</v>
      </c>
      <c r="O26" s="96">
        <f>IFERROR(__xludf.DUMMYFUNCTION("""COMPUTED_VALUE"""),840000.0)</f>
        <v>840000</v>
      </c>
      <c r="P26" s="129">
        <f>IFERROR(__xludf.DUMMYFUNCTION("""COMPUTED_VALUE"""),0.0)</f>
        <v>0</v>
      </c>
      <c r="Q26" s="99"/>
      <c r="R26" s="99">
        <f>IFERROR(__xludf.DUMMYFUNCTION("""COMPUTED_VALUE"""),840000.0)</f>
        <v>840000</v>
      </c>
    </row>
    <row r="27">
      <c r="B27" s="96">
        <f>IFERROR(__xludf.DUMMYFUNCTION("""COMPUTED_VALUE"""),1.0)</f>
        <v>1</v>
      </c>
      <c r="C27" s="98">
        <f>IFERROR(__xludf.DUMMYFUNCTION("""COMPUTED_VALUE"""),43743.0)</f>
        <v>43743</v>
      </c>
      <c r="D27" s="96" t="str">
        <f>IFERROR(__xludf.DUMMYFUNCTION("""COMPUTED_VALUE"""),"ABANG. BEN OLUM")</f>
        <v>ABANG. BEN OLUM</v>
      </c>
      <c r="E27" s="96"/>
      <c r="F27" s="96"/>
      <c r="G27" s="96"/>
      <c r="H27" s="96"/>
      <c r="I27" s="96"/>
      <c r="J27" s="96"/>
      <c r="K27" s="96"/>
      <c r="L27" s="96">
        <f>IFERROR(__xludf.DUMMYFUNCTION("""COMPUTED_VALUE"""),0.0)</f>
        <v>0</v>
      </c>
      <c r="M27" s="96">
        <f>IFERROR(__xludf.DUMMYFUNCTION("""COMPUTED_VALUE"""),0.0)</f>
        <v>0</v>
      </c>
      <c r="N27" s="96">
        <f>IFERROR(__xludf.DUMMYFUNCTION("""COMPUTED_VALUE"""),0.0)</f>
        <v>0</v>
      </c>
      <c r="O27" s="96">
        <f>IFERROR(__xludf.DUMMYFUNCTION("""COMPUTED_VALUE"""),920000.0)</f>
        <v>920000</v>
      </c>
      <c r="P27" s="129">
        <f>IFERROR(__xludf.DUMMYFUNCTION("""COMPUTED_VALUE"""),0.0)</f>
        <v>0</v>
      </c>
      <c r="Q27" s="99"/>
      <c r="R27" s="99">
        <f>IFERROR(__xludf.DUMMYFUNCTION("""COMPUTED_VALUE"""),920000.0)</f>
        <v>920000</v>
      </c>
    </row>
    <row r="28">
      <c r="B28" s="96">
        <f>IFERROR(__xludf.DUMMYFUNCTION("""COMPUTED_VALUE"""),1.0)</f>
        <v>1</v>
      </c>
      <c r="C28" s="98">
        <f>IFERROR(__xludf.DUMMYFUNCTION("""COMPUTED_VALUE"""),43743.0)</f>
        <v>43743</v>
      </c>
      <c r="D28" s="96" t="str">
        <f>IFERROR(__xludf.DUMMYFUNCTION("""COMPUTED_VALUE"""),"NYIAM FREDERICK JUSTINE")</f>
        <v>NYIAM FREDERICK JUSTINE</v>
      </c>
      <c r="E28" s="96"/>
      <c r="F28" s="96"/>
      <c r="G28" s="96"/>
      <c r="H28" s="96"/>
      <c r="I28" s="96"/>
      <c r="J28" s="96"/>
      <c r="K28" s="96"/>
      <c r="L28" s="96">
        <f>IFERROR(__xludf.DUMMYFUNCTION("""COMPUTED_VALUE"""),0.0)</f>
        <v>0</v>
      </c>
      <c r="M28" s="96">
        <f>IFERROR(__xludf.DUMMYFUNCTION("""COMPUTED_VALUE"""),0.0)</f>
        <v>0</v>
      </c>
      <c r="N28" s="96">
        <f>IFERROR(__xludf.DUMMYFUNCTION("""COMPUTED_VALUE"""),0.0)</f>
        <v>0</v>
      </c>
      <c r="O28" s="96">
        <f>IFERROR(__xludf.DUMMYFUNCTION("""COMPUTED_VALUE"""),400000.0)</f>
        <v>400000</v>
      </c>
      <c r="P28" s="129">
        <f>IFERROR(__xludf.DUMMYFUNCTION("""COMPUTED_VALUE"""),0.0)</f>
        <v>0</v>
      </c>
      <c r="Q28" s="99"/>
      <c r="R28" s="99">
        <f>IFERROR(__xludf.DUMMYFUNCTION("""COMPUTED_VALUE"""),400000.0)</f>
        <v>400000</v>
      </c>
    </row>
    <row r="29">
      <c r="B29" s="96">
        <f>IFERROR(__xludf.DUMMYFUNCTION("""COMPUTED_VALUE"""),1.0)</f>
        <v>1</v>
      </c>
      <c r="C29" s="98">
        <f>IFERROR(__xludf.DUMMYFUNCTION("""COMPUTED_VALUE"""),43743.0)</f>
        <v>43743</v>
      </c>
      <c r="D29" s="96" t="str">
        <f>IFERROR(__xludf.DUMMYFUNCTION("""COMPUTED_VALUE"""),"RI SAMP")</f>
        <v>RI SAMP</v>
      </c>
      <c r="E29" s="96"/>
      <c r="F29" s="96"/>
      <c r="G29" s="96"/>
      <c r="H29" s="96"/>
      <c r="I29" s="96"/>
      <c r="J29" s="96"/>
      <c r="K29" s="96"/>
      <c r="L29" s="96">
        <f>IFERROR(__xludf.DUMMYFUNCTION("""COMPUTED_VALUE"""),0.0)</f>
        <v>0</v>
      </c>
      <c r="M29" s="96">
        <f>IFERROR(__xludf.DUMMYFUNCTION("""COMPUTED_VALUE"""),0.0)</f>
        <v>0</v>
      </c>
      <c r="N29" s="96">
        <f>IFERROR(__xludf.DUMMYFUNCTION("""COMPUTED_VALUE"""),0.0)</f>
        <v>0</v>
      </c>
      <c r="O29" s="96">
        <f>IFERROR(__xludf.DUMMYFUNCTION("""COMPUTED_VALUE"""),1000000.0)</f>
        <v>1000000</v>
      </c>
      <c r="P29" s="129">
        <f>IFERROR(__xludf.DUMMYFUNCTION("""COMPUTED_VALUE"""),0.0)</f>
        <v>0</v>
      </c>
      <c r="Q29" s="99"/>
      <c r="R29" s="99">
        <f>IFERROR(__xludf.DUMMYFUNCTION("""COMPUTED_VALUE"""),1000000.0)</f>
        <v>1000000</v>
      </c>
    </row>
    <row r="30">
      <c r="B30" s="96">
        <f>IFERROR(__xludf.DUMMYFUNCTION("""COMPUTED_VALUE"""),1.0)</f>
        <v>1</v>
      </c>
      <c r="C30" s="98">
        <f>IFERROR(__xludf.DUMMYFUNCTION("""COMPUTED_VALUE"""),43743.0)</f>
        <v>43743</v>
      </c>
      <c r="D30" s="96" t="str">
        <f>IFERROR(__xludf.DUMMYFUNCTION("""COMPUTED_VALUE"""),"REMMY BODES")</f>
        <v>REMMY BODES</v>
      </c>
      <c r="E30" s="96"/>
      <c r="F30" s="96"/>
      <c r="G30" s="96"/>
      <c r="H30" s="96"/>
      <c r="I30" s="96"/>
      <c r="J30" s="96"/>
      <c r="K30" s="96"/>
      <c r="L30" s="96">
        <f>IFERROR(__xludf.DUMMYFUNCTION("""COMPUTED_VALUE"""),0.0)</f>
        <v>0</v>
      </c>
      <c r="M30" s="96">
        <f>IFERROR(__xludf.DUMMYFUNCTION("""COMPUTED_VALUE"""),0.0)</f>
        <v>0</v>
      </c>
      <c r="N30" s="96">
        <f>IFERROR(__xludf.DUMMYFUNCTION("""COMPUTED_VALUE"""),0.0)</f>
        <v>0</v>
      </c>
      <c r="O30" s="96">
        <f>IFERROR(__xludf.DUMMYFUNCTION("""COMPUTED_VALUE"""),510000.0)</f>
        <v>510000</v>
      </c>
      <c r="P30" s="129">
        <f>IFERROR(__xludf.DUMMYFUNCTION("""COMPUTED_VALUE"""),0.0)</f>
        <v>0</v>
      </c>
      <c r="Q30" s="99"/>
      <c r="R30" s="99">
        <f>IFERROR(__xludf.DUMMYFUNCTION("""COMPUTED_VALUE"""),510000.0)</f>
        <v>510000</v>
      </c>
    </row>
    <row r="31">
      <c r="B31" s="96">
        <f>IFERROR(__xludf.DUMMYFUNCTION("""COMPUTED_VALUE"""),1.0)</f>
        <v>1</v>
      </c>
      <c r="C31" s="98">
        <f>IFERROR(__xludf.DUMMYFUNCTION("""COMPUTED_VALUE"""),43743.0)</f>
        <v>43743</v>
      </c>
      <c r="D31" s="96" t="str">
        <f>IFERROR(__xludf.DUMMYFUNCTION("""COMPUTED_VALUE"""),"ANDRDEW GREAT")</f>
        <v>ANDRDEW GREAT</v>
      </c>
      <c r="E31" s="96"/>
      <c r="F31" s="96"/>
      <c r="G31" s="96"/>
      <c r="H31" s="96"/>
      <c r="I31" s="96"/>
      <c r="J31" s="96"/>
      <c r="K31" s="96"/>
      <c r="L31" s="96">
        <f>IFERROR(__xludf.DUMMYFUNCTION("""COMPUTED_VALUE"""),0.0)</f>
        <v>0</v>
      </c>
      <c r="M31" s="96">
        <f>IFERROR(__xludf.DUMMYFUNCTION("""COMPUTED_VALUE"""),0.0)</f>
        <v>0</v>
      </c>
      <c r="N31" s="96">
        <f>IFERROR(__xludf.DUMMYFUNCTION("""COMPUTED_VALUE"""),0.0)</f>
        <v>0</v>
      </c>
      <c r="O31" s="96">
        <f>IFERROR(__xludf.DUMMYFUNCTION("""COMPUTED_VALUE"""),1517570.0)</f>
        <v>1517570</v>
      </c>
      <c r="P31" s="129">
        <f>IFERROR(__xludf.DUMMYFUNCTION("""COMPUTED_VALUE"""),0.0)</f>
        <v>0</v>
      </c>
      <c r="Q31" s="99"/>
      <c r="R31" s="99">
        <f>IFERROR(__xludf.DUMMYFUNCTION("""COMPUTED_VALUE"""),1517570.0)</f>
        <v>1517570</v>
      </c>
    </row>
    <row r="32">
      <c r="B32" s="96">
        <f>IFERROR(__xludf.DUMMYFUNCTION("""COMPUTED_VALUE"""),1.0)</f>
        <v>1</v>
      </c>
      <c r="C32" s="98">
        <f>IFERROR(__xludf.DUMMYFUNCTION("""COMPUTED_VALUE"""),43743.0)</f>
        <v>43743</v>
      </c>
      <c r="D32" s="96" t="str">
        <f>IFERROR(__xludf.DUMMYFUNCTION("""COMPUTED_VALUE"""),"NDOMA BODE I.D")</f>
        <v>NDOMA BODE I.D</v>
      </c>
      <c r="E32" s="96"/>
      <c r="F32" s="96"/>
      <c r="G32" s="96"/>
      <c r="H32" s="96"/>
      <c r="I32" s="96"/>
      <c r="J32" s="96"/>
      <c r="K32" s="96"/>
      <c r="L32" s="96">
        <f>IFERROR(__xludf.DUMMYFUNCTION("""COMPUTED_VALUE"""),0.0)</f>
        <v>0</v>
      </c>
      <c r="M32" s="96">
        <f>IFERROR(__xludf.DUMMYFUNCTION("""COMPUTED_VALUE"""),0.0)</f>
        <v>0</v>
      </c>
      <c r="N32" s="96">
        <f>IFERROR(__xludf.DUMMYFUNCTION("""COMPUTED_VALUE"""),0.0)</f>
        <v>0</v>
      </c>
      <c r="O32" s="96">
        <f>IFERROR(__xludf.DUMMYFUNCTION("""COMPUTED_VALUE"""),800000.0)</f>
        <v>800000</v>
      </c>
      <c r="P32" s="129">
        <f>IFERROR(__xludf.DUMMYFUNCTION("""COMPUTED_VALUE"""),0.0)</f>
        <v>0</v>
      </c>
      <c r="Q32" s="99"/>
      <c r="R32" s="99">
        <f>IFERROR(__xludf.DUMMYFUNCTION("""COMPUTED_VALUE"""),800000.0)</f>
        <v>800000</v>
      </c>
    </row>
    <row r="33">
      <c r="B33" s="96">
        <f>IFERROR(__xludf.DUMMYFUNCTION("""COMPUTED_VALUE"""),1.0)</f>
        <v>1</v>
      </c>
      <c r="C33" s="98">
        <f>IFERROR(__xludf.DUMMYFUNCTION("""COMPUTED_VALUE"""),43743.0)</f>
        <v>43743</v>
      </c>
      <c r="D33" s="96" t="str">
        <f>IFERROR(__xludf.DUMMYFUNCTION("""COMPUTED_VALUE"""),"ALLI SYLVESTER")</f>
        <v>ALLI SYLVESTER</v>
      </c>
      <c r="E33" s="96"/>
      <c r="F33" s="96"/>
      <c r="G33" s="96"/>
      <c r="H33" s="96"/>
      <c r="I33" s="96"/>
      <c r="J33" s="96"/>
      <c r="K33" s="96"/>
      <c r="L33" s="96">
        <f>IFERROR(__xludf.DUMMYFUNCTION("""COMPUTED_VALUE"""),0.0)</f>
        <v>0</v>
      </c>
      <c r="M33" s="96">
        <f>IFERROR(__xludf.DUMMYFUNCTION("""COMPUTED_VALUE"""),0.0)</f>
        <v>0</v>
      </c>
      <c r="N33" s="96">
        <f>IFERROR(__xludf.DUMMYFUNCTION("""COMPUTED_VALUE"""),0.0)</f>
        <v>0</v>
      </c>
      <c r="O33" s="96">
        <f>IFERROR(__xludf.DUMMYFUNCTION("""COMPUTED_VALUE"""),2376910.0)</f>
        <v>2376910</v>
      </c>
      <c r="P33" s="129">
        <f>IFERROR(__xludf.DUMMYFUNCTION("""COMPUTED_VALUE"""),0.0)</f>
        <v>0</v>
      </c>
      <c r="Q33" s="99"/>
      <c r="R33" s="99">
        <f>IFERROR(__xludf.DUMMYFUNCTION("""COMPUTED_VALUE"""),2376910.0)</f>
        <v>2376910</v>
      </c>
    </row>
    <row r="34">
      <c r="B34" s="96">
        <f>IFERROR(__xludf.DUMMYFUNCTION("""COMPUTED_VALUE"""),1.0)</f>
        <v>1</v>
      </c>
      <c r="C34" s="98">
        <f>IFERROR(__xludf.DUMMYFUNCTION("""COMPUTED_VALUE"""),43743.0)</f>
        <v>43743</v>
      </c>
      <c r="D34" s="96" t="str">
        <f>IFERROR(__xludf.DUMMYFUNCTION("""COMPUTED_VALUE""")," OP OJUA")</f>
        <v> OP OJUA</v>
      </c>
      <c r="E34" s="96"/>
      <c r="F34" s="96"/>
      <c r="G34" s="96"/>
      <c r="H34" s="96"/>
      <c r="I34" s="96"/>
      <c r="J34" s="96"/>
      <c r="K34" s="96"/>
      <c r="L34" s="96">
        <f>IFERROR(__xludf.DUMMYFUNCTION("""COMPUTED_VALUE"""),0.0)</f>
        <v>0</v>
      </c>
      <c r="M34" s="96">
        <f>IFERROR(__xludf.DUMMYFUNCTION("""COMPUTED_VALUE"""),0.0)</f>
        <v>0</v>
      </c>
      <c r="N34" s="96">
        <f>IFERROR(__xludf.DUMMYFUNCTION("""COMPUTED_VALUE"""),0.0)</f>
        <v>0</v>
      </c>
      <c r="O34" s="96">
        <f>IFERROR(__xludf.DUMMYFUNCTION("""COMPUTED_VALUE"""),46550.0)</f>
        <v>46550</v>
      </c>
      <c r="P34" s="129">
        <f>IFERROR(__xludf.DUMMYFUNCTION("""COMPUTED_VALUE"""),0.0)</f>
        <v>0</v>
      </c>
      <c r="Q34" s="99"/>
      <c r="R34" s="99">
        <f>IFERROR(__xludf.DUMMYFUNCTION("""COMPUTED_VALUE"""),46550.0)</f>
        <v>46550</v>
      </c>
    </row>
    <row r="35">
      <c r="B35" s="96">
        <f>IFERROR(__xludf.DUMMYFUNCTION("""COMPUTED_VALUE"""),1.0)</f>
        <v>1</v>
      </c>
      <c r="C35" s="98">
        <f>IFERROR(__xludf.DUMMYFUNCTION("""COMPUTED_VALUE"""),43743.0)</f>
        <v>43743</v>
      </c>
      <c r="D35" s="96" t="str">
        <f>IFERROR(__xludf.DUMMYFUNCTION("""COMPUTED_VALUE"""),"HN KEIBO")</f>
        <v>HN KEIBO</v>
      </c>
      <c r="E35" s="96"/>
      <c r="F35" s="96"/>
      <c r="G35" s="96"/>
      <c r="H35" s="96"/>
      <c r="I35" s="96"/>
      <c r="J35" s="96"/>
      <c r="K35" s="96"/>
      <c r="L35" s="96">
        <f>IFERROR(__xludf.DUMMYFUNCTION("""COMPUTED_VALUE"""),0.0)</f>
        <v>0</v>
      </c>
      <c r="M35" s="96">
        <f>IFERROR(__xludf.DUMMYFUNCTION("""COMPUTED_VALUE"""),0.0)</f>
        <v>0</v>
      </c>
      <c r="N35" s="96">
        <f>IFERROR(__xludf.DUMMYFUNCTION("""COMPUTED_VALUE"""),0.0)</f>
        <v>0</v>
      </c>
      <c r="O35" s="96">
        <f>IFERROR(__xludf.DUMMYFUNCTION("""COMPUTED_VALUE"""),249707.0)</f>
        <v>249707</v>
      </c>
      <c r="P35" s="129">
        <f>IFERROR(__xludf.DUMMYFUNCTION("""COMPUTED_VALUE"""),0.0)</f>
        <v>0</v>
      </c>
      <c r="Q35" s="99"/>
      <c r="R35" s="99">
        <f>IFERROR(__xludf.DUMMYFUNCTION("""COMPUTED_VALUE"""),249707.0)</f>
        <v>249707</v>
      </c>
    </row>
    <row r="36">
      <c r="B36" s="96">
        <f>IFERROR(__xludf.DUMMYFUNCTION("""COMPUTED_VALUE"""),1.0)</f>
        <v>1</v>
      </c>
      <c r="C36" s="98">
        <f>IFERROR(__xludf.DUMMYFUNCTION("""COMPUTED_VALUE"""),43743.0)</f>
        <v>43743</v>
      </c>
      <c r="D36" s="96" t="str">
        <f>IFERROR(__xludf.DUMMYFUNCTION("""COMPUTED_VALUE""")," OP OCHICHIE")</f>
        <v> OP OCHICHIE</v>
      </c>
      <c r="E36" s="96"/>
      <c r="F36" s="96"/>
      <c r="G36" s="96"/>
      <c r="H36" s="96"/>
      <c r="I36" s="96"/>
      <c r="J36" s="96"/>
      <c r="K36" s="96"/>
      <c r="L36" s="96">
        <f>IFERROR(__xludf.DUMMYFUNCTION("""COMPUTED_VALUE"""),0.0)</f>
        <v>0</v>
      </c>
      <c r="M36" s="96">
        <f>IFERROR(__xludf.DUMMYFUNCTION("""COMPUTED_VALUE"""),0.0)</f>
        <v>0</v>
      </c>
      <c r="N36" s="96">
        <f>IFERROR(__xludf.DUMMYFUNCTION("""COMPUTED_VALUE"""),0.0)</f>
        <v>0</v>
      </c>
      <c r="O36" s="96">
        <f>IFERROR(__xludf.DUMMYFUNCTION("""COMPUTED_VALUE"""),535525.0)</f>
        <v>535525</v>
      </c>
      <c r="P36" s="129">
        <f>IFERROR(__xludf.DUMMYFUNCTION("""COMPUTED_VALUE"""),0.0)</f>
        <v>0</v>
      </c>
      <c r="Q36" s="99"/>
      <c r="R36" s="99">
        <f>IFERROR(__xludf.DUMMYFUNCTION("""COMPUTED_VALUE"""),535525.0)</f>
        <v>535525</v>
      </c>
    </row>
    <row r="37">
      <c r="B37" s="96">
        <f>IFERROR(__xludf.DUMMYFUNCTION("""COMPUTED_VALUE"""),1.0)</f>
        <v>1</v>
      </c>
      <c r="C37" s="98">
        <f>IFERROR(__xludf.DUMMYFUNCTION("""COMPUTED_VALUE"""),43743.0)</f>
        <v>43743</v>
      </c>
      <c r="D37" s="96" t="str">
        <f>IFERROR(__xludf.DUMMYFUNCTION("""COMPUTED_VALUE"""),"PETER KEIBO SIDE")</f>
        <v>PETER KEIBO SIDE</v>
      </c>
      <c r="E37" s="96"/>
      <c r="F37" s="96"/>
      <c r="G37" s="96"/>
      <c r="H37" s="96"/>
      <c r="I37" s="96"/>
      <c r="J37" s="96"/>
      <c r="K37" s="96"/>
      <c r="L37" s="96">
        <f>IFERROR(__xludf.DUMMYFUNCTION("""COMPUTED_VALUE"""),0.0)</f>
        <v>0</v>
      </c>
      <c r="M37" s="96">
        <f>IFERROR(__xludf.DUMMYFUNCTION("""COMPUTED_VALUE"""),0.0)</f>
        <v>0</v>
      </c>
      <c r="N37" s="96">
        <f>IFERROR(__xludf.DUMMYFUNCTION("""COMPUTED_VALUE"""),0.0)</f>
        <v>0</v>
      </c>
      <c r="O37" s="96">
        <f>IFERROR(__xludf.DUMMYFUNCTION("""COMPUTED_VALUE"""),1318980.0)</f>
        <v>1318980</v>
      </c>
      <c r="P37" s="129">
        <f>IFERROR(__xludf.DUMMYFUNCTION("""COMPUTED_VALUE"""),0.0)</f>
        <v>0</v>
      </c>
      <c r="Q37" s="99"/>
      <c r="R37" s="99">
        <f>IFERROR(__xludf.DUMMYFUNCTION("""COMPUTED_VALUE"""),1318980.0)</f>
        <v>1318980</v>
      </c>
    </row>
    <row r="38">
      <c r="B38" s="96">
        <f>IFERROR(__xludf.DUMMYFUNCTION("""COMPUTED_VALUE"""),1.0)</f>
        <v>1</v>
      </c>
      <c r="C38" s="98">
        <f>IFERROR(__xludf.DUMMYFUNCTION("""COMPUTED_VALUE"""),43743.0)</f>
        <v>43743</v>
      </c>
      <c r="D38" s="96" t="str">
        <f>IFERROR(__xludf.DUMMYFUNCTION("""COMPUTED_VALUE"""),"CONFIDENCE")</f>
        <v>CONFIDENCE</v>
      </c>
      <c r="E38" s="96"/>
      <c r="F38" s="96"/>
      <c r="G38" s="96"/>
      <c r="H38" s="96"/>
      <c r="I38" s="96"/>
      <c r="J38" s="96"/>
      <c r="K38" s="96"/>
      <c r="L38" s="96">
        <f>IFERROR(__xludf.DUMMYFUNCTION("""COMPUTED_VALUE"""),0.0)</f>
        <v>0</v>
      </c>
      <c r="M38" s="96">
        <f>IFERROR(__xludf.DUMMYFUNCTION("""COMPUTED_VALUE"""),0.0)</f>
        <v>0</v>
      </c>
      <c r="N38" s="96">
        <f>IFERROR(__xludf.DUMMYFUNCTION("""COMPUTED_VALUE"""),0.0)</f>
        <v>0</v>
      </c>
      <c r="O38" s="96">
        <f>IFERROR(__xludf.DUMMYFUNCTION("""COMPUTED_VALUE"""),300000.0)</f>
        <v>300000</v>
      </c>
      <c r="P38" s="129">
        <f>IFERROR(__xludf.DUMMYFUNCTION("""COMPUTED_VALUE"""),0.0)</f>
        <v>0</v>
      </c>
      <c r="Q38" s="99"/>
      <c r="R38" s="99">
        <f>IFERROR(__xludf.DUMMYFUNCTION("""COMPUTED_VALUE"""),300000.0)</f>
        <v>300000</v>
      </c>
    </row>
    <row r="39">
      <c r="B39" s="96">
        <f>IFERROR(__xludf.DUMMYFUNCTION("""COMPUTED_VALUE"""),1.0)</f>
        <v>1</v>
      </c>
      <c r="C39" s="98">
        <f>IFERROR(__xludf.DUMMYFUNCTION("""COMPUTED_VALUE"""),43743.0)</f>
        <v>43743</v>
      </c>
      <c r="D39" s="96" t="str">
        <f>IFERROR(__xludf.DUMMYFUNCTION("""COMPUTED_VALUE"""),"LAI BIG MAN")</f>
        <v>LAI BIG MAN</v>
      </c>
      <c r="E39" s="96"/>
      <c r="F39" s="96"/>
      <c r="G39" s="96"/>
      <c r="H39" s="96"/>
      <c r="I39" s="96"/>
      <c r="J39" s="96"/>
      <c r="K39" s="96"/>
      <c r="L39" s="96">
        <f>IFERROR(__xludf.DUMMYFUNCTION("""COMPUTED_VALUE"""),0.0)</f>
        <v>0</v>
      </c>
      <c r="M39" s="96">
        <f>IFERROR(__xludf.DUMMYFUNCTION("""COMPUTED_VALUE"""),0.0)</f>
        <v>0</v>
      </c>
      <c r="N39" s="96">
        <f>IFERROR(__xludf.DUMMYFUNCTION("""COMPUTED_VALUE"""),0.0)</f>
        <v>0</v>
      </c>
      <c r="O39" s="96">
        <f>IFERROR(__xludf.DUMMYFUNCTION("""COMPUTED_VALUE"""),200000.0)</f>
        <v>200000</v>
      </c>
      <c r="P39" s="129">
        <f>IFERROR(__xludf.DUMMYFUNCTION("""COMPUTED_VALUE"""),0.0)</f>
        <v>0</v>
      </c>
      <c r="Q39" s="99"/>
      <c r="R39" s="99">
        <f>IFERROR(__xludf.DUMMYFUNCTION("""COMPUTED_VALUE"""),200000.0)</f>
        <v>200000</v>
      </c>
    </row>
    <row r="40">
      <c r="B40" s="96">
        <f>IFERROR(__xludf.DUMMYFUNCTION("""COMPUTED_VALUE"""),1.0)</f>
        <v>1</v>
      </c>
      <c r="C40" s="98">
        <f>IFERROR(__xludf.DUMMYFUNCTION("""COMPUTED_VALUE"""),43743.0)</f>
        <v>43743</v>
      </c>
      <c r="D40" s="96" t="str">
        <f>IFERROR(__xludf.DUMMYFUNCTION("""COMPUTED_VALUE"""),"ABANG TATAW CAMEROUN")</f>
        <v>ABANG TATAW CAMEROUN</v>
      </c>
      <c r="E40" s="96"/>
      <c r="F40" s="96"/>
      <c r="G40" s="96"/>
      <c r="H40" s="96"/>
      <c r="I40" s="96"/>
      <c r="J40" s="96"/>
      <c r="K40" s="96"/>
      <c r="L40" s="96">
        <f>IFERROR(__xludf.DUMMYFUNCTION("""COMPUTED_VALUE"""),0.0)</f>
        <v>0</v>
      </c>
      <c r="M40" s="96">
        <f>IFERROR(__xludf.DUMMYFUNCTION("""COMPUTED_VALUE"""),0.0)</f>
        <v>0</v>
      </c>
      <c r="N40" s="96">
        <f>IFERROR(__xludf.DUMMYFUNCTION("""COMPUTED_VALUE"""),0.0)</f>
        <v>0</v>
      </c>
      <c r="O40" s="96">
        <f>IFERROR(__xludf.DUMMYFUNCTION("""COMPUTED_VALUE"""),16000.0)</f>
        <v>16000</v>
      </c>
      <c r="P40" s="129">
        <f>IFERROR(__xludf.DUMMYFUNCTION("""COMPUTED_VALUE"""),0.0)</f>
        <v>0</v>
      </c>
      <c r="Q40" s="99"/>
      <c r="R40" s="99">
        <f>IFERROR(__xludf.DUMMYFUNCTION("""COMPUTED_VALUE"""),16000.0)</f>
        <v>16000</v>
      </c>
    </row>
    <row r="41">
      <c r="B41" s="96">
        <f>IFERROR(__xludf.DUMMYFUNCTION("""COMPUTED_VALUE"""),1.0)</f>
        <v>1</v>
      </c>
      <c r="C41" s="98">
        <f>IFERROR(__xludf.DUMMYFUNCTION("""COMPUTED_VALUE"""),43743.0)</f>
        <v>43743</v>
      </c>
      <c r="D41" s="96" t="str">
        <f>IFERROR(__xludf.DUMMYFUNCTION("""COMPUTED_VALUE"""),"ABANG FREDINARD")</f>
        <v>ABANG FREDINARD</v>
      </c>
      <c r="E41" s="96"/>
      <c r="F41" s="96"/>
      <c r="G41" s="96"/>
      <c r="H41" s="96"/>
      <c r="I41" s="96"/>
      <c r="J41" s="96"/>
      <c r="K41" s="96"/>
      <c r="L41" s="96">
        <f>IFERROR(__xludf.DUMMYFUNCTION("""COMPUTED_VALUE"""),0.0)</f>
        <v>0</v>
      </c>
      <c r="M41" s="96">
        <f>IFERROR(__xludf.DUMMYFUNCTION("""COMPUTED_VALUE"""),0.0)</f>
        <v>0</v>
      </c>
      <c r="N41" s="96">
        <f>IFERROR(__xludf.DUMMYFUNCTION("""COMPUTED_VALUE"""),0.0)</f>
        <v>0</v>
      </c>
      <c r="O41" s="96">
        <f>IFERROR(__xludf.DUMMYFUNCTION("""COMPUTED_VALUE"""),30000.0)</f>
        <v>30000</v>
      </c>
      <c r="P41" s="129">
        <f>IFERROR(__xludf.DUMMYFUNCTION("""COMPUTED_VALUE"""),0.0)</f>
        <v>0</v>
      </c>
      <c r="Q41" s="99"/>
      <c r="R41" s="99">
        <f>IFERROR(__xludf.DUMMYFUNCTION("""COMPUTED_VALUE"""),30000.0)</f>
        <v>30000</v>
      </c>
    </row>
    <row r="42">
      <c r="B42" s="96">
        <f>IFERROR(__xludf.DUMMYFUNCTION("""COMPUTED_VALUE"""),1.0)</f>
        <v>1</v>
      </c>
      <c r="C42" s="98">
        <f>IFERROR(__xludf.DUMMYFUNCTION("""COMPUTED_VALUE"""),43743.0)</f>
        <v>43743</v>
      </c>
      <c r="D42" s="96" t="str">
        <f>IFERROR(__xludf.DUMMYFUNCTION("""COMPUTED_VALUE"""),"KOKOK PRIN")</f>
        <v>KOKOK PRIN</v>
      </c>
      <c r="E42" s="96"/>
      <c r="F42" s="96"/>
      <c r="G42" s="96"/>
      <c r="H42" s="96"/>
      <c r="I42" s="96"/>
      <c r="J42" s="96"/>
      <c r="K42" s="96"/>
      <c r="L42" s="96">
        <f>IFERROR(__xludf.DUMMYFUNCTION("""COMPUTED_VALUE"""),0.0)</f>
        <v>0</v>
      </c>
      <c r="M42" s="96">
        <f>IFERROR(__xludf.DUMMYFUNCTION("""COMPUTED_VALUE"""),0.0)</f>
        <v>0</v>
      </c>
      <c r="N42" s="96">
        <f>IFERROR(__xludf.DUMMYFUNCTION("""COMPUTED_VALUE"""),0.0)</f>
        <v>0</v>
      </c>
      <c r="O42" s="96">
        <f>IFERROR(__xludf.DUMMYFUNCTION("""COMPUTED_VALUE"""),215000.0)</f>
        <v>215000</v>
      </c>
      <c r="P42" s="129">
        <f>IFERROR(__xludf.DUMMYFUNCTION("""COMPUTED_VALUE"""),0.0)</f>
        <v>0</v>
      </c>
      <c r="Q42" s="99"/>
      <c r="R42" s="99">
        <f>IFERROR(__xludf.DUMMYFUNCTION("""COMPUTED_VALUE"""),215000.0)</f>
        <v>215000</v>
      </c>
    </row>
    <row r="43">
      <c r="B43" s="96">
        <f>IFERROR(__xludf.DUMMYFUNCTION("""COMPUTED_VALUE"""),1.0)</f>
        <v>1</v>
      </c>
      <c r="C43" s="98">
        <f>IFERROR(__xludf.DUMMYFUNCTION("""COMPUTED_VALUE"""),43743.0)</f>
        <v>43743</v>
      </c>
      <c r="D43" s="96" t="str">
        <f>IFERROR(__xludf.DUMMYFUNCTION("""COMPUTED_VALUE"""),"BABA NDIFON")</f>
        <v>BABA NDIFON</v>
      </c>
      <c r="E43" s="96"/>
      <c r="F43" s="96"/>
      <c r="G43" s="96"/>
      <c r="H43" s="96"/>
      <c r="I43" s="96"/>
      <c r="J43" s="96"/>
      <c r="K43" s="96"/>
      <c r="L43" s="96">
        <f>IFERROR(__xludf.DUMMYFUNCTION("""COMPUTED_VALUE"""),0.0)</f>
        <v>0</v>
      </c>
      <c r="M43" s="96">
        <f>IFERROR(__xludf.DUMMYFUNCTION("""COMPUTED_VALUE"""),0.0)</f>
        <v>0</v>
      </c>
      <c r="N43" s="96">
        <f>IFERROR(__xludf.DUMMYFUNCTION("""COMPUTED_VALUE"""),0.0)</f>
        <v>0</v>
      </c>
      <c r="O43" s="96">
        <f>IFERROR(__xludf.DUMMYFUNCTION("""COMPUTED_VALUE"""),190000.0)</f>
        <v>190000</v>
      </c>
      <c r="P43" s="129">
        <f>IFERROR(__xludf.DUMMYFUNCTION("""COMPUTED_VALUE"""),0.0)</f>
        <v>0</v>
      </c>
      <c r="Q43" s="99"/>
      <c r="R43" s="99">
        <f>IFERROR(__xludf.DUMMYFUNCTION("""COMPUTED_VALUE"""),190000.0)</f>
        <v>190000</v>
      </c>
    </row>
    <row r="44">
      <c r="B44" s="96">
        <f>IFERROR(__xludf.DUMMYFUNCTION("""COMPUTED_VALUE"""),1.0)</f>
        <v>1</v>
      </c>
      <c r="C44" s="98">
        <f>IFERROR(__xludf.DUMMYFUNCTION("""COMPUTED_VALUE"""),43743.0)</f>
        <v>43743</v>
      </c>
      <c r="D44" s="96" t="str">
        <f>IFERROR(__xludf.DUMMYFUNCTION("""COMPUTED_VALUE"""),"TIMOTHY  OLUM")</f>
        <v>TIMOTHY  OLUM</v>
      </c>
      <c r="E44" s="96"/>
      <c r="F44" s="96"/>
      <c r="G44" s="96"/>
      <c r="H44" s="96"/>
      <c r="I44" s="96"/>
      <c r="J44" s="96"/>
      <c r="K44" s="96"/>
      <c r="L44" s="96">
        <f>IFERROR(__xludf.DUMMYFUNCTION("""COMPUTED_VALUE"""),0.0)</f>
        <v>0</v>
      </c>
      <c r="M44" s="96">
        <f>IFERROR(__xludf.DUMMYFUNCTION("""COMPUTED_VALUE"""),0.0)</f>
        <v>0</v>
      </c>
      <c r="N44" s="96">
        <f>IFERROR(__xludf.DUMMYFUNCTION("""COMPUTED_VALUE"""),0.0)</f>
        <v>0</v>
      </c>
      <c r="O44" s="96">
        <f>IFERROR(__xludf.DUMMYFUNCTION("""COMPUTED_VALUE"""),150000.0)</f>
        <v>150000</v>
      </c>
      <c r="P44" s="129">
        <f>IFERROR(__xludf.DUMMYFUNCTION("""COMPUTED_VALUE"""),0.0)</f>
        <v>0</v>
      </c>
      <c r="Q44" s="99"/>
      <c r="R44" s="99">
        <f>IFERROR(__xludf.DUMMYFUNCTION("""COMPUTED_VALUE"""),150000.0)</f>
        <v>150000</v>
      </c>
    </row>
    <row r="45">
      <c r="B45" s="96">
        <f>IFERROR(__xludf.DUMMYFUNCTION("""COMPUTED_VALUE"""),1.0)</f>
        <v>1</v>
      </c>
      <c r="C45" s="98">
        <f>IFERROR(__xludf.DUMMYFUNCTION("""COMPUTED_VALUE"""),43743.0)</f>
        <v>43743</v>
      </c>
      <c r="D45" s="96" t="str">
        <f>IFERROR(__xludf.DUMMYFUNCTION("""COMPUTED_VALUE"""),"AGEGE BOY")</f>
        <v>AGEGE BOY</v>
      </c>
      <c r="E45" s="96"/>
      <c r="F45" s="96"/>
      <c r="G45" s="96"/>
      <c r="H45" s="96"/>
      <c r="I45" s="96"/>
      <c r="J45" s="96"/>
      <c r="K45" s="96"/>
      <c r="L45" s="96">
        <f>IFERROR(__xludf.DUMMYFUNCTION("""COMPUTED_VALUE"""),0.0)</f>
        <v>0</v>
      </c>
      <c r="M45" s="96">
        <f>IFERROR(__xludf.DUMMYFUNCTION("""COMPUTED_VALUE"""),0.0)</f>
        <v>0</v>
      </c>
      <c r="N45" s="96">
        <f>IFERROR(__xludf.DUMMYFUNCTION("""COMPUTED_VALUE"""),0.0)</f>
        <v>0</v>
      </c>
      <c r="O45" s="96">
        <f>IFERROR(__xludf.DUMMYFUNCTION("""COMPUTED_VALUE"""),300000.0)</f>
        <v>300000</v>
      </c>
      <c r="P45" s="129">
        <f>IFERROR(__xludf.DUMMYFUNCTION("""COMPUTED_VALUE"""),0.0)</f>
        <v>0</v>
      </c>
      <c r="Q45" s="99"/>
      <c r="R45" s="99">
        <f>IFERROR(__xludf.DUMMYFUNCTION("""COMPUTED_VALUE"""),300000.0)</f>
        <v>300000</v>
      </c>
    </row>
    <row r="46">
      <c r="B46" s="96">
        <f>IFERROR(__xludf.DUMMYFUNCTION("""COMPUTED_VALUE"""),1.0)</f>
        <v>1</v>
      </c>
      <c r="C46" s="98">
        <f>IFERROR(__xludf.DUMMYFUNCTION("""COMPUTED_VALUE"""),43743.0)</f>
        <v>43743</v>
      </c>
      <c r="D46" s="96" t="str">
        <f>IFERROR(__xludf.DUMMYFUNCTION("""COMPUTED_VALUE"""),"PRINNESS")</f>
        <v>PRINNESS</v>
      </c>
      <c r="E46" s="96"/>
      <c r="F46" s="96"/>
      <c r="G46" s="96"/>
      <c r="H46" s="96"/>
      <c r="I46" s="96"/>
      <c r="J46" s="96"/>
      <c r="K46" s="96"/>
      <c r="L46" s="96">
        <f>IFERROR(__xludf.DUMMYFUNCTION("""COMPUTED_VALUE"""),0.0)</f>
        <v>0</v>
      </c>
      <c r="M46" s="96">
        <f>IFERROR(__xludf.DUMMYFUNCTION("""COMPUTED_VALUE"""),0.0)</f>
        <v>0</v>
      </c>
      <c r="N46" s="96">
        <f>IFERROR(__xludf.DUMMYFUNCTION("""COMPUTED_VALUE"""),0.0)</f>
        <v>0</v>
      </c>
      <c r="O46" s="96">
        <f>IFERROR(__xludf.DUMMYFUNCTION("""COMPUTED_VALUE"""),200000.0)</f>
        <v>200000</v>
      </c>
      <c r="P46" s="129">
        <f>IFERROR(__xludf.DUMMYFUNCTION("""COMPUTED_VALUE"""),0.0)</f>
        <v>0</v>
      </c>
      <c r="Q46" s="99"/>
      <c r="R46" s="99">
        <f>IFERROR(__xludf.DUMMYFUNCTION("""COMPUTED_VALUE"""),200000.0)</f>
        <v>200000</v>
      </c>
    </row>
    <row r="47">
      <c r="B47" s="96">
        <f>IFERROR(__xludf.DUMMYFUNCTION("""COMPUTED_VALUE"""),1.0)</f>
        <v>1</v>
      </c>
      <c r="C47" s="98">
        <f>IFERROR(__xludf.DUMMYFUNCTION("""COMPUTED_VALUE"""),43743.0)</f>
        <v>43743</v>
      </c>
      <c r="D47" s="96" t="str">
        <f>IFERROR(__xludf.DUMMYFUNCTION("""COMPUTED_VALUE"""),"CORNWELL")</f>
        <v>CORNWELL</v>
      </c>
      <c r="E47" s="96"/>
      <c r="F47" s="96"/>
      <c r="G47" s="96"/>
      <c r="H47" s="96"/>
      <c r="I47" s="96"/>
      <c r="J47" s="96"/>
      <c r="K47" s="96"/>
      <c r="L47" s="96">
        <f>IFERROR(__xludf.DUMMYFUNCTION("""COMPUTED_VALUE"""),0.0)</f>
        <v>0</v>
      </c>
      <c r="M47" s="96">
        <f>IFERROR(__xludf.DUMMYFUNCTION("""COMPUTED_VALUE"""),0.0)</f>
        <v>0</v>
      </c>
      <c r="N47" s="96">
        <f>IFERROR(__xludf.DUMMYFUNCTION("""COMPUTED_VALUE"""),0.0)</f>
        <v>0</v>
      </c>
      <c r="O47" s="96">
        <f>IFERROR(__xludf.DUMMYFUNCTION("""COMPUTED_VALUE"""),879440.0)</f>
        <v>879440</v>
      </c>
      <c r="P47" s="129">
        <f>IFERROR(__xludf.DUMMYFUNCTION("""COMPUTED_VALUE"""),0.0)</f>
        <v>0</v>
      </c>
      <c r="Q47" s="99"/>
      <c r="R47" s="99">
        <f>IFERROR(__xludf.DUMMYFUNCTION("""COMPUTED_VALUE"""),879440.0)</f>
        <v>879440</v>
      </c>
    </row>
    <row r="48">
      <c r="B48" s="96">
        <f>IFERROR(__xludf.DUMMYFUNCTION("""COMPUTED_VALUE"""),1.0)</f>
        <v>1</v>
      </c>
      <c r="C48" s="98">
        <f>IFERROR(__xludf.DUMMYFUNCTION("""COMPUTED_VALUE"""),43743.0)</f>
        <v>43743</v>
      </c>
      <c r="D48" s="96" t="str">
        <f>IFERROR(__xludf.DUMMYFUNCTION("""COMPUTED_VALUE"""),"DUN ODI A.")</f>
        <v>DUN ODI A.</v>
      </c>
      <c r="E48" s="96"/>
      <c r="F48" s="96"/>
      <c r="G48" s="96"/>
      <c r="H48" s="96"/>
      <c r="I48" s="96"/>
      <c r="J48" s="96"/>
      <c r="K48" s="96"/>
      <c r="L48" s="96">
        <f>IFERROR(__xludf.DUMMYFUNCTION("""COMPUTED_VALUE"""),0.0)</f>
        <v>0</v>
      </c>
      <c r="M48" s="96">
        <f>IFERROR(__xludf.DUMMYFUNCTION("""COMPUTED_VALUE"""),0.0)</f>
        <v>0</v>
      </c>
      <c r="N48" s="96">
        <f>IFERROR(__xludf.DUMMYFUNCTION("""COMPUTED_VALUE"""),0.0)</f>
        <v>0</v>
      </c>
      <c r="O48" s="96">
        <f>IFERROR(__xludf.DUMMYFUNCTION("""COMPUTED_VALUE"""),30000.0)</f>
        <v>30000</v>
      </c>
      <c r="P48" s="129">
        <f>IFERROR(__xludf.DUMMYFUNCTION("""COMPUTED_VALUE"""),0.0)</f>
        <v>0</v>
      </c>
      <c r="Q48" s="99"/>
      <c r="R48" s="99">
        <f>IFERROR(__xludf.DUMMYFUNCTION("""COMPUTED_VALUE"""),30000.0)</f>
        <v>30000</v>
      </c>
    </row>
    <row r="49">
      <c r="B49" s="96">
        <f>IFERROR(__xludf.DUMMYFUNCTION("""COMPUTED_VALUE"""),1.0)</f>
        <v>1</v>
      </c>
      <c r="C49" s="98">
        <f>IFERROR(__xludf.DUMMYFUNCTION("""COMPUTED_VALUE"""),43743.0)</f>
        <v>43743</v>
      </c>
      <c r="D49" s="96" t="str">
        <f>IFERROR(__xludf.DUMMYFUNCTION("""COMPUTED_VALUE"""),"MAXWELL AGRO PRIN")</f>
        <v>MAXWELL AGRO PRIN</v>
      </c>
      <c r="E49" s="96"/>
      <c r="F49" s="96"/>
      <c r="G49" s="96"/>
      <c r="H49" s="96"/>
      <c r="I49" s="96"/>
      <c r="J49" s="96"/>
      <c r="K49" s="96"/>
      <c r="L49" s="96">
        <f>IFERROR(__xludf.DUMMYFUNCTION("""COMPUTED_VALUE"""),0.0)</f>
        <v>0</v>
      </c>
      <c r="M49" s="96">
        <f>IFERROR(__xludf.DUMMYFUNCTION("""COMPUTED_VALUE"""),0.0)</f>
        <v>0</v>
      </c>
      <c r="N49" s="96">
        <f>IFERROR(__xludf.DUMMYFUNCTION("""COMPUTED_VALUE"""),0.0)</f>
        <v>0</v>
      </c>
      <c r="O49" s="96">
        <f>IFERROR(__xludf.DUMMYFUNCTION("""COMPUTED_VALUE"""),280000.0)</f>
        <v>280000</v>
      </c>
      <c r="P49" s="129">
        <f>IFERROR(__xludf.DUMMYFUNCTION("""COMPUTED_VALUE"""),0.0)</f>
        <v>0</v>
      </c>
      <c r="Q49" s="99"/>
      <c r="R49" s="99">
        <f>IFERROR(__xludf.DUMMYFUNCTION("""COMPUTED_VALUE"""),280000.0)</f>
        <v>280000</v>
      </c>
    </row>
    <row r="50">
      <c r="B50" s="96">
        <f>IFERROR(__xludf.DUMMYFUNCTION("""COMPUTED_VALUE"""),1.0)</f>
        <v>1</v>
      </c>
      <c r="C50" s="98">
        <f>IFERROR(__xludf.DUMMYFUNCTION("""COMPUTED_VALUE"""),43743.0)</f>
        <v>43743</v>
      </c>
      <c r="D50" s="96" t="str">
        <f>IFERROR(__xludf.DUMMYFUNCTION("""COMPUTED_VALUE"""),"FRANCIS KEIBO")</f>
        <v>FRANCIS KEIBO</v>
      </c>
      <c r="E50" s="96"/>
      <c r="F50" s="96"/>
      <c r="G50" s="96"/>
      <c r="H50" s="96"/>
      <c r="I50" s="96"/>
      <c r="J50" s="96"/>
      <c r="K50" s="96"/>
      <c r="L50" s="96">
        <f>IFERROR(__xludf.DUMMYFUNCTION("""COMPUTED_VALUE"""),0.0)</f>
        <v>0</v>
      </c>
      <c r="M50" s="96">
        <f>IFERROR(__xludf.DUMMYFUNCTION("""COMPUTED_VALUE"""),0.0)</f>
        <v>0</v>
      </c>
      <c r="N50" s="96">
        <f>IFERROR(__xludf.DUMMYFUNCTION("""COMPUTED_VALUE"""),0.0)</f>
        <v>0</v>
      </c>
      <c r="O50" s="96">
        <f>IFERROR(__xludf.DUMMYFUNCTION("""COMPUTED_VALUE"""),237000.0)</f>
        <v>237000</v>
      </c>
      <c r="P50" s="129">
        <f>IFERROR(__xludf.DUMMYFUNCTION("""COMPUTED_VALUE"""),0.0)</f>
        <v>0</v>
      </c>
      <c r="Q50" s="99"/>
      <c r="R50" s="99">
        <f>IFERROR(__xludf.DUMMYFUNCTION("""COMPUTED_VALUE"""),237000.0)</f>
        <v>237000</v>
      </c>
    </row>
    <row r="51">
      <c r="B51" s="96">
        <f>IFERROR(__xludf.DUMMYFUNCTION("""COMPUTED_VALUE"""),1.0)</f>
        <v>1</v>
      </c>
      <c r="C51" s="98">
        <f>IFERROR(__xludf.DUMMYFUNCTION("""COMPUTED_VALUE"""),43743.0)</f>
        <v>43743</v>
      </c>
      <c r="D51" s="96" t="str">
        <f>IFERROR(__xludf.DUMMYFUNCTION("""COMPUTED_VALUE"""),"COLLABS")</f>
        <v>COLLABS</v>
      </c>
      <c r="E51" s="96"/>
      <c r="F51" s="96"/>
      <c r="G51" s="96"/>
      <c r="H51" s="96"/>
      <c r="I51" s="96"/>
      <c r="J51" s="96"/>
      <c r="K51" s="96"/>
      <c r="L51" s="96">
        <f>IFERROR(__xludf.DUMMYFUNCTION("""COMPUTED_VALUE"""),0.0)</f>
        <v>0</v>
      </c>
      <c r="M51" s="96">
        <f>IFERROR(__xludf.DUMMYFUNCTION("""COMPUTED_VALUE"""),0.0)</f>
        <v>0</v>
      </c>
      <c r="N51" s="96">
        <f>IFERROR(__xludf.DUMMYFUNCTION("""COMPUTED_VALUE"""),0.0)</f>
        <v>0</v>
      </c>
      <c r="O51" s="96">
        <f>IFERROR(__xludf.DUMMYFUNCTION("""COMPUTED_VALUE"""),220000.0)</f>
        <v>220000</v>
      </c>
      <c r="P51" s="129">
        <f>IFERROR(__xludf.DUMMYFUNCTION("""COMPUTED_VALUE"""),0.0)</f>
        <v>0</v>
      </c>
      <c r="Q51" s="99"/>
      <c r="R51" s="99">
        <f>IFERROR(__xludf.DUMMYFUNCTION("""COMPUTED_VALUE"""),220000.0)</f>
        <v>220000</v>
      </c>
    </row>
    <row r="52">
      <c r="B52" s="96">
        <f>IFERROR(__xludf.DUMMYFUNCTION("""COMPUTED_VALUE"""),1.0)</f>
        <v>1</v>
      </c>
      <c r="C52" s="98">
        <f>IFERROR(__xludf.DUMMYFUNCTION("""COMPUTED_VALUE"""),43743.0)</f>
        <v>43743</v>
      </c>
      <c r="D52" s="96" t="str">
        <f>IFERROR(__xludf.DUMMYFUNCTION("""COMPUTED_VALUE"""),"CONNECT")</f>
        <v>CONNECT</v>
      </c>
      <c r="E52" s="96"/>
      <c r="F52" s="96"/>
      <c r="G52" s="96"/>
      <c r="H52" s="96"/>
      <c r="I52" s="96"/>
      <c r="J52" s="96"/>
      <c r="K52" s="96"/>
      <c r="L52" s="96">
        <f>IFERROR(__xludf.DUMMYFUNCTION("""COMPUTED_VALUE"""),0.0)</f>
        <v>0</v>
      </c>
      <c r="M52" s="96">
        <f>IFERROR(__xludf.DUMMYFUNCTION("""COMPUTED_VALUE"""),0.0)</f>
        <v>0</v>
      </c>
      <c r="N52" s="96">
        <f>IFERROR(__xludf.DUMMYFUNCTION("""COMPUTED_VALUE"""),0.0)</f>
        <v>0</v>
      </c>
      <c r="O52" s="96">
        <f>IFERROR(__xludf.DUMMYFUNCTION("""COMPUTED_VALUE"""),1200000.0)</f>
        <v>1200000</v>
      </c>
      <c r="P52" s="129">
        <f>IFERROR(__xludf.DUMMYFUNCTION("""COMPUTED_VALUE"""),0.0)</f>
        <v>0</v>
      </c>
      <c r="Q52" s="99"/>
      <c r="R52" s="99">
        <f>IFERROR(__xludf.DUMMYFUNCTION("""COMPUTED_VALUE"""),1200000.0)</f>
        <v>1200000</v>
      </c>
    </row>
    <row r="53">
      <c r="B53" s="96">
        <f>IFERROR(__xludf.DUMMYFUNCTION("""COMPUTED_VALUE"""),1.0)</f>
        <v>1</v>
      </c>
      <c r="C53" s="98">
        <f>IFERROR(__xludf.DUMMYFUNCTION("""COMPUTED_VALUE"""),43743.0)</f>
        <v>43743</v>
      </c>
      <c r="D53" s="96" t="str">
        <f>IFERROR(__xludf.DUMMYFUNCTION("""COMPUTED_VALUE"""),"KARIEN EBAN")</f>
        <v>KARIEN EBAN</v>
      </c>
      <c r="E53" s="96"/>
      <c r="F53" s="96"/>
      <c r="G53" s="96"/>
      <c r="H53" s="96"/>
      <c r="I53" s="96"/>
      <c r="J53" s="96"/>
      <c r="K53" s="96"/>
      <c r="L53" s="96">
        <f>IFERROR(__xludf.DUMMYFUNCTION("""COMPUTED_VALUE"""),0.0)</f>
        <v>0</v>
      </c>
      <c r="M53" s="96">
        <f>IFERROR(__xludf.DUMMYFUNCTION("""COMPUTED_VALUE"""),0.0)</f>
        <v>0</v>
      </c>
      <c r="N53" s="96">
        <f>IFERROR(__xludf.DUMMYFUNCTION("""COMPUTED_VALUE"""),0.0)</f>
        <v>0</v>
      </c>
      <c r="O53" s="96">
        <f>IFERROR(__xludf.DUMMYFUNCTION("""COMPUTED_VALUE"""),1500000.0)</f>
        <v>1500000</v>
      </c>
      <c r="P53" s="129">
        <f>IFERROR(__xludf.DUMMYFUNCTION("""COMPUTED_VALUE"""),0.0)</f>
        <v>0</v>
      </c>
      <c r="Q53" s="99"/>
      <c r="R53" s="99">
        <f>IFERROR(__xludf.DUMMYFUNCTION("""COMPUTED_VALUE"""),1500000.0)</f>
        <v>1500000</v>
      </c>
    </row>
    <row r="54">
      <c r="B54" s="96">
        <f>IFERROR(__xludf.DUMMYFUNCTION("""COMPUTED_VALUE"""),1.0)</f>
        <v>1</v>
      </c>
      <c r="C54" s="98">
        <f>IFERROR(__xludf.DUMMYFUNCTION("""COMPUTED_VALUE"""),43743.0)</f>
        <v>43743</v>
      </c>
      <c r="D54" s="96" t="str">
        <f>IFERROR(__xludf.DUMMYFUNCTION("""COMPUTED_VALUE"""),"ZULU &amp; NDOMA")</f>
        <v>ZULU &amp; NDOMA</v>
      </c>
      <c r="E54" s="96"/>
      <c r="F54" s="96"/>
      <c r="G54" s="96"/>
      <c r="H54" s="96"/>
      <c r="I54" s="96"/>
      <c r="J54" s="96"/>
      <c r="K54" s="96"/>
      <c r="L54" s="96">
        <f>IFERROR(__xludf.DUMMYFUNCTION("""COMPUTED_VALUE"""),0.0)</f>
        <v>0</v>
      </c>
      <c r="M54" s="96">
        <f>IFERROR(__xludf.DUMMYFUNCTION("""COMPUTED_VALUE"""),0.0)</f>
        <v>0</v>
      </c>
      <c r="N54" s="96">
        <f>IFERROR(__xludf.DUMMYFUNCTION("""COMPUTED_VALUE"""),0.0)</f>
        <v>0</v>
      </c>
      <c r="O54" s="96">
        <f>IFERROR(__xludf.DUMMYFUNCTION("""COMPUTED_VALUE"""),165400.0)</f>
        <v>165400</v>
      </c>
      <c r="P54" s="129">
        <f>IFERROR(__xludf.DUMMYFUNCTION("""COMPUTED_VALUE"""),0.0)</f>
        <v>0</v>
      </c>
      <c r="Q54" s="99"/>
      <c r="R54" s="99">
        <f>IFERROR(__xludf.DUMMYFUNCTION("""COMPUTED_VALUE"""),165400.0)</f>
        <v>165400</v>
      </c>
    </row>
    <row r="55">
      <c r="B55" s="96">
        <f>IFERROR(__xludf.DUMMYFUNCTION("""COMPUTED_VALUE"""),1.0)</f>
        <v>1</v>
      </c>
      <c r="C55" s="98">
        <f>IFERROR(__xludf.DUMMYFUNCTION("""COMPUTED_VALUE"""),43743.0)</f>
        <v>43743</v>
      </c>
      <c r="D55" s="96" t="str">
        <f>IFERROR(__xludf.DUMMYFUNCTION("""COMPUTED_VALUE"""),"TIWA AGBA")</f>
        <v>TIWA AGBA</v>
      </c>
      <c r="E55" s="96"/>
      <c r="F55" s="96"/>
      <c r="G55" s="96"/>
      <c r="H55" s="96"/>
      <c r="I55" s="96"/>
      <c r="J55" s="96"/>
      <c r="K55" s="96"/>
      <c r="L55" s="96">
        <f>IFERROR(__xludf.DUMMYFUNCTION("""COMPUTED_VALUE"""),0.0)</f>
        <v>0</v>
      </c>
      <c r="M55" s="96">
        <f>IFERROR(__xludf.DUMMYFUNCTION("""COMPUTED_VALUE"""),0.0)</f>
        <v>0</v>
      </c>
      <c r="N55" s="96">
        <f>IFERROR(__xludf.DUMMYFUNCTION("""COMPUTED_VALUE"""),0.0)</f>
        <v>0</v>
      </c>
      <c r="O55" s="96">
        <f>IFERROR(__xludf.DUMMYFUNCTION("""COMPUTED_VALUE"""),5000.0)</f>
        <v>5000</v>
      </c>
      <c r="P55" s="129">
        <f>IFERROR(__xludf.DUMMYFUNCTION("""COMPUTED_VALUE"""),0.0)</f>
        <v>0</v>
      </c>
      <c r="Q55" s="99"/>
      <c r="R55" s="99">
        <f>IFERROR(__xludf.DUMMYFUNCTION("""COMPUTED_VALUE"""),5000.0)</f>
        <v>5000</v>
      </c>
    </row>
    <row r="56">
      <c r="B56" s="96">
        <f>IFERROR(__xludf.DUMMYFUNCTION("""COMPUTED_VALUE"""),1.0)</f>
        <v>1</v>
      </c>
      <c r="C56" s="98">
        <f>IFERROR(__xludf.DUMMYFUNCTION("""COMPUTED_VALUE"""),43743.0)</f>
        <v>43743</v>
      </c>
      <c r="D56" s="96" t="str">
        <f>IFERROR(__xludf.DUMMYFUNCTION("""COMPUTED_VALUE"""),"PAPA AJASCO BETTE")</f>
        <v>PAPA AJASCO BETTE</v>
      </c>
      <c r="E56" s="96"/>
      <c r="F56" s="96"/>
      <c r="G56" s="96"/>
      <c r="H56" s="96"/>
      <c r="I56" s="96"/>
      <c r="J56" s="96"/>
      <c r="K56" s="96"/>
      <c r="L56" s="96">
        <f>IFERROR(__xludf.DUMMYFUNCTION("""COMPUTED_VALUE"""),0.0)</f>
        <v>0</v>
      </c>
      <c r="M56" s="96">
        <f>IFERROR(__xludf.DUMMYFUNCTION("""COMPUTED_VALUE"""),0.0)</f>
        <v>0</v>
      </c>
      <c r="N56" s="96">
        <f>IFERROR(__xludf.DUMMYFUNCTION("""COMPUTED_VALUE"""),0.0)</f>
        <v>0</v>
      </c>
      <c r="O56" s="96">
        <f>IFERROR(__xludf.DUMMYFUNCTION("""COMPUTED_VALUE"""),200000.0)</f>
        <v>200000</v>
      </c>
      <c r="P56" s="129">
        <f>IFERROR(__xludf.DUMMYFUNCTION("""COMPUTED_VALUE"""),0.0)</f>
        <v>0</v>
      </c>
      <c r="Q56" s="99"/>
      <c r="R56" s="99">
        <f>IFERROR(__xludf.DUMMYFUNCTION("""COMPUTED_VALUE"""),200000.0)</f>
        <v>200000</v>
      </c>
    </row>
    <row r="57">
      <c r="B57" s="96">
        <f>IFERROR(__xludf.DUMMYFUNCTION("""COMPUTED_VALUE"""),2.0)</f>
        <v>2</v>
      </c>
      <c r="C57" s="98">
        <f>IFERROR(__xludf.DUMMYFUNCTION("""COMPUTED_VALUE"""),44027.0)</f>
        <v>44027</v>
      </c>
      <c r="D57" s="96" t="str">
        <f>IFERROR(__xludf.DUMMYFUNCTION("""COMPUTED_VALUE"""),"REMMY BODES")</f>
        <v>REMMY BODES</v>
      </c>
      <c r="E57" s="96"/>
      <c r="F57" s="96"/>
      <c r="G57" s="96"/>
      <c r="H57" s="96"/>
      <c r="I57" s="96"/>
      <c r="J57" s="96"/>
      <c r="K57" s="96"/>
      <c r="L57" s="96">
        <f>IFERROR(__xludf.DUMMYFUNCTION("""COMPUTED_VALUE"""),0.0)</f>
        <v>0</v>
      </c>
      <c r="M57" s="96">
        <f>IFERROR(__xludf.DUMMYFUNCTION("""COMPUTED_VALUE"""),0.0)</f>
        <v>0</v>
      </c>
      <c r="N57" s="96">
        <f>IFERROR(__xludf.DUMMYFUNCTION("""COMPUTED_VALUE"""),0.0)</f>
        <v>0</v>
      </c>
      <c r="O57" s="96">
        <f>IFERROR(__xludf.DUMMYFUNCTION("""COMPUTED_VALUE"""),200000.0)</f>
        <v>200000</v>
      </c>
      <c r="P57" s="129">
        <f>IFERROR(__xludf.DUMMYFUNCTION("""COMPUTED_VALUE"""),0.0)</f>
        <v>0</v>
      </c>
      <c r="Q57" s="99"/>
      <c r="R57" s="99">
        <f>IFERROR(__xludf.DUMMYFUNCTION("""COMPUTED_VALUE"""),710000.0)</f>
        <v>710000</v>
      </c>
    </row>
    <row r="58">
      <c r="B58" s="96">
        <f>IFERROR(__xludf.DUMMYFUNCTION("""COMPUTED_VALUE"""),2.0)</f>
        <v>2</v>
      </c>
      <c r="C58" s="98">
        <f>IFERROR(__xludf.DUMMYFUNCTION("""COMPUTED_VALUE"""),44027.0)</f>
        <v>44027</v>
      </c>
      <c r="D58" s="96" t="str">
        <f>IFERROR(__xludf.DUMMYFUNCTION("""COMPUTED_VALUE"""),"CORNWELL")</f>
        <v>CORNWELL</v>
      </c>
      <c r="E58" s="96"/>
      <c r="F58" s="96"/>
      <c r="G58" s="96"/>
      <c r="H58" s="96"/>
      <c r="I58" s="96"/>
      <c r="J58" s="96"/>
      <c r="K58" s="96"/>
      <c r="L58" s="96">
        <f>IFERROR(__xludf.DUMMYFUNCTION("""COMPUTED_VALUE"""),0.0)</f>
        <v>0</v>
      </c>
      <c r="M58" s="96">
        <f>IFERROR(__xludf.DUMMYFUNCTION("""COMPUTED_VALUE"""),0.0)</f>
        <v>0</v>
      </c>
      <c r="N58" s="96">
        <f>IFERROR(__xludf.DUMMYFUNCTION("""COMPUTED_VALUE"""),0.0)</f>
        <v>0</v>
      </c>
      <c r="O58" s="96">
        <f>IFERROR(__xludf.DUMMYFUNCTION("""COMPUTED_VALUE"""),5000000.0)</f>
        <v>5000000</v>
      </c>
      <c r="P58" s="129">
        <f>IFERROR(__xludf.DUMMYFUNCTION("""COMPUTED_VALUE"""),0.0)</f>
        <v>0</v>
      </c>
      <c r="Q58" s="99"/>
      <c r="R58" s="99">
        <f>IFERROR(__xludf.DUMMYFUNCTION("""COMPUTED_VALUE"""),5879440.0)</f>
        <v>5879440</v>
      </c>
    </row>
    <row r="59">
      <c r="B59" s="96">
        <f>IFERROR(__xludf.DUMMYFUNCTION("""COMPUTED_VALUE"""),1.0)</f>
        <v>1</v>
      </c>
      <c r="C59" s="98">
        <f>IFERROR(__xludf.DUMMYFUNCTION("""COMPUTED_VALUE"""),44027.0)</f>
        <v>44027</v>
      </c>
      <c r="D59" s="96" t="str">
        <f>IFERROR(__xludf.DUMMYFUNCTION("""COMPUTED_VALUE"""),"LIVINUS")</f>
        <v>LIVINUS</v>
      </c>
      <c r="E59" s="96"/>
      <c r="F59" s="96"/>
      <c r="G59" s="96"/>
      <c r="H59" s="96"/>
      <c r="I59" s="96"/>
      <c r="J59" s="96"/>
      <c r="K59" s="96"/>
      <c r="L59" s="96">
        <f>IFERROR(__xludf.DUMMYFUNCTION("""COMPUTED_VALUE"""),0.0)</f>
        <v>0</v>
      </c>
      <c r="M59" s="96">
        <f>IFERROR(__xludf.DUMMYFUNCTION("""COMPUTED_VALUE"""),0.0)</f>
        <v>0</v>
      </c>
      <c r="N59" s="96">
        <f>IFERROR(__xludf.DUMMYFUNCTION("""COMPUTED_VALUE"""),0.0)</f>
        <v>0</v>
      </c>
      <c r="O59" s="96">
        <f>IFERROR(__xludf.DUMMYFUNCTION("""COMPUTED_VALUE"""),240000.0)</f>
        <v>240000</v>
      </c>
      <c r="P59" s="129">
        <f>IFERROR(__xludf.DUMMYFUNCTION("""COMPUTED_VALUE"""),0.0)</f>
        <v>0</v>
      </c>
      <c r="Q59" s="99"/>
      <c r="R59" s="99">
        <f>IFERROR(__xludf.DUMMYFUNCTION("""COMPUTED_VALUE"""),240000.0)</f>
        <v>240000</v>
      </c>
    </row>
    <row r="60">
      <c r="B60" s="96">
        <f>IFERROR(__xludf.DUMMYFUNCTION("""COMPUTED_VALUE"""),1.0)</f>
        <v>1</v>
      </c>
      <c r="C60" s="98">
        <f>IFERROR(__xludf.DUMMYFUNCTION("""COMPUTED_VALUE"""),44027.0)</f>
        <v>44027</v>
      </c>
      <c r="D60" s="96" t="str">
        <f>IFERROR(__xludf.DUMMYFUNCTION("""COMPUTED_VALUE"""),"JAMES AKAN")</f>
        <v>JAMES AKAN</v>
      </c>
      <c r="E60" s="96"/>
      <c r="F60" s="96"/>
      <c r="G60" s="96"/>
      <c r="H60" s="96"/>
      <c r="I60" s="96"/>
      <c r="J60" s="96"/>
      <c r="K60" s="96"/>
      <c r="L60" s="96">
        <f>IFERROR(__xludf.DUMMYFUNCTION("""COMPUTED_VALUE"""),0.0)</f>
        <v>0</v>
      </c>
      <c r="M60" s="96">
        <f>IFERROR(__xludf.DUMMYFUNCTION("""COMPUTED_VALUE"""),0.0)</f>
        <v>0</v>
      </c>
      <c r="N60" s="96">
        <f>IFERROR(__xludf.DUMMYFUNCTION("""COMPUTED_VALUE"""),0.0)</f>
        <v>0</v>
      </c>
      <c r="O60" s="96">
        <f>IFERROR(__xludf.DUMMYFUNCTION("""COMPUTED_VALUE"""),245000.0)</f>
        <v>245000</v>
      </c>
      <c r="P60" s="129">
        <f>IFERROR(__xludf.DUMMYFUNCTION("""COMPUTED_VALUE"""),0.0)</f>
        <v>0</v>
      </c>
      <c r="Q60" s="99"/>
      <c r="R60" s="99">
        <f>IFERROR(__xludf.DUMMYFUNCTION("""COMPUTED_VALUE"""),245000.0)</f>
        <v>245000</v>
      </c>
    </row>
    <row r="61">
      <c r="B61" s="96">
        <f>IFERROR(__xludf.DUMMYFUNCTION("""COMPUTED_VALUE"""),1.0)</f>
        <v>1</v>
      </c>
      <c r="C61" s="98">
        <f>IFERROR(__xludf.DUMMYFUNCTION("""COMPUTED_VALUE"""),44029.0)</f>
        <v>44029</v>
      </c>
      <c r="D61" s="96" t="str">
        <f>IFERROR(__xludf.DUMMYFUNCTION("""COMPUTED_VALUE"""),"RECTOR W.")</f>
        <v>RECTOR W.</v>
      </c>
      <c r="E61" s="96">
        <f>IFERROR(__xludf.DUMMYFUNCTION("""COMPUTED_VALUE"""),1316.0)</f>
        <v>1316</v>
      </c>
      <c r="F61" s="96">
        <f>IFERROR(__xludf.DUMMYFUNCTION("""COMPUTED_VALUE"""),160.0)</f>
        <v>160</v>
      </c>
      <c r="G61" s="96"/>
      <c r="H61" s="96">
        <f>IFERROR(__xludf.DUMMYFUNCTION("""COMPUTED_VALUE"""),20.0)</f>
        <v>20</v>
      </c>
      <c r="I61" s="96">
        <f>IFERROR(__xludf.DUMMYFUNCTION("""COMPUTED_VALUE"""),0.0)</f>
        <v>0</v>
      </c>
      <c r="J61" s="96">
        <f>IFERROR(__xludf.DUMMYFUNCTION("""COMPUTED_VALUE"""),780.0)</f>
        <v>780</v>
      </c>
      <c r="K61" s="96">
        <f>IFERROR(__xludf.DUMMYFUNCTION("""COMPUTED_VALUE"""),8.0)</f>
        <v>8</v>
      </c>
      <c r="L61" s="96">
        <f>IFERROR(__xludf.DUMMYFUNCTION("""COMPUTED_VALUE"""),0.0)</f>
        <v>0</v>
      </c>
      <c r="M61" s="96">
        <f>IFERROR(__xludf.DUMMYFUNCTION("""COMPUTED_VALUE"""),20.0)</f>
        <v>20</v>
      </c>
      <c r="N61" s="96">
        <f>IFERROR(__xludf.DUMMYFUNCTION("""COMPUTED_VALUE"""),36.0)</f>
        <v>36</v>
      </c>
      <c r="O61" s="96"/>
      <c r="P61" s="129">
        <f>IFERROR(__xludf.DUMMYFUNCTION("""COMPUTED_VALUE"""),1296.0)</f>
        <v>1296</v>
      </c>
      <c r="Q61" s="99">
        <f>IFERROR(__xludf.DUMMYFUNCTION("""COMPUTED_VALUE"""),1010880.0)</f>
        <v>1010880</v>
      </c>
      <c r="R61" s="99">
        <f>IFERROR(__xludf.DUMMYFUNCTION("""COMPUTED_VALUE"""),-1010880.0)</f>
        <v>-1010880</v>
      </c>
    </row>
    <row r="62">
      <c r="B62" s="96">
        <f>IFERROR(__xludf.DUMMYFUNCTION("""COMPUTED_VALUE"""),2.0)</f>
        <v>2</v>
      </c>
      <c r="C62" s="98">
        <f>IFERROR(__xludf.DUMMYFUNCTION("""COMPUTED_VALUE"""),44030.0)</f>
        <v>44030</v>
      </c>
      <c r="D62" s="96" t="str">
        <f>IFERROR(__xludf.DUMMYFUNCTION("""COMPUTED_VALUE"""),"CONNECT")</f>
        <v>CONNECT</v>
      </c>
      <c r="E62" s="96"/>
      <c r="F62" s="96"/>
      <c r="G62" s="96"/>
      <c r="H62" s="96"/>
      <c r="I62" s="96"/>
      <c r="J62" s="96"/>
      <c r="K62" s="96"/>
      <c r="L62" s="96">
        <f>IFERROR(__xludf.DUMMYFUNCTION("""COMPUTED_VALUE"""),0.0)</f>
        <v>0</v>
      </c>
      <c r="M62" s="96">
        <f>IFERROR(__xludf.DUMMYFUNCTION("""COMPUTED_VALUE"""),0.0)</f>
        <v>0</v>
      </c>
      <c r="N62" s="96">
        <f>IFERROR(__xludf.DUMMYFUNCTION("""COMPUTED_VALUE"""),0.0)</f>
        <v>0</v>
      </c>
      <c r="O62" s="96"/>
      <c r="P62" s="129">
        <f>IFERROR(__xludf.DUMMYFUNCTION("""COMPUTED_VALUE"""),0.0)</f>
        <v>0</v>
      </c>
      <c r="Q62" s="99"/>
      <c r="R62" s="99">
        <f>IFERROR(__xludf.DUMMYFUNCTION("""COMPUTED_VALUE"""),1200000.0)</f>
        <v>1200000</v>
      </c>
    </row>
    <row r="63">
      <c r="B63" s="96">
        <f>IFERROR(__xludf.DUMMYFUNCTION("""COMPUTED_VALUE"""),2.0)</f>
        <v>2</v>
      </c>
      <c r="C63" s="98">
        <f>IFERROR(__xludf.DUMMYFUNCTION("""COMPUTED_VALUE"""),44028.0)</f>
        <v>44028</v>
      </c>
      <c r="D63" s="96" t="str">
        <f>IFERROR(__xludf.DUMMYFUNCTION("""COMPUTED_VALUE"""),"RECTOR W.")</f>
        <v>RECTOR W.</v>
      </c>
      <c r="E63" s="96"/>
      <c r="F63" s="96"/>
      <c r="G63" s="96"/>
      <c r="H63" s="96"/>
      <c r="I63" s="96"/>
      <c r="J63" s="96"/>
      <c r="K63" s="96"/>
      <c r="L63" s="96">
        <f>IFERROR(__xludf.DUMMYFUNCTION("""COMPUTED_VALUE"""),0.0)</f>
        <v>0</v>
      </c>
      <c r="M63" s="96">
        <f>IFERROR(__xludf.DUMMYFUNCTION("""COMPUTED_VALUE"""),0.0)</f>
        <v>0</v>
      </c>
      <c r="N63" s="96">
        <f>IFERROR(__xludf.DUMMYFUNCTION("""COMPUTED_VALUE"""),0.0)</f>
        <v>0</v>
      </c>
      <c r="O63" s="96">
        <f>IFERROR(__xludf.DUMMYFUNCTION("""COMPUTED_VALUE"""),567000.0)</f>
        <v>567000</v>
      </c>
      <c r="P63" s="129">
        <f>IFERROR(__xludf.DUMMYFUNCTION("""COMPUTED_VALUE"""),0.0)</f>
        <v>0</v>
      </c>
      <c r="Q63" s="99"/>
      <c r="R63" s="99">
        <f>IFERROR(__xludf.DUMMYFUNCTION("""COMPUTED_VALUE"""),-443880.0)</f>
        <v>-443880</v>
      </c>
    </row>
    <row r="64">
      <c r="B64" s="96">
        <f>IFERROR(__xludf.DUMMYFUNCTION("""COMPUTED_VALUE"""),3.0)</f>
        <v>3</v>
      </c>
      <c r="C64" s="98">
        <f>IFERROR(__xludf.DUMMYFUNCTION("""COMPUTED_VALUE"""),44028.0)</f>
        <v>44028</v>
      </c>
      <c r="D64" s="96" t="str">
        <f>IFERROR(__xludf.DUMMYFUNCTION("""COMPUTED_VALUE"""),"RECTOR W.")</f>
        <v>RECTOR W.</v>
      </c>
      <c r="E64" s="96"/>
      <c r="F64" s="96"/>
      <c r="G64" s="96"/>
      <c r="H64" s="96"/>
      <c r="I64" s="96"/>
      <c r="J64" s="96"/>
      <c r="K64" s="96"/>
      <c r="L64" s="96">
        <f>IFERROR(__xludf.DUMMYFUNCTION("""COMPUTED_VALUE"""),0.0)</f>
        <v>0</v>
      </c>
      <c r="M64" s="96">
        <f>IFERROR(__xludf.DUMMYFUNCTION("""COMPUTED_VALUE"""),0.0)</f>
        <v>0</v>
      </c>
      <c r="N64" s="96">
        <f>IFERROR(__xludf.DUMMYFUNCTION("""COMPUTED_VALUE"""),0.0)</f>
        <v>0</v>
      </c>
      <c r="O64" s="96">
        <f>IFERROR(__xludf.DUMMYFUNCTION("""COMPUTED_VALUE"""),50000.0)</f>
        <v>50000</v>
      </c>
      <c r="P64" s="129">
        <f>IFERROR(__xludf.DUMMYFUNCTION("""COMPUTED_VALUE"""),0.0)</f>
        <v>0</v>
      </c>
      <c r="Q64" s="99"/>
      <c r="R64" s="99">
        <f>IFERROR(__xludf.DUMMYFUNCTION("""COMPUTED_VALUE"""),-393880.0)</f>
        <v>-393880</v>
      </c>
    </row>
    <row r="65">
      <c r="B65" s="96">
        <f>IFERROR(__xludf.DUMMYFUNCTION("""COMPUTED_VALUE"""),4.0)</f>
        <v>4</v>
      </c>
      <c r="C65" s="98">
        <f>IFERROR(__xludf.DUMMYFUNCTION("""COMPUTED_VALUE"""),44028.0)</f>
        <v>44028</v>
      </c>
      <c r="D65" s="96" t="str">
        <f>IFERROR(__xludf.DUMMYFUNCTION("""COMPUTED_VALUE"""),"RECTOR W.")</f>
        <v>RECTOR W.</v>
      </c>
      <c r="E65" s="96"/>
      <c r="F65" s="96"/>
      <c r="G65" s="96"/>
      <c r="H65" s="96"/>
      <c r="I65" s="96"/>
      <c r="J65" s="96"/>
      <c r="K65" s="96"/>
      <c r="L65" s="96">
        <f>IFERROR(__xludf.DUMMYFUNCTION("""COMPUTED_VALUE"""),0.0)</f>
        <v>0</v>
      </c>
      <c r="M65" s="96">
        <f>IFERROR(__xludf.DUMMYFUNCTION("""COMPUTED_VALUE"""),0.0)</f>
        <v>0</v>
      </c>
      <c r="N65" s="96">
        <f>IFERROR(__xludf.DUMMYFUNCTION("""COMPUTED_VALUE"""),0.0)</f>
        <v>0</v>
      </c>
      <c r="O65" s="96">
        <f>IFERROR(__xludf.DUMMYFUNCTION("""COMPUTED_VALUE"""),30000.0)</f>
        <v>30000</v>
      </c>
      <c r="P65" s="129">
        <f>IFERROR(__xludf.DUMMYFUNCTION("""COMPUTED_VALUE"""),0.0)</f>
        <v>0</v>
      </c>
      <c r="Q65" s="99"/>
      <c r="R65" s="99">
        <f>IFERROR(__xludf.DUMMYFUNCTION("""COMPUTED_VALUE"""),-363880.0)</f>
        <v>-363880</v>
      </c>
    </row>
    <row r="66">
      <c r="B66" s="96">
        <f>IFERROR(__xludf.DUMMYFUNCTION("""COMPUTED_VALUE"""),5.0)</f>
        <v>5</v>
      </c>
      <c r="C66" s="98">
        <f>IFERROR(__xludf.DUMMYFUNCTION("""COMPUTED_VALUE"""),44028.0)</f>
        <v>44028</v>
      </c>
      <c r="D66" s="96" t="str">
        <f>IFERROR(__xludf.DUMMYFUNCTION("""COMPUTED_VALUE"""),"RECTOR W.")</f>
        <v>RECTOR W.</v>
      </c>
      <c r="E66" s="96"/>
      <c r="F66" s="96"/>
      <c r="G66" s="96"/>
      <c r="H66" s="96"/>
      <c r="I66" s="96"/>
      <c r="J66" s="96"/>
      <c r="K66" s="96"/>
      <c r="L66" s="96">
        <f>IFERROR(__xludf.DUMMYFUNCTION("""COMPUTED_VALUE"""),0.0)</f>
        <v>0</v>
      </c>
      <c r="M66" s="96">
        <f>IFERROR(__xludf.DUMMYFUNCTION("""COMPUTED_VALUE"""),0.0)</f>
        <v>0</v>
      </c>
      <c r="N66" s="96">
        <f>IFERROR(__xludf.DUMMYFUNCTION("""COMPUTED_VALUE"""),0.0)</f>
        <v>0</v>
      </c>
      <c r="O66" s="96">
        <f>IFERROR(__xludf.DUMMYFUNCTION("""COMPUTED_VALUE"""),5000.0)</f>
        <v>5000</v>
      </c>
      <c r="P66" s="129">
        <f>IFERROR(__xludf.DUMMYFUNCTION("""COMPUTED_VALUE"""),0.0)</f>
        <v>0</v>
      </c>
      <c r="Q66" s="99"/>
      <c r="R66" s="99">
        <f>IFERROR(__xludf.DUMMYFUNCTION("""COMPUTED_VALUE"""),-358880.0)</f>
        <v>-358880</v>
      </c>
    </row>
    <row r="67">
      <c r="B67" s="96">
        <f>IFERROR(__xludf.DUMMYFUNCTION("""COMPUTED_VALUE"""),3.0)</f>
        <v>3</v>
      </c>
      <c r="C67" s="98">
        <f>IFERROR(__xludf.DUMMYFUNCTION("""COMPUTED_VALUE"""),44029.0)</f>
        <v>44029</v>
      </c>
      <c r="D67" s="96" t="str">
        <f>IFERROR(__xludf.DUMMYFUNCTION("""COMPUTED_VALUE"""),"CORNWELL")</f>
        <v>CORNWELL</v>
      </c>
      <c r="E67" s="96"/>
      <c r="F67" s="96"/>
      <c r="G67" s="96"/>
      <c r="H67" s="96"/>
      <c r="I67" s="96"/>
      <c r="J67" s="96"/>
      <c r="K67" s="96"/>
      <c r="L67" s="96">
        <f>IFERROR(__xludf.DUMMYFUNCTION("""COMPUTED_VALUE"""),0.0)</f>
        <v>0</v>
      </c>
      <c r="M67" s="96">
        <f>IFERROR(__xludf.DUMMYFUNCTION("""COMPUTED_VALUE"""),0.0)</f>
        <v>0</v>
      </c>
      <c r="N67" s="96">
        <f>IFERROR(__xludf.DUMMYFUNCTION("""COMPUTED_VALUE"""),0.0)</f>
        <v>0</v>
      </c>
      <c r="O67" s="96">
        <f>IFERROR(__xludf.DUMMYFUNCTION("""COMPUTED_VALUE"""),5000000.0)</f>
        <v>5000000</v>
      </c>
      <c r="P67" s="129">
        <f>IFERROR(__xludf.DUMMYFUNCTION("""COMPUTED_VALUE"""),0.0)</f>
        <v>0</v>
      </c>
      <c r="Q67" s="99"/>
      <c r="R67" s="99">
        <f>IFERROR(__xludf.DUMMYFUNCTION("""COMPUTED_VALUE"""),1.087944E7)</f>
        <v>10879440</v>
      </c>
    </row>
    <row r="68">
      <c r="B68" s="96">
        <f>IFERROR(__xludf.DUMMYFUNCTION("""COMPUTED_VALUE"""),2.0)</f>
        <v>2</v>
      </c>
      <c r="C68" s="98">
        <f>IFERROR(__xludf.DUMMYFUNCTION("""COMPUTED_VALUE"""),44029.0)</f>
        <v>44029</v>
      </c>
      <c r="D68" s="96" t="str">
        <f>IFERROR(__xludf.DUMMYFUNCTION("""COMPUTED_VALUE"""),"NDOMA BODE I.D")</f>
        <v>NDOMA BODE I.D</v>
      </c>
      <c r="E68" s="96"/>
      <c r="F68" s="96"/>
      <c r="G68" s="96"/>
      <c r="H68" s="96"/>
      <c r="I68" s="96"/>
      <c r="J68" s="96"/>
      <c r="K68" s="96"/>
      <c r="L68" s="96">
        <f>IFERROR(__xludf.DUMMYFUNCTION("""COMPUTED_VALUE"""),0.0)</f>
        <v>0</v>
      </c>
      <c r="M68" s="96">
        <f>IFERROR(__xludf.DUMMYFUNCTION("""COMPUTED_VALUE"""),0.0)</f>
        <v>0</v>
      </c>
      <c r="N68" s="96">
        <f>IFERROR(__xludf.DUMMYFUNCTION("""COMPUTED_VALUE"""),0.0)</f>
        <v>0</v>
      </c>
      <c r="O68" s="96">
        <f>IFERROR(__xludf.DUMMYFUNCTION("""COMPUTED_VALUE"""),200000.0)</f>
        <v>200000</v>
      </c>
      <c r="P68" s="129">
        <f>IFERROR(__xludf.DUMMYFUNCTION("""COMPUTED_VALUE"""),0.0)</f>
        <v>0</v>
      </c>
      <c r="Q68" s="99"/>
      <c r="R68" s="99">
        <f>IFERROR(__xludf.DUMMYFUNCTION("""COMPUTED_VALUE"""),1000000.0)</f>
        <v>1000000</v>
      </c>
    </row>
    <row r="69">
      <c r="B69" s="96">
        <f>IFERROR(__xludf.DUMMYFUNCTION("""COMPUTED_VALUE"""),3.0)</f>
        <v>3</v>
      </c>
      <c r="C69" s="98">
        <f>IFERROR(__xludf.DUMMYFUNCTION("""COMPUTED_VALUE"""),44029.0)</f>
        <v>44029</v>
      </c>
      <c r="D69" s="96" t="str">
        <f>IFERROR(__xludf.DUMMYFUNCTION("""COMPUTED_VALUE"""),"NDOMA BODE I.D")</f>
        <v>NDOMA BODE I.D</v>
      </c>
      <c r="E69" s="96"/>
      <c r="F69" s="96"/>
      <c r="G69" s="96"/>
      <c r="H69" s="96"/>
      <c r="I69" s="96"/>
      <c r="J69" s="96"/>
      <c r="K69" s="96"/>
      <c r="L69" s="96">
        <f>IFERROR(__xludf.DUMMYFUNCTION("""COMPUTED_VALUE"""),0.0)</f>
        <v>0</v>
      </c>
      <c r="M69" s="96">
        <f>IFERROR(__xludf.DUMMYFUNCTION("""COMPUTED_VALUE"""),0.0)</f>
        <v>0</v>
      </c>
      <c r="N69" s="96">
        <f>IFERROR(__xludf.DUMMYFUNCTION("""COMPUTED_VALUE"""),0.0)</f>
        <v>0</v>
      </c>
      <c r="O69" s="96">
        <f>IFERROR(__xludf.DUMMYFUNCTION("""COMPUTED_VALUE"""),25550.0)</f>
        <v>25550</v>
      </c>
      <c r="P69" s="129">
        <f>IFERROR(__xludf.DUMMYFUNCTION("""COMPUTED_VALUE"""),0.0)</f>
        <v>0</v>
      </c>
      <c r="Q69" s="99"/>
      <c r="R69" s="99">
        <f>IFERROR(__xludf.DUMMYFUNCTION("""COMPUTED_VALUE"""),1025550.0)</f>
        <v>1025550</v>
      </c>
    </row>
    <row r="70">
      <c r="B70" s="96">
        <f>IFERROR(__xludf.DUMMYFUNCTION("""COMPUTED_VALUE"""),2.0)</f>
        <v>2</v>
      </c>
      <c r="C70" s="98">
        <f>IFERROR(__xludf.DUMMYFUNCTION("""COMPUTED_VALUE"""),44029.0)</f>
        <v>44029</v>
      </c>
      <c r="D70" s="96" t="str">
        <f>IFERROR(__xludf.DUMMYFUNCTION("""COMPUTED_VALUE"""),"LIVINUS")</f>
        <v>LIVINUS</v>
      </c>
      <c r="E70" s="96"/>
      <c r="F70" s="96"/>
      <c r="G70" s="96"/>
      <c r="H70" s="96"/>
      <c r="I70" s="96"/>
      <c r="J70" s="96"/>
      <c r="K70" s="96"/>
      <c r="L70" s="96">
        <f>IFERROR(__xludf.DUMMYFUNCTION("""COMPUTED_VALUE"""),0.0)</f>
        <v>0</v>
      </c>
      <c r="M70" s="96">
        <f>IFERROR(__xludf.DUMMYFUNCTION("""COMPUTED_VALUE"""),0.0)</f>
        <v>0</v>
      </c>
      <c r="N70" s="96">
        <f>IFERROR(__xludf.DUMMYFUNCTION("""COMPUTED_VALUE"""),0.0)</f>
        <v>0</v>
      </c>
      <c r="O70" s="96">
        <f>IFERROR(__xludf.DUMMYFUNCTION("""COMPUTED_VALUE"""),300000.0)</f>
        <v>300000</v>
      </c>
      <c r="P70" s="129">
        <f>IFERROR(__xludf.DUMMYFUNCTION("""COMPUTED_VALUE"""),0.0)</f>
        <v>0</v>
      </c>
      <c r="Q70" s="99"/>
      <c r="R70" s="99">
        <f>IFERROR(__xludf.DUMMYFUNCTION("""COMPUTED_VALUE"""),540000.0)</f>
        <v>540000</v>
      </c>
    </row>
    <row r="71">
      <c r="B71" s="96">
        <f>IFERROR(__xludf.DUMMYFUNCTION("""COMPUTED_VALUE"""),3.0)</f>
        <v>3</v>
      </c>
      <c r="C71" s="98">
        <f>IFERROR(__xludf.DUMMYFUNCTION("""COMPUTED_VALUE"""),44030.0)</f>
        <v>44030</v>
      </c>
      <c r="D71" s="96" t="str">
        <f>IFERROR(__xludf.DUMMYFUNCTION("""COMPUTED_VALUE"""),"CONNECT")</f>
        <v>CONNECT</v>
      </c>
      <c r="E71" s="96">
        <f>IFERROR(__xludf.DUMMYFUNCTION("""COMPUTED_VALUE"""),1916.0)</f>
        <v>1916</v>
      </c>
      <c r="F71" s="96">
        <f>IFERROR(__xludf.DUMMYFUNCTION("""COMPUTED_VALUE"""),240.0)</f>
        <v>240</v>
      </c>
      <c r="G71" s="96"/>
      <c r="H71" s="96">
        <f>IFERROR(__xludf.DUMMYFUNCTION("""COMPUTED_VALUE"""),30.0)</f>
        <v>30</v>
      </c>
      <c r="I71" s="96"/>
      <c r="J71" s="96">
        <f>IFERROR(__xludf.DUMMYFUNCTION("""COMPUTED_VALUE"""),780.0)</f>
        <v>780</v>
      </c>
      <c r="K71" s="96">
        <f>IFERROR(__xludf.DUMMYFUNCTION("""COMPUTED_VALUE"""),8.0)</f>
        <v>8</v>
      </c>
      <c r="L71" s="96">
        <f>IFERROR(__xludf.DUMMYFUNCTION("""COMPUTED_VALUE"""),0.0)</f>
        <v>0</v>
      </c>
      <c r="M71" s="96">
        <f>IFERROR(__xludf.DUMMYFUNCTION("""COMPUTED_VALUE"""),29.0)</f>
        <v>29</v>
      </c>
      <c r="N71" s="96">
        <f>IFERROR(__xludf.DUMMYFUNCTION("""COMPUTED_VALUE"""),59.0)</f>
        <v>59</v>
      </c>
      <c r="O71" s="96"/>
      <c r="P71" s="129">
        <f>IFERROR(__xludf.DUMMYFUNCTION("""COMPUTED_VALUE"""),1886.0)</f>
        <v>1886</v>
      </c>
      <c r="Q71" s="99">
        <f>IFERROR(__xludf.DUMMYFUNCTION("""COMPUTED_VALUE"""),1471080.0)</f>
        <v>1471080</v>
      </c>
      <c r="R71" s="99">
        <f>IFERROR(__xludf.DUMMYFUNCTION("""COMPUTED_VALUE"""),-271080.0)</f>
        <v>-271080</v>
      </c>
    </row>
    <row r="72">
      <c r="B72" s="96">
        <f>IFERROR(__xludf.DUMMYFUNCTION("""COMPUTED_VALUE"""),2.0)</f>
        <v>2</v>
      </c>
      <c r="C72" s="98">
        <f>IFERROR(__xludf.DUMMYFUNCTION("""COMPUTED_VALUE"""),44030.0)</f>
        <v>44030</v>
      </c>
      <c r="D72" s="96" t="str">
        <f>IFERROR(__xludf.DUMMYFUNCTION("""COMPUTED_VALUE"""),"LYDIA HNSON ")</f>
        <v>LYDIA HNSON </v>
      </c>
      <c r="E72" s="96">
        <f>IFERROR(__xludf.DUMMYFUNCTION("""COMPUTED_VALUE"""),223.0)</f>
        <v>223</v>
      </c>
      <c r="F72" s="96">
        <f>IFERROR(__xludf.DUMMYFUNCTION("""COMPUTED_VALUE"""),32.0)</f>
        <v>32</v>
      </c>
      <c r="G72" s="96"/>
      <c r="H72" s="96">
        <f>IFERROR(__xludf.DUMMYFUNCTION("""COMPUTED_VALUE"""),4.0)</f>
        <v>4</v>
      </c>
      <c r="I72" s="96">
        <f>IFERROR(__xludf.DUMMYFUNCTION("""COMPUTED_VALUE"""),0.0)</f>
        <v>0</v>
      </c>
      <c r="J72" s="96">
        <f>IFERROR(__xludf.DUMMYFUNCTION("""COMPUTED_VALUE"""),780.0)</f>
        <v>780</v>
      </c>
      <c r="K72" s="96">
        <f>IFERROR(__xludf.DUMMYFUNCTION("""COMPUTED_VALUE"""),8.0)</f>
        <v>8</v>
      </c>
      <c r="L72" s="96">
        <f>IFERROR(__xludf.DUMMYFUNCTION("""COMPUTED_VALUE"""),0.0)</f>
        <v>0</v>
      </c>
      <c r="M72" s="96">
        <f>IFERROR(__xludf.DUMMYFUNCTION("""COMPUTED_VALUE"""),3.0)</f>
        <v>3</v>
      </c>
      <c r="N72" s="96">
        <f>IFERROR(__xludf.DUMMYFUNCTION("""COMPUTED_VALUE"""),30.0)</f>
        <v>30</v>
      </c>
      <c r="O72" s="96"/>
      <c r="P72" s="129">
        <f>IFERROR(__xludf.DUMMYFUNCTION("""COMPUTED_VALUE"""),219.0)</f>
        <v>219</v>
      </c>
      <c r="Q72" s="99">
        <f>IFERROR(__xludf.DUMMYFUNCTION("""COMPUTED_VALUE"""),170820.0)</f>
        <v>170820</v>
      </c>
      <c r="R72" s="99">
        <f>IFERROR(__xludf.DUMMYFUNCTION("""COMPUTED_VALUE"""),2429180.0)</f>
        <v>2429180</v>
      </c>
    </row>
    <row r="73">
      <c r="B73" s="96">
        <f>IFERROR(__xludf.DUMMYFUNCTION("""COMPUTED_VALUE"""),4.0)</f>
        <v>4</v>
      </c>
      <c r="C73" s="98">
        <f>IFERROR(__xludf.DUMMYFUNCTION("""COMPUTED_VALUE"""),44030.0)</f>
        <v>44030</v>
      </c>
      <c r="D73" s="96" t="str">
        <f>IFERROR(__xludf.DUMMYFUNCTION("""COMPUTED_VALUE"""),"NDOMA BODE I.D")</f>
        <v>NDOMA BODE I.D</v>
      </c>
      <c r="E73" s="96">
        <f>IFERROR(__xludf.DUMMYFUNCTION("""COMPUTED_VALUE"""),1065.0)</f>
        <v>1065</v>
      </c>
      <c r="F73" s="96">
        <f>IFERROR(__xludf.DUMMYFUNCTION("""COMPUTED_VALUE"""),140.0)</f>
        <v>140</v>
      </c>
      <c r="G73" s="96"/>
      <c r="H73" s="96">
        <f>IFERROR(__xludf.DUMMYFUNCTION("""COMPUTED_VALUE"""),17.0)</f>
        <v>17</v>
      </c>
      <c r="I73" s="96"/>
      <c r="J73" s="96">
        <f>IFERROR(__xludf.DUMMYFUNCTION("""COMPUTED_VALUE"""),790.0)</f>
        <v>790</v>
      </c>
      <c r="K73" s="96">
        <f>IFERROR(__xludf.DUMMYFUNCTION("""COMPUTED_VALUE"""),8.24)</f>
        <v>8.24</v>
      </c>
      <c r="L73" s="96">
        <f>IFERROR(__xludf.DUMMYFUNCTION("""COMPUTED_VALUE"""),3.0)</f>
        <v>3</v>
      </c>
      <c r="M73" s="96">
        <f>IFERROR(__xludf.DUMMYFUNCTION("""COMPUTED_VALUE"""),16.0)</f>
        <v>16</v>
      </c>
      <c r="N73" s="96">
        <f>IFERROR(__xludf.DUMMYFUNCTION("""COMPUTED_VALUE"""),37.0)</f>
        <v>37</v>
      </c>
      <c r="O73" s="96"/>
      <c r="P73" s="129">
        <f>IFERROR(__xludf.DUMMYFUNCTION("""COMPUTED_VALUE"""),1045.0)</f>
        <v>1045</v>
      </c>
      <c r="Q73" s="99">
        <f>IFERROR(__xludf.DUMMYFUNCTION("""COMPUTED_VALUE"""),825550.0)</f>
        <v>825550</v>
      </c>
      <c r="R73" s="99">
        <f>IFERROR(__xludf.DUMMYFUNCTION("""COMPUTED_VALUE"""),200000.0)</f>
        <v>200000</v>
      </c>
    </row>
    <row r="74">
      <c r="B74" s="96">
        <f>IFERROR(__xludf.DUMMYFUNCTION("""COMPUTED_VALUE"""),3.0)</f>
        <v>3</v>
      </c>
      <c r="C74" s="98">
        <f>IFERROR(__xludf.DUMMYFUNCTION("""COMPUTED_VALUE"""),44030.0)</f>
        <v>44030</v>
      </c>
      <c r="D74" s="96" t="str">
        <f>IFERROR(__xludf.DUMMYFUNCTION("""COMPUTED_VALUE"""),"LIVINUS")</f>
        <v>LIVINUS</v>
      </c>
      <c r="E74" s="96">
        <f>IFERROR(__xludf.DUMMYFUNCTION("""COMPUTED_VALUE"""),854.0)</f>
        <v>854</v>
      </c>
      <c r="F74" s="96">
        <f>IFERROR(__xludf.DUMMYFUNCTION("""COMPUTED_VALUE"""),112.5)</f>
        <v>112.5</v>
      </c>
      <c r="G74" s="96"/>
      <c r="H74" s="96">
        <f>IFERROR(__xludf.DUMMYFUNCTION("""COMPUTED_VALUE"""),13.0)</f>
        <v>13</v>
      </c>
      <c r="I74" s="96"/>
      <c r="J74" s="96">
        <f>IFERROR(__xludf.DUMMYFUNCTION("""COMPUTED_VALUE"""),780.0)</f>
        <v>780</v>
      </c>
      <c r="K74" s="96">
        <f>IFERROR(__xludf.DUMMYFUNCTION("""COMPUTED_VALUE"""),8.65)</f>
        <v>8.65</v>
      </c>
      <c r="L74" s="96">
        <f>IFERROR(__xludf.DUMMYFUNCTION("""COMPUTED_VALUE"""),5.0)</f>
        <v>5</v>
      </c>
      <c r="M74" s="96">
        <f>IFERROR(__xludf.DUMMYFUNCTION("""COMPUTED_VALUE"""),13.0)</f>
        <v>13</v>
      </c>
      <c r="N74" s="96">
        <f>IFERROR(__xludf.DUMMYFUNCTION("""COMPUTED_VALUE"""),17.0)</f>
        <v>17</v>
      </c>
      <c r="O74" s="96"/>
      <c r="P74" s="129">
        <f>IFERROR(__xludf.DUMMYFUNCTION("""COMPUTED_VALUE"""),836.0)</f>
        <v>836</v>
      </c>
      <c r="Q74" s="99">
        <f>IFERROR(__xludf.DUMMYFUNCTION("""COMPUTED_VALUE"""),652080.0)</f>
        <v>652080</v>
      </c>
      <c r="R74" s="99">
        <f>IFERROR(__xludf.DUMMYFUNCTION("""COMPUTED_VALUE"""),-112080.0)</f>
        <v>-112080</v>
      </c>
    </row>
    <row r="75">
      <c r="B75" s="96">
        <f>IFERROR(__xludf.DUMMYFUNCTION("""COMPUTED_VALUE"""),4.0)</f>
        <v>4</v>
      </c>
      <c r="C75" s="98">
        <f>IFERROR(__xludf.DUMMYFUNCTION("""COMPUTED_VALUE"""),44030.0)</f>
        <v>44030</v>
      </c>
      <c r="D75" s="96" t="str">
        <f>IFERROR(__xludf.DUMMYFUNCTION("""COMPUTED_VALUE"""),"CONNECT")</f>
        <v>CONNECT</v>
      </c>
      <c r="E75" s="96"/>
      <c r="F75" s="96"/>
      <c r="G75" s="96"/>
      <c r="H75" s="96"/>
      <c r="I75" s="96"/>
      <c r="J75" s="96"/>
      <c r="K75" s="96"/>
      <c r="L75" s="96">
        <f>IFERROR(__xludf.DUMMYFUNCTION("""COMPUTED_VALUE"""),0.0)</f>
        <v>0</v>
      </c>
      <c r="M75" s="96">
        <f>IFERROR(__xludf.DUMMYFUNCTION("""COMPUTED_VALUE"""),0.0)</f>
        <v>0</v>
      </c>
      <c r="N75" s="96">
        <f>IFERROR(__xludf.DUMMYFUNCTION("""COMPUTED_VALUE"""),0.0)</f>
        <v>0</v>
      </c>
      <c r="O75" s="96">
        <f>IFERROR(__xludf.DUMMYFUNCTION("""COMPUTED_VALUE"""),300000.0)</f>
        <v>300000</v>
      </c>
      <c r="P75" s="129">
        <f>IFERROR(__xludf.DUMMYFUNCTION("""COMPUTED_VALUE"""),0.0)</f>
        <v>0</v>
      </c>
      <c r="Q75" s="99"/>
      <c r="R75" s="99">
        <f>IFERROR(__xludf.DUMMYFUNCTION("""COMPUTED_VALUE"""),28920.0)</f>
        <v>28920</v>
      </c>
    </row>
    <row r="76">
      <c r="B76" s="96">
        <f>IFERROR(__xludf.DUMMYFUNCTION("""COMPUTED_VALUE"""),5.0)</f>
        <v>5</v>
      </c>
      <c r="C76" s="98">
        <f>IFERROR(__xludf.DUMMYFUNCTION("""COMPUTED_VALUE"""),44030.0)</f>
        <v>44030</v>
      </c>
      <c r="D76" s="96" t="str">
        <f>IFERROR(__xludf.DUMMYFUNCTION("""COMPUTED_VALUE"""),"CONNECT")</f>
        <v>CONNECT</v>
      </c>
      <c r="E76" s="96"/>
      <c r="F76" s="96"/>
      <c r="G76" s="96"/>
      <c r="H76" s="96"/>
      <c r="I76" s="96"/>
      <c r="J76" s="96"/>
      <c r="K76" s="96"/>
      <c r="L76" s="96">
        <f>IFERROR(__xludf.DUMMYFUNCTION("""COMPUTED_VALUE"""),0.0)</f>
        <v>0</v>
      </c>
      <c r="M76" s="96">
        <f>IFERROR(__xludf.DUMMYFUNCTION("""COMPUTED_VALUE"""),0.0)</f>
        <v>0</v>
      </c>
      <c r="N76" s="96">
        <f>IFERROR(__xludf.DUMMYFUNCTION("""COMPUTED_VALUE"""),0.0)</f>
        <v>0</v>
      </c>
      <c r="O76" s="96">
        <f>IFERROR(__xludf.DUMMYFUNCTION("""COMPUTED_VALUE"""),800000.0)</f>
        <v>800000</v>
      </c>
      <c r="P76" s="129">
        <f>IFERROR(__xludf.DUMMYFUNCTION("""COMPUTED_VALUE"""),0.0)</f>
        <v>0</v>
      </c>
      <c r="Q76" s="99"/>
      <c r="R76" s="99">
        <f>IFERROR(__xludf.DUMMYFUNCTION("""COMPUTED_VALUE"""),828920.0)</f>
        <v>828920</v>
      </c>
    </row>
    <row r="77">
      <c r="B77" s="96">
        <f>IFERROR(__xludf.DUMMYFUNCTION("""COMPUTED_VALUE"""),2.0)</f>
        <v>2</v>
      </c>
      <c r="C77" s="98">
        <f>IFERROR(__xludf.DUMMYFUNCTION("""COMPUTED_VALUE"""),44030.0)</f>
        <v>44030</v>
      </c>
      <c r="D77" s="96" t="str">
        <f>IFERROR(__xludf.DUMMYFUNCTION("""COMPUTED_VALUE"""),"KARIEN EBAN")</f>
        <v>KARIEN EBAN</v>
      </c>
      <c r="E77" s="96"/>
      <c r="F77" s="96"/>
      <c r="G77" s="96"/>
      <c r="H77" s="96"/>
      <c r="I77" s="96"/>
      <c r="J77" s="96"/>
      <c r="K77" s="96"/>
      <c r="L77" s="96">
        <f>IFERROR(__xludf.DUMMYFUNCTION("""COMPUTED_VALUE"""),0.0)</f>
        <v>0</v>
      </c>
      <c r="M77" s="96">
        <f>IFERROR(__xludf.DUMMYFUNCTION("""COMPUTED_VALUE"""),0.0)</f>
        <v>0</v>
      </c>
      <c r="N77" s="96">
        <f>IFERROR(__xludf.DUMMYFUNCTION("""COMPUTED_VALUE"""),0.0)</f>
        <v>0</v>
      </c>
      <c r="O77" s="96">
        <f>IFERROR(__xludf.DUMMYFUNCTION("""COMPUTED_VALUE"""),100000.0)</f>
        <v>100000</v>
      </c>
      <c r="P77" s="129">
        <f>IFERROR(__xludf.DUMMYFUNCTION("""COMPUTED_VALUE"""),0.0)</f>
        <v>0</v>
      </c>
      <c r="Q77" s="99"/>
      <c r="R77" s="99">
        <f>IFERROR(__xludf.DUMMYFUNCTION("""COMPUTED_VALUE"""),1600000.0)</f>
        <v>1600000</v>
      </c>
    </row>
    <row r="78">
      <c r="B78" s="96">
        <f>IFERROR(__xludf.DUMMYFUNCTION("""COMPUTED_VALUE"""),1.0)</f>
        <v>1</v>
      </c>
      <c r="C78" s="98">
        <f>IFERROR(__xludf.DUMMYFUNCTION("""COMPUTED_VALUE"""),44030.0)</f>
        <v>44030</v>
      </c>
      <c r="D78" s="96" t="str">
        <f>IFERROR(__xludf.DUMMYFUNCTION("""COMPUTED_VALUE"""),"EDDY OKO")</f>
        <v>EDDY OKO</v>
      </c>
      <c r="E78" s="96"/>
      <c r="F78" s="96"/>
      <c r="G78" s="96"/>
      <c r="H78" s="96"/>
      <c r="I78" s="96"/>
      <c r="J78" s="96"/>
      <c r="K78" s="96"/>
      <c r="L78" s="96">
        <f>IFERROR(__xludf.DUMMYFUNCTION("""COMPUTED_VALUE"""),0.0)</f>
        <v>0</v>
      </c>
      <c r="M78" s="96">
        <f>IFERROR(__xludf.DUMMYFUNCTION("""COMPUTED_VALUE"""),0.0)</f>
        <v>0</v>
      </c>
      <c r="N78" s="96">
        <f>IFERROR(__xludf.DUMMYFUNCTION("""COMPUTED_VALUE"""),0.0)</f>
        <v>0</v>
      </c>
      <c r="O78" s="96">
        <f>IFERROR(__xludf.DUMMYFUNCTION("""COMPUTED_VALUE"""),200000.0)</f>
        <v>200000</v>
      </c>
      <c r="P78" s="129">
        <f>IFERROR(__xludf.DUMMYFUNCTION("""COMPUTED_VALUE"""),0.0)</f>
        <v>0</v>
      </c>
      <c r="Q78" s="99"/>
      <c r="R78" s="99">
        <f>IFERROR(__xludf.DUMMYFUNCTION("""COMPUTED_VALUE"""),200000.0)</f>
        <v>200000</v>
      </c>
    </row>
    <row r="79">
      <c r="B79" s="96">
        <f>IFERROR(__xludf.DUMMYFUNCTION("""COMPUTED_VALUE"""),3.0)</f>
        <v>3</v>
      </c>
      <c r="C79" s="98">
        <f>IFERROR(__xludf.DUMMYFUNCTION("""COMPUTED_VALUE"""),44030.0)</f>
        <v>44030</v>
      </c>
      <c r="D79" s="96" t="str">
        <f>IFERROR(__xludf.DUMMYFUNCTION("""COMPUTED_VALUE"""),"LYDIA HNSON ")</f>
        <v>LYDIA HNSON </v>
      </c>
      <c r="E79" s="96"/>
      <c r="F79" s="96"/>
      <c r="G79" s="96"/>
      <c r="H79" s="96"/>
      <c r="I79" s="96"/>
      <c r="J79" s="96"/>
      <c r="K79" s="96"/>
      <c r="L79" s="96">
        <f>IFERROR(__xludf.DUMMYFUNCTION("""COMPUTED_VALUE"""),0.0)</f>
        <v>0</v>
      </c>
      <c r="M79" s="96">
        <f>IFERROR(__xludf.DUMMYFUNCTION("""COMPUTED_VALUE"""),0.0)</f>
        <v>0</v>
      </c>
      <c r="N79" s="96">
        <f>IFERROR(__xludf.DUMMYFUNCTION("""COMPUTED_VALUE"""),0.0)</f>
        <v>0</v>
      </c>
      <c r="O79" s="96">
        <f>IFERROR(__xludf.DUMMYFUNCTION("""COMPUTED_VALUE"""),100000.0)</f>
        <v>100000</v>
      </c>
      <c r="P79" s="129">
        <f>IFERROR(__xludf.DUMMYFUNCTION("""COMPUTED_VALUE"""),0.0)</f>
        <v>0</v>
      </c>
      <c r="Q79" s="99"/>
      <c r="R79" s="99">
        <f>IFERROR(__xludf.DUMMYFUNCTION("""COMPUTED_VALUE"""),2529180.0)</f>
        <v>2529180</v>
      </c>
    </row>
    <row r="80">
      <c r="B80" s="96">
        <f>IFERROR(__xludf.DUMMYFUNCTION("""COMPUTED_VALUE"""),4.0)</f>
        <v>4</v>
      </c>
      <c r="C80" s="98">
        <f>IFERROR(__xludf.DUMMYFUNCTION("""COMPUTED_VALUE"""),44030.0)</f>
        <v>44030</v>
      </c>
      <c r="D80" s="96" t="str">
        <f>IFERROR(__xludf.DUMMYFUNCTION("""COMPUTED_VALUE"""),"LYDIA HNSON ")</f>
        <v>LYDIA HNSON </v>
      </c>
      <c r="E80" s="96"/>
      <c r="F80" s="96"/>
      <c r="G80" s="96"/>
      <c r="H80" s="96"/>
      <c r="I80" s="96"/>
      <c r="J80" s="96"/>
      <c r="K80" s="96"/>
      <c r="L80" s="96">
        <f>IFERROR(__xludf.DUMMYFUNCTION("""COMPUTED_VALUE"""),0.0)</f>
        <v>0</v>
      </c>
      <c r="M80" s="96">
        <f>IFERROR(__xludf.DUMMYFUNCTION("""COMPUTED_VALUE"""),0.0)</f>
        <v>0</v>
      </c>
      <c r="N80" s="96">
        <f>IFERROR(__xludf.DUMMYFUNCTION("""COMPUTED_VALUE"""),0.0)</f>
        <v>0</v>
      </c>
      <c r="O80" s="96">
        <f>IFERROR(__xludf.DUMMYFUNCTION("""COMPUTED_VALUE"""),500.0)</f>
        <v>500</v>
      </c>
      <c r="P80" s="129">
        <f>IFERROR(__xludf.DUMMYFUNCTION("""COMPUTED_VALUE"""),0.0)</f>
        <v>0</v>
      </c>
      <c r="Q80" s="99"/>
      <c r="R80" s="99">
        <f>IFERROR(__xludf.DUMMYFUNCTION("""COMPUTED_VALUE"""),2529680.0)</f>
        <v>2529680</v>
      </c>
    </row>
    <row r="81">
      <c r="B81" s="96">
        <f>IFERROR(__xludf.DUMMYFUNCTION("""COMPUTED_VALUE"""),2.0)</f>
        <v>2</v>
      </c>
      <c r="C81" s="98">
        <f>IFERROR(__xludf.DUMMYFUNCTION("""COMPUTED_VALUE"""),44030.0)</f>
        <v>44030</v>
      </c>
      <c r="D81" s="96" t="str">
        <f>IFERROR(__xludf.DUMMYFUNCTION("""COMPUTED_VALUE""")," MAXWELL AGRO")</f>
        <v> MAXWELL AGRO</v>
      </c>
      <c r="E81" s="96"/>
      <c r="F81" s="96"/>
      <c r="G81" s="96"/>
      <c r="H81" s="96"/>
      <c r="I81" s="96"/>
      <c r="J81" s="96"/>
      <c r="K81" s="96"/>
      <c r="L81" s="96">
        <f>IFERROR(__xludf.DUMMYFUNCTION("""COMPUTED_VALUE"""),0.0)</f>
        <v>0</v>
      </c>
      <c r="M81" s="96">
        <f>IFERROR(__xludf.DUMMYFUNCTION("""COMPUTED_VALUE"""),0.0)</f>
        <v>0</v>
      </c>
      <c r="N81" s="96">
        <f>IFERROR(__xludf.DUMMYFUNCTION("""COMPUTED_VALUE"""),0.0)</f>
        <v>0</v>
      </c>
      <c r="O81" s="96">
        <f>IFERROR(__xludf.DUMMYFUNCTION("""COMPUTED_VALUE"""),100000.0)</f>
        <v>100000</v>
      </c>
      <c r="P81" s="129">
        <f>IFERROR(__xludf.DUMMYFUNCTION("""COMPUTED_VALUE"""),0.0)</f>
        <v>0</v>
      </c>
      <c r="Q81" s="99"/>
      <c r="R81" s="99">
        <f>IFERROR(__xludf.DUMMYFUNCTION("""COMPUTED_VALUE"""),400000.0)</f>
        <v>400000</v>
      </c>
    </row>
    <row r="82">
      <c r="B82" s="96">
        <f>IFERROR(__xludf.DUMMYFUNCTION("""COMPUTED_VALUE"""),2.0)</f>
        <v>2</v>
      </c>
      <c r="C82" s="98">
        <f>IFERROR(__xludf.DUMMYFUNCTION("""COMPUTED_VALUE"""),44032.0)</f>
        <v>44032</v>
      </c>
      <c r="D82" s="96" t="str">
        <f>IFERROR(__xludf.DUMMYFUNCTION("""COMPUTED_VALUE"""),"ANDRDEW GREAT")</f>
        <v>ANDRDEW GREAT</v>
      </c>
      <c r="E82" s="96">
        <f>IFERROR(__xludf.DUMMYFUNCTION("""COMPUTED_VALUE"""),644.0)</f>
        <v>644</v>
      </c>
      <c r="F82" s="96">
        <f>IFERROR(__xludf.DUMMYFUNCTION("""COMPUTED_VALUE"""),92.5)</f>
        <v>92.5</v>
      </c>
      <c r="G82" s="96"/>
      <c r="H82" s="96">
        <f>IFERROR(__xludf.DUMMYFUNCTION("""COMPUTED_VALUE"""),10.0)</f>
        <v>10</v>
      </c>
      <c r="I82" s="96"/>
      <c r="J82" s="96">
        <f>IFERROR(__xludf.DUMMYFUNCTION("""COMPUTED_VALUE"""),783.74)</f>
        <v>783.74</v>
      </c>
      <c r="K82" s="96">
        <f>IFERROR(__xludf.DUMMYFUNCTION("""COMPUTED_VALUE"""),9.25)</f>
        <v>9.25</v>
      </c>
      <c r="L82" s="96">
        <f>IFERROR(__xludf.DUMMYFUNCTION("""COMPUTED_VALUE"""),8.0)</f>
        <v>8</v>
      </c>
      <c r="M82" s="96">
        <f>IFERROR(__xludf.DUMMYFUNCTION("""COMPUTED_VALUE"""),9.0)</f>
        <v>9</v>
      </c>
      <c r="N82" s="96">
        <f>IFERROR(__xludf.DUMMYFUNCTION("""COMPUTED_VALUE"""),59.0)</f>
        <v>59</v>
      </c>
      <c r="O82" s="96"/>
      <c r="P82" s="129">
        <f>IFERROR(__xludf.DUMMYFUNCTION("""COMPUTED_VALUE"""),626.0)</f>
        <v>626</v>
      </c>
      <c r="Q82" s="99">
        <f>IFERROR(__xludf.DUMMYFUNCTION("""COMPUTED_VALUE"""),490620.0)</f>
        <v>490620</v>
      </c>
      <c r="R82" s="99">
        <f>IFERROR(__xludf.DUMMYFUNCTION("""COMPUTED_VALUE"""),1026950.0)</f>
        <v>1026950</v>
      </c>
    </row>
    <row r="83">
      <c r="B83" s="96">
        <f>IFERROR(__xludf.DUMMYFUNCTION("""COMPUTED_VALUE"""),3.0)</f>
        <v>3</v>
      </c>
      <c r="C83" s="98">
        <f>IFERROR(__xludf.DUMMYFUNCTION("""COMPUTED_VALUE"""),44032.0)</f>
        <v>44032</v>
      </c>
      <c r="D83" s="96" t="str">
        <f>IFERROR(__xludf.DUMMYFUNCTION("""COMPUTED_VALUE"""),"ANDRDEW GREAT")</f>
        <v>ANDRDEW GREAT</v>
      </c>
      <c r="E83" s="96"/>
      <c r="F83" s="96"/>
      <c r="G83" s="96"/>
      <c r="H83" s="96"/>
      <c r="I83" s="96"/>
      <c r="J83" s="96"/>
      <c r="K83" s="96"/>
      <c r="L83" s="96">
        <f>IFERROR(__xludf.DUMMYFUNCTION("""COMPUTED_VALUE"""),0.0)</f>
        <v>0</v>
      </c>
      <c r="M83" s="96">
        <f>IFERROR(__xludf.DUMMYFUNCTION("""COMPUTED_VALUE"""),0.0)</f>
        <v>0</v>
      </c>
      <c r="N83" s="96">
        <f>IFERROR(__xludf.DUMMYFUNCTION("""COMPUTED_VALUE"""),0.0)</f>
        <v>0</v>
      </c>
      <c r="O83" s="96">
        <f>IFERROR(__xludf.DUMMYFUNCTION("""COMPUTED_VALUE"""),300000.0)</f>
        <v>300000</v>
      </c>
      <c r="P83" s="129">
        <f>IFERROR(__xludf.DUMMYFUNCTION("""COMPUTED_VALUE"""),0.0)</f>
        <v>0</v>
      </c>
      <c r="Q83" s="99"/>
      <c r="R83" s="99">
        <f>IFERROR(__xludf.DUMMYFUNCTION("""COMPUTED_VALUE"""),1326950.0)</f>
        <v>1326950</v>
      </c>
    </row>
    <row r="84">
      <c r="B84" s="96">
        <f>IFERROR(__xludf.DUMMYFUNCTION("""COMPUTED_VALUE"""),1.0)</f>
        <v>1</v>
      </c>
      <c r="C84" s="98">
        <f>IFERROR(__xludf.DUMMYFUNCTION("""COMPUTED_VALUE"""),44032.0)</f>
        <v>44032</v>
      </c>
      <c r="D84" s="96" t="str">
        <f>IFERROR(__xludf.DUMMYFUNCTION("""COMPUTED_VALUE"""),"MATIAT REINA")</f>
        <v>MATIAT REINA</v>
      </c>
      <c r="E84" s="96"/>
      <c r="F84" s="96"/>
      <c r="G84" s="96"/>
      <c r="H84" s="96"/>
      <c r="I84" s="96"/>
      <c r="J84" s="96"/>
      <c r="K84" s="96"/>
      <c r="L84" s="96">
        <f>IFERROR(__xludf.DUMMYFUNCTION("""COMPUTED_VALUE"""),0.0)</f>
        <v>0</v>
      </c>
      <c r="M84" s="96">
        <f>IFERROR(__xludf.DUMMYFUNCTION("""COMPUTED_VALUE"""),0.0)</f>
        <v>0</v>
      </c>
      <c r="N84" s="96">
        <f>IFERROR(__xludf.DUMMYFUNCTION("""COMPUTED_VALUE"""),0.0)</f>
        <v>0</v>
      </c>
      <c r="O84" s="96">
        <f>IFERROR(__xludf.DUMMYFUNCTION("""COMPUTED_VALUE"""),200000.0)</f>
        <v>200000</v>
      </c>
      <c r="P84" s="129">
        <f>IFERROR(__xludf.DUMMYFUNCTION("""COMPUTED_VALUE"""),0.0)</f>
        <v>0</v>
      </c>
      <c r="Q84" s="99"/>
      <c r="R84" s="99">
        <f>IFERROR(__xludf.DUMMYFUNCTION("""COMPUTED_VALUE"""),200000.0)</f>
        <v>200000</v>
      </c>
    </row>
    <row r="85">
      <c r="B85" s="96">
        <f>IFERROR(__xludf.DUMMYFUNCTION("""COMPUTED_VALUE"""),1.0)</f>
        <v>1</v>
      </c>
      <c r="C85" s="98">
        <f>IFERROR(__xludf.DUMMYFUNCTION("""COMPUTED_VALUE"""),44032.0)</f>
        <v>44032</v>
      </c>
      <c r="D85" s="96" t="str">
        <f>IFERROR(__xludf.DUMMYFUNCTION("""COMPUTED_VALUE"""),"ASMAN")</f>
        <v>ASMAN</v>
      </c>
      <c r="E85" s="96"/>
      <c r="F85" s="96"/>
      <c r="G85" s="96"/>
      <c r="H85" s="96"/>
      <c r="I85" s="96"/>
      <c r="J85" s="96"/>
      <c r="K85" s="96"/>
      <c r="L85" s="96">
        <f>IFERROR(__xludf.DUMMYFUNCTION("""COMPUTED_VALUE"""),0.0)</f>
        <v>0</v>
      </c>
      <c r="M85" s="96">
        <f>IFERROR(__xludf.DUMMYFUNCTION("""COMPUTED_VALUE"""),0.0)</f>
        <v>0</v>
      </c>
      <c r="N85" s="96">
        <f>IFERROR(__xludf.DUMMYFUNCTION("""COMPUTED_VALUE"""),0.0)</f>
        <v>0</v>
      </c>
      <c r="O85" s="96">
        <f>IFERROR(__xludf.DUMMYFUNCTION("""COMPUTED_VALUE"""),200000.0)</f>
        <v>200000</v>
      </c>
      <c r="P85" s="129">
        <f>IFERROR(__xludf.DUMMYFUNCTION("""COMPUTED_VALUE"""),0.0)</f>
        <v>0</v>
      </c>
      <c r="Q85" s="99"/>
      <c r="R85" s="99">
        <f>IFERROR(__xludf.DUMMYFUNCTION("""COMPUTED_VALUE"""),200000.0)</f>
        <v>200000</v>
      </c>
    </row>
    <row r="86">
      <c r="B86" s="96">
        <f>IFERROR(__xludf.DUMMYFUNCTION("""COMPUTED_VALUE"""),2.0)</f>
        <v>2</v>
      </c>
      <c r="C86" s="98">
        <f>IFERROR(__xludf.DUMMYFUNCTION("""COMPUTED_VALUE"""),44032.0)</f>
        <v>44032</v>
      </c>
      <c r="D86" s="96" t="str">
        <f>IFERROR(__xludf.DUMMYFUNCTION("""COMPUTED_VALUE"""),"JAMES AKAN")</f>
        <v>JAMES AKAN</v>
      </c>
      <c r="E86" s="96"/>
      <c r="F86" s="96"/>
      <c r="G86" s="96"/>
      <c r="H86" s="96"/>
      <c r="I86" s="96"/>
      <c r="J86" s="96"/>
      <c r="K86" s="96"/>
      <c r="L86" s="96">
        <f>IFERROR(__xludf.DUMMYFUNCTION("""COMPUTED_VALUE"""),0.0)</f>
        <v>0</v>
      </c>
      <c r="M86" s="96">
        <f>IFERROR(__xludf.DUMMYFUNCTION("""COMPUTED_VALUE"""),0.0)</f>
        <v>0</v>
      </c>
      <c r="N86" s="96">
        <f>IFERROR(__xludf.DUMMYFUNCTION("""COMPUTED_VALUE"""),0.0)</f>
        <v>0</v>
      </c>
      <c r="O86" s="96">
        <f>IFERROR(__xludf.DUMMYFUNCTION("""COMPUTED_VALUE"""),300000.0)</f>
        <v>300000</v>
      </c>
      <c r="P86" s="129">
        <f>IFERROR(__xludf.DUMMYFUNCTION("""COMPUTED_VALUE"""),0.0)</f>
        <v>0</v>
      </c>
      <c r="Q86" s="99"/>
      <c r="R86" s="99">
        <f>IFERROR(__xludf.DUMMYFUNCTION("""COMPUTED_VALUE"""),545000.0)</f>
        <v>545000</v>
      </c>
    </row>
    <row r="87">
      <c r="B87" s="96">
        <f>IFERROR(__xludf.DUMMYFUNCTION("""COMPUTED_VALUE"""),5.0)</f>
        <v>5</v>
      </c>
      <c r="C87" s="98">
        <f>IFERROR(__xludf.DUMMYFUNCTION("""COMPUTED_VALUE"""),44032.0)</f>
        <v>44032</v>
      </c>
      <c r="D87" s="96" t="str">
        <f>IFERROR(__xludf.DUMMYFUNCTION("""COMPUTED_VALUE"""),"LYDIA HNSON ")</f>
        <v>LYDIA HNSON </v>
      </c>
      <c r="E87" s="96"/>
      <c r="F87" s="96"/>
      <c r="G87" s="96"/>
      <c r="H87" s="96"/>
      <c r="I87" s="96"/>
      <c r="J87" s="96"/>
      <c r="K87" s="96"/>
      <c r="L87" s="96">
        <f>IFERROR(__xludf.DUMMYFUNCTION("""COMPUTED_VALUE"""),0.0)</f>
        <v>0</v>
      </c>
      <c r="M87" s="96">
        <f>IFERROR(__xludf.DUMMYFUNCTION("""COMPUTED_VALUE"""),0.0)</f>
        <v>0</v>
      </c>
      <c r="N87" s="96">
        <f>IFERROR(__xludf.DUMMYFUNCTION("""COMPUTED_VALUE"""),0.0)</f>
        <v>0</v>
      </c>
      <c r="O87" s="96">
        <f>IFERROR(__xludf.DUMMYFUNCTION("""COMPUTED_VALUE"""),300000.0)</f>
        <v>300000</v>
      </c>
      <c r="P87" s="129">
        <f>IFERROR(__xludf.DUMMYFUNCTION("""COMPUTED_VALUE"""),0.0)</f>
        <v>0</v>
      </c>
      <c r="Q87" s="99"/>
      <c r="R87" s="99">
        <f>IFERROR(__xludf.DUMMYFUNCTION("""COMPUTED_VALUE"""),2829680.0)</f>
        <v>2829680</v>
      </c>
    </row>
    <row r="88">
      <c r="B88" s="96">
        <f>IFERROR(__xludf.DUMMYFUNCTION("""COMPUTED_VALUE"""),3.0)</f>
        <v>3</v>
      </c>
      <c r="C88" s="98">
        <f>IFERROR(__xludf.DUMMYFUNCTION("""COMPUTED_VALUE"""),44032.0)</f>
        <v>44032</v>
      </c>
      <c r="D88" s="96" t="str">
        <f>IFERROR(__xludf.DUMMYFUNCTION("""COMPUTED_VALUE""")," MAXWELL AGRO")</f>
        <v> MAXWELL AGRO</v>
      </c>
      <c r="E88" s="96"/>
      <c r="F88" s="96"/>
      <c r="G88" s="96"/>
      <c r="H88" s="96"/>
      <c r="I88" s="96"/>
      <c r="J88" s="96"/>
      <c r="K88" s="96"/>
      <c r="L88" s="96">
        <f>IFERROR(__xludf.DUMMYFUNCTION("""COMPUTED_VALUE"""),0.0)</f>
        <v>0</v>
      </c>
      <c r="M88" s="96">
        <f>IFERROR(__xludf.DUMMYFUNCTION("""COMPUTED_VALUE"""),0.0)</f>
        <v>0</v>
      </c>
      <c r="N88" s="96">
        <f>IFERROR(__xludf.DUMMYFUNCTION("""COMPUTED_VALUE"""),0.0)</f>
        <v>0</v>
      </c>
      <c r="O88" s="96">
        <f>IFERROR(__xludf.DUMMYFUNCTION("""COMPUTED_VALUE"""),140000.0)</f>
        <v>140000</v>
      </c>
      <c r="P88" s="129">
        <f>IFERROR(__xludf.DUMMYFUNCTION("""COMPUTED_VALUE"""),0.0)</f>
        <v>0</v>
      </c>
      <c r="Q88" s="99"/>
      <c r="R88" s="99">
        <f>IFERROR(__xludf.DUMMYFUNCTION("""COMPUTED_VALUE"""),540000.0)</f>
        <v>540000</v>
      </c>
    </row>
    <row r="89">
      <c r="B89" s="96">
        <f>IFERROR(__xludf.DUMMYFUNCTION("""COMPUTED_VALUE"""),4.0)</f>
        <v>4</v>
      </c>
      <c r="C89" s="98">
        <f>IFERROR(__xludf.DUMMYFUNCTION("""COMPUTED_VALUE"""),44033.0)</f>
        <v>44033</v>
      </c>
      <c r="D89" s="96" t="str">
        <f>IFERROR(__xludf.DUMMYFUNCTION("""COMPUTED_VALUE"""),"LIVINUS")</f>
        <v>LIVINUS</v>
      </c>
      <c r="E89" s="96">
        <f>IFERROR(__xludf.DUMMYFUNCTION("""COMPUTED_VALUE"""),1166.0)</f>
        <v>1166</v>
      </c>
      <c r="F89" s="96">
        <f>IFERROR(__xludf.DUMMYFUNCTION("""COMPUTED_VALUE"""),173.0)</f>
        <v>173</v>
      </c>
      <c r="G89" s="96"/>
      <c r="H89" s="96">
        <f>IFERROR(__xludf.DUMMYFUNCTION("""COMPUTED_VALUE"""),19.0)</f>
        <v>19</v>
      </c>
      <c r="I89" s="96"/>
      <c r="J89" s="96">
        <f>IFERROR(__xludf.DUMMYFUNCTION("""COMPUTED_VALUE"""),780.0)</f>
        <v>780</v>
      </c>
      <c r="K89" s="96">
        <f>IFERROR(__xludf.DUMMYFUNCTION("""COMPUTED_VALUE"""),9.11)</f>
        <v>9.11</v>
      </c>
      <c r="L89" s="96">
        <f>IFERROR(__xludf.DUMMYFUNCTION("""COMPUTED_VALUE"""),13.0)</f>
        <v>13</v>
      </c>
      <c r="M89" s="96">
        <f>IFERROR(__xludf.DUMMYFUNCTION("""COMPUTED_VALUE"""),18.0)</f>
        <v>18</v>
      </c>
      <c r="N89" s="96">
        <f>IFERROR(__xludf.DUMMYFUNCTION("""COMPUTED_VALUE"""),0.0)</f>
        <v>0</v>
      </c>
      <c r="O89" s="96"/>
      <c r="P89" s="129">
        <f>IFERROR(__xludf.DUMMYFUNCTION("""COMPUTED_VALUE"""),1134.0)</f>
        <v>1134</v>
      </c>
      <c r="Q89" s="99">
        <f>IFERROR(__xludf.DUMMYFUNCTION("""COMPUTED_VALUE"""),884520.0)</f>
        <v>884520</v>
      </c>
      <c r="R89" s="99">
        <f>IFERROR(__xludf.DUMMYFUNCTION("""COMPUTED_VALUE"""),-996600.0)</f>
        <v>-996600</v>
      </c>
    </row>
    <row r="90">
      <c r="B90" s="96">
        <f>IFERROR(__xludf.DUMMYFUNCTION("""COMPUTED_VALUE"""),4.0)</f>
        <v>4</v>
      </c>
      <c r="C90" s="98">
        <f>IFERROR(__xludf.DUMMYFUNCTION("""COMPUTED_VALUE"""),44030.0)</f>
        <v>44030</v>
      </c>
      <c r="D90" s="96" t="str">
        <f>IFERROR(__xludf.DUMMYFUNCTION("""COMPUTED_VALUE""")," MAXWELL AGRO")</f>
        <v> MAXWELL AGRO</v>
      </c>
      <c r="E90" s="96">
        <f>IFERROR(__xludf.DUMMYFUNCTION("""COMPUTED_VALUE"""),387.0)</f>
        <v>387</v>
      </c>
      <c r="F90" s="96">
        <f>IFERROR(__xludf.DUMMYFUNCTION("""COMPUTED_VALUE"""),48.0)</f>
        <v>48</v>
      </c>
      <c r="G90" s="96"/>
      <c r="H90" s="96">
        <f>IFERROR(__xludf.DUMMYFUNCTION("""COMPUTED_VALUE"""),6.0)</f>
        <v>6</v>
      </c>
      <c r="I90" s="96"/>
      <c r="J90" s="96">
        <f>IFERROR(__xludf.DUMMYFUNCTION("""COMPUTED_VALUE"""),780.0)</f>
        <v>780</v>
      </c>
      <c r="K90" s="96">
        <f>IFERROR(__xludf.DUMMYFUNCTION("""COMPUTED_VALUE"""),8.0)</f>
        <v>8</v>
      </c>
      <c r="L90" s="96">
        <f>IFERROR(__xludf.DUMMYFUNCTION("""COMPUTED_VALUE"""),0.0)</f>
        <v>0</v>
      </c>
      <c r="M90" s="96">
        <f>IFERROR(__xludf.DUMMYFUNCTION("""COMPUTED_VALUE"""),6.0)</f>
        <v>6</v>
      </c>
      <c r="N90" s="96">
        <f>IFERROR(__xludf.DUMMYFUNCTION("""COMPUTED_VALUE"""),2.0)</f>
        <v>2</v>
      </c>
      <c r="O90" s="96"/>
      <c r="P90" s="129">
        <f>IFERROR(__xludf.DUMMYFUNCTION("""COMPUTED_VALUE"""),381.0)</f>
        <v>381</v>
      </c>
      <c r="Q90" s="99">
        <f>IFERROR(__xludf.DUMMYFUNCTION("""COMPUTED_VALUE"""),297180.0)</f>
        <v>297180</v>
      </c>
      <c r="R90" s="99">
        <f>IFERROR(__xludf.DUMMYFUNCTION("""COMPUTED_VALUE"""),242820.0)</f>
        <v>242820</v>
      </c>
    </row>
    <row r="91">
      <c r="B91" s="96">
        <f>IFERROR(__xludf.DUMMYFUNCTION("""COMPUTED_VALUE"""),6.0)</f>
        <v>6</v>
      </c>
      <c r="C91" s="98">
        <f>IFERROR(__xludf.DUMMYFUNCTION("""COMPUTED_VALUE"""),44033.0)</f>
        <v>44033</v>
      </c>
      <c r="D91" s="96" t="str">
        <f>IFERROR(__xludf.DUMMYFUNCTION("""COMPUTED_VALUE"""),"LYDIA HNSON ")</f>
        <v>LYDIA HNSON </v>
      </c>
      <c r="E91" s="96"/>
      <c r="F91" s="96"/>
      <c r="G91" s="96"/>
      <c r="H91" s="96"/>
      <c r="I91" s="96"/>
      <c r="J91" s="96"/>
      <c r="K91" s="96"/>
      <c r="L91" s="96">
        <f>IFERROR(__xludf.DUMMYFUNCTION("""COMPUTED_VALUE"""),0.0)</f>
        <v>0</v>
      </c>
      <c r="M91" s="96">
        <f>IFERROR(__xludf.DUMMYFUNCTION("""COMPUTED_VALUE"""),0.0)</f>
        <v>0</v>
      </c>
      <c r="N91" s="96">
        <f>IFERROR(__xludf.DUMMYFUNCTION("""COMPUTED_VALUE"""),0.0)</f>
        <v>0</v>
      </c>
      <c r="O91" s="96">
        <f>IFERROR(__xludf.DUMMYFUNCTION("""COMPUTED_VALUE"""),50000.0)</f>
        <v>50000</v>
      </c>
      <c r="P91" s="129">
        <f>IFERROR(__xludf.DUMMYFUNCTION("""COMPUTED_VALUE"""),0.0)</f>
        <v>0</v>
      </c>
      <c r="Q91" s="99"/>
      <c r="R91" s="99">
        <f>IFERROR(__xludf.DUMMYFUNCTION("""COMPUTED_VALUE"""),2879680.0)</f>
        <v>2879680</v>
      </c>
    </row>
    <row r="92">
      <c r="B92" s="96">
        <f>IFERROR(__xludf.DUMMYFUNCTION("""COMPUTED_VALUE"""),2.0)</f>
        <v>2</v>
      </c>
      <c r="C92" s="98">
        <f>IFERROR(__xludf.DUMMYFUNCTION("""COMPUTED_VALUE"""),44033.0)</f>
        <v>44033</v>
      </c>
      <c r="D92" s="96" t="str">
        <f>IFERROR(__xludf.DUMMYFUNCTION("""COMPUTED_VALUE"""),"OTU KOKO KEIBO")</f>
        <v>OTU KOKO KEIBO</v>
      </c>
      <c r="E92" s="96"/>
      <c r="F92" s="96"/>
      <c r="G92" s="96"/>
      <c r="H92" s="96"/>
      <c r="I92" s="96"/>
      <c r="J92" s="96"/>
      <c r="K92" s="96"/>
      <c r="L92" s="96">
        <f>IFERROR(__xludf.DUMMYFUNCTION("""COMPUTED_VALUE"""),0.0)</f>
        <v>0</v>
      </c>
      <c r="M92" s="96">
        <f>IFERROR(__xludf.DUMMYFUNCTION("""COMPUTED_VALUE"""),0.0)</f>
        <v>0</v>
      </c>
      <c r="N92" s="96">
        <f>IFERROR(__xludf.DUMMYFUNCTION("""COMPUTED_VALUE"""),0.0)</f>
        <v>0</v>
      </c>
      <c r="O92" s="96">
        <f>IFERROR(__xludf.DUMMYFUNCTION("""COMPUTED_VALUE"""),2.3E7)</f>
        <v>23000000</v>
      </c>
      <c r="P92" s="129">
        <f>IFERROR(__xludf.DUMMYFUNCTION("""COMPUTED_VALUE"""),0.0)</f>
        <v>0</v>
      </c>
      <c r="Q92" s="99"/>
      <c r="R92" s="99">
        <f>IFERROR(__xludf.DUMMYFUNCTION("""COMPUTED_VALUE"""),2.5399925E7)</f>
        <v>25399925</v>
      </c>
    </row>
    <row r="93">
      <c r="B93" s="96">
        <f>IFERROR(__xludf.DUMMYFUNCTION("""COMPUTED_VALUE"""),5.0)</f>
        <v>5</v>
      </c>
      <c r="C93" s="98">
        <f>IFERROR(__xludf.DUMMYFUNCTION("""COMPUTED_VALUE"""),44033.0)</f>
        <v>44033</v>
      </c>
      <c r="D93" s="96" t="str">
        <f>IFERROR(__xludf.DUMMYFUNCTION("""COMPUTED_VALUE"""),"LIVINUS")</f>
        <v>LIVINUS</v>
      </c>
      <c r="E93" s="96"/>
      <c r="F93" s="96"/>
      <c r="G93" s="96"/>
      <c r="H93" s="96"/>
      <c r="I93" s="96"/>
      <c r="J93" s="96"/>
      <c r="K93" s="96"/>
      <c r="L93" s="96">
        <f>IFERROR(__xludf.DUMMYFUNCTION("""COMPUTED_VALUE"""),0.0)</f>
        <v>0</v>
      </c>
      <c r="M93" s="96">
        <f>IFERROR(__xludf.DUMMYFUNCTION("""COMPUTED_VALUE"""),0.0)</f>
        <v>0</v>
      </c>
      <c r="N93" s="96">
        <f>IFERROR(__xludf.DUMMYFUNCTION("""COMPUTED_VALUE"""),0.0)</f>
        <v>0</v>
      </c>
      <c r="O93" s="96">
        <f>IFERROR(__xludf.DUMMYFUNCTION("""COMPUTED_VALUE"""),1680000.0)</f>
        <v>1680000</v>
      </c>
      <c r="P93" s="129">
        <f>IFERROR(__xludf.DUMMYFUNCTION("""COMPUTED_VALUE"""),0.0)</f>
        <v>0</v>
      </c>
      <c r="Q93" s="99"/>
      <c r="R93" s="99">
        <f>IFERROR(__xludf.DUMMYFUNCTION("""COMPUTED_VALUE"""),683400.0)</f>
        <v>683400</v>
      </c>
    </row>
    <row r="94">
      <c r="B94" s="96">
        <f>IFERROR(__xludf.DUMMYFUNCTION("""COMPUTED_VALUE"""),1.0)</f>
        <v>1</v>
      </c>
      <c r="C94" s="98">
        <f>IFERROR(__xludf.DUMMYFUNCTION("""COMPUTED_VALUE"""),44033.0)</f>
        <v>44033</v>
      </c>
      <c r="D94" s="96" t="str">
        <f>IFERROR(__xludf.DUMMYFUNCTION("""COMPUTED_VALUE"""),"NDOMA PETER")</f>
        <v>NDOMA PETER</v>
      </c>
      <c r="E94" s="96"/>
      <c r="F94" s="96"/>
      <c r="G94" s="96"/>
      <c r="H94" s="96"/>
      <c r="I94" s="96"/>
      <c r="J94" s="96"/>
      <c r="K94" s="96"/>
      <c r="L94" s="96">
        <f>IFERROR(__xludf.DUMMYFUNCTION("""COMPUTED_VALUE"""),0.0)</f>
        <v>0</v>
      </c>
      <c r="M94" s="96">
        <f>IFERROR(__xludf.DUMMYFUNCTION("""COMPUTED_VALUE"""),0.0)</f>
        <v>0</v>
      </c>
      <c r="N94" s="96">
        <f>IFERROR(__xludf.DUMMYFUNCTION("""COMPUTED_VALUE"""),0.0)</f>
        <v>0</v>
      </c>
      <c r="O94" s="96">
        <f>IFERROR(__xludf.DUMMYFUNCTION("""COMPUTED_VALUE"""),400000.0)</f>
        <v>400000</v>
      </c>
      <c r="P94" s="129">
        <f>IFERROR(__xludf.DUMMYFUNCTION("""COMPUTED_VALUE"""),0.0)</f>
        <v>0</v>
      </c>
      <c r="Q94" s="99"/>
      <c r="R94" s="99">
        <f>IFERROR(__xludf.DUMMYFUNCTION("""COMPUTED_VALUE"""),400000.0)</f>
        <v>400000</v>
      </c>
    </row>
    <row r="95">
      <c r="B95" s="96">
        <f>IFERROR(__xludf.DUMMYFUNCTION("""COMPUTED_VALUE"""),3.0)</f>
        <v>3</v>
      </c>
      <c r="C95" s="98">
        <f>IFERROR(__xludf.DUMMYFUNCTION("""COMPUTED_VALUE"""),44032.0)</f>
        <v>44032</v>
      </c>
      <c r="D95" s="96" t="str">
        <f>IFERROR(__xludf.DUMMYFUNCTION("""COMPUTED_VALUE"""),"JAMES AKAN")</f>
        <v>JAMES AKAN</v>
      </c>
      <c r="E95" s="96"/>
      <c r="F95" s="96"/>
      <c r="G95" s="96"/>
      <c r="H95" s="96"/>
      <c r="I95" s="96"/>
      <c r="J95" s="96"/>
      <c r="K95" s="96"/>
      <c r="L95" s="96">
        <f>IFERROR(__xludf.DUMMYFUNCTION("""COMPUTED_VALUE"""),0.0)</f>
        <v>0</v>
      </c>
      <c r="M95" s="96">
        <f>IFERROR(__xludf.DUMMYFUNCTION("""COMPUTED_VALUE"""),0.0)</f>
        <v>0</v>
      </c>
      <c r="N95" s="96">
        <f>IFERROR(__xludf.DUMMYFUNCTION("""COMPUTED_VALUE"""),0.0)</f>
        <v>0</v>
      </c>
      <c r="O95" s="96">
        <f>IFERROR(__xludf.DUMMYFUNCTION("""COMPUTED_VALUE"""),-145000.0)</f>
        <v>-145000</v>
      </c>
      <c r="P95" s="129">
        <f>IFERROR(__xludf.DUMMYFUNCTION("""COMPUTED_VALUE"""),0.0)</f>
        <v>0</v>
      </c>
      <c r="Q95" s="99"/>
      <c r="R95" s="99">
        <f>IFERROR(__xludf.DUMMYFUNCTION("""COMPUTED_VALUE"""),400000.0)</f>
        <v>400000</v>
      </c>
    </row>
    <row r="96">
      <c r="B96" s="96">
        <f>IFERROR(__xludf.DUMMYFUNCTION("""COMPUTED_VALUE"""),2.0)</f>
        <v>2</v>
      </c>
      <c r="C96" s="98">
        <f>IFERROR(__xludf.DUMMYFUNCTION("""COMPUTED_VALUE"""),44029.0)</f>
        <v>44029</v>
      </c>
      <c r="D96" s="96" t="str">
        <f>IFERROR(__xludf.DUMMYFUNCTION("""COMPUTED_VALUE"""),"ZULU &amp; NDOMA")</f>
        <v>ZULU &amp; NDOMA</v>
      </c>
      <c r="E96" s="96"/>
      <c r="F96" s="96"/>
      <c r="G96" s="96"/>
      <c r="H96" s="96"/>
      <c r="I96" s="96"/>
      <c r="J96" s="96"/>
      <c r="K96" s="96"/>
      <c r="L96" s="96">
        <f>IFERROR(__xludf.DUMMYFUNCTION("""COMPUTED_VALUE"""),0.0)</f>
        <v>0</v>
      </c>
      <c r="M96" s="96">
        <f>IFERROR(__xludf.DUMMYFUNCTION("""COMPUTED_VALUE"""),0.0)</f>
        <v>0</v>
      </c>
      <c r="N96" s="96">
        <f>IFERROR(__xludf.DUMMYFUNCTION("""COMPUTED_VALUE"""),0.0)</f>
        <v>0</v>
      </c>
      <c r="O96" s="96">
        <f>IFERROR(__xludf.DUMMYFUNCTION("""COMPUTED_VALUE"""),29000.0)</f>
        <v>29000</v>
      </c>
      <c r="P96" s="129">
        <f>IFERROR(__xludf.DUMMYFUNCTION("""COMPUTED_VALUE"""),0.0)</f>
        <v>0</v>
      </c>
      <c r="Q96" s="99"/>
      <c r="R96" s="99">
        <f>IFERROR(__xludf.DUMMYFUNCTION("""COMPUTED_VALUE"""),194400.0)</f>
        <v>194400</v>
      </c>
    </row>
    <row r="97">
      <c r="B97" s="96">
        <f>IFERROR(__xludf.DUMMYFUNCTION("""COMPUTED_VALUE"""),6.0)</f>
        <v>6</v>
      </c>
      <c r="C97" s="98">
        <f>IFERROR(__xludf.DUMMYFUNCTION("""COMPUTED_VALUE"""),44030.0)</f>
        <v>44030</v>
      </c>
      <c r="D97" s="96" t="str">
        <f>IFERROR(__xludf.DUMMYFUNCTION("""COMPUTED_VALUE"""),"LIVINUS")</f>
        <v>LIVINUS</v>
      </c>
      <c r="E97" s="96"/>
      <c r="F97" s="96"/>
      <c r="G97" s="96"/>
      <c r="H97" s="96"/>
      <c r="I97" s="96"/>
      <c r="J97" s="96"/>
      <c r="K97" s="96"/>
      <c r="L97" s="96">
        <f>IFERROR(__xludf.DUMMYFUNCTION("""COMPUTED_VALUE"""),0.0)</f>
        <v>0</v>
      </c>
      <c r="M97" s="96">
        <f>IFERROR(__xludf.DUMMYFUNCTION("""COMPUTED_VALUE"""),0.0)</f>
        <v>0</v>
      </c>
      <c r="N97" s="96">
        <f>IFERROR(__xludf.DUMMYFUNCTION("""COMPUTED_VALUE"""),0.0)</f>
        <v>0</v>
      </c>
      <c r="O97" s="96">
        <f>IFERROR(__xludf.DUMMYFUNCTION("""COMPUTED_VALUE"""),112080.0)</f>
        <v>112080</v>
      </c>
      <c r="P97" s="129">
        <f>IFERROR(__xludf.DUMMYFUNCTION("""COMPUTED_VALUE"""),0.0)</f>
        <v>0</v>
      </c>
      <c r="Q97" s="99"/>
      <c r="R97" s="99">
        <f>IFERROR(__xludf.DUMMYFUNCTION("""COMPUTED_VALUE"""),795480.0)</f>
        <v>795480</v>
      </c>
    </row>
    <row r="98">
      <c r="B98" s="96">
        <f>IFERROR(__xludf.DUMMYFUNCTION("""COMPUTED_VALUE"""),7.0)</f>
        <v>7</v>
      </c>
      <c r="C98" s="98">
        <f>IFERROR(__xludf.DUMMYFUNCTION("""COMPUTED_VALUE"""),44033.0)</f>
        <v>44033</v>
      </c>
      <c r="D98" s="96" t="str">
        <f>IFERROR(__xludf.DUMMYFUNCTION("""COMPUTED_VALUE"""),"LIVINUS")</f>
        <v>LIVINUS</v>
      </c>
      <c r="E98" s="96"/>
      <c r="F98" s="96"/>
      <c r="G98" s="96"/>
      <c r="H98" s="96"/>
      <c r="I98" s="96"/>
      <c r="J98" s="96"/>
      <c r="K98" s="96"/>
      <c r="L98" s="96">
        <f>IFERROR(__xludf.DUMMYFUNCTION("""COMPUTED_VALUE"""),0.0)</f>
        <v>0</v>
      </c>
      <c r="M98" s="96">
        <f>IFERROR(__xludf.DUMMYFUNCTION("""COMPUTED_VALUE"""),0.0)</f>
        <v>0</v>
      </c>
      <c r="N98" s="96">
        <f>IFERROR(__xludf.DUMMYFUNCTION("""COMPUTED_VALUE"""),0.0)</f>
        <v>0</v>
      </c>
      <c r="O98" s="96">
        <f>IFERROR(__xludf.DUMMYFUNCTION("""COMPUTED_VALUE"""),884520.0)</f>
        <v>884520</v>
      </c>
      <c r="P98" s="129">
        <f>IFERROR(__xludf.DUMMYFUNCTION("""COMPUTED_VALUE"""),0.0)</f>
        <v>0</v>
      </c>
      <c r="Q98" s="99"/>
      <c r="R98" s="99">
        <f>IFERROR(__xludf.DUMMYFUNCTION("""COMPUTED_VALUE"""),1680000.0)</f>
        <v>1680000</v>
      </c>
    </row>
    <row r="99">
      <c r="B99" s="96">
        <f>IFERROR(__xludf.DUMMYFUNCTION("""COMPUTED_VALUE"""),6.0)</f>
        <v>6</v>
      </c>
      <c r="C99" s="98">
        <f>IFERROR(__xludf.DUMMYFUNCTION("""COMPUTED_VALUE"""),44030.0)</f>
        <v>44030</v>
      </c>
      <c r="D99" s="96" t="str">
        <f>IFERROR(__xludf.DUMMYFUNCTION("""COMPUTED_VALUE"""),"CONNECT")</f>
        <v>CONNECT</v>
      </c>
      <c r="E99" s="96"/>
      <c r="F99" s="96"/>
      <c r="G99" s="96"/>
      <c r="H99" s="96"/>
      <c r="I99" s="96"/>
      <c r="J99" s="96"/>
      <c r="K99" s="96"/>
      <c r="L99" s="96">
        <f>IFERROR(__xludf.DUMMYFUNCTION("""COMPUTED_VALUE"""),0.0)</f>
        <v>0</v>
      </c>
      <c r="M99" s="96">
        <f>IFERROR(__xludf.DUMMYFUNCTION("""COMPUTED_VALUE"""),0.0)</f>
        <v>0</v>
      </c>
      <c r="N99" s="96">
        <f>IFERROR(__xludf.DUMMYFUNCTION("""COMPUTED_VALUE"""),0.0)</f>
        <v>0</v>
      </c>
      <c r="O99" s="96">
        <f>IFERROR(__xludf.DUMMYFUNCTION("""COMPUTED_VALUE"""),-5000.0)</f>
        <v>-5000</v>
      </c>
      <c r="P99" s="129">
        <f>IFERROR(__xludf.DUMMYFUNCTION("""COMPUTED_VALUE"""),0.0)</f>
        <v>0</v>
      </c>
      <c r="Q99" s="99"/>
      <c r="R99" s="99">
        <f>IFERROR(__xludf.DUMMYFUNCTION("""COMPUTED_VALUE"""),823920.0)</f>
        <v>823920</v>
      </c>
    </row>
    <row r="100">
      <c r="B100" s="96">
        <f>IFERROR(__xludf.DUMMYFUNCTION("""COMPUTED_VALUE"""),7.0)</f>
        <v>7</v>
      </c>
      <c r="C100" s="98">
        <f>IFERROR(__xludf.DUMMYFUNCTION("""COMPUTED_VALUE"""),44030.0)</f>
        <v>44030</v>
      </c>
      <c r="D100" s="96" t="str">
        <f>IFERROR(__xludf.DUMMYFUNCTION("""COMPUTED_VALUE"""),"CONNECT")</f>
        <v>CONNECT</v>
      </c>
      <c r="E100" s="96"/>
      <c r="F100" s="96"/>
      <c r="G100" s="96"/>
      <c r="H100" s="96"/>
      <c r="I100" s="96"/>
      <c r="J100" s="96"/>
      <c r="K100" s="96"/>
      <c r="L100" s="96">
        <f>IFERROR(__xludf.DUMMYFUNCTION("""COMPUTED_VALUE"""),0.0)</f>
        <v>0</v>
      </c>
      <c r="M100" s="96">
        <f>IFERROR(__xludf.DUMMYFUNCTION("""COMPUTED_VALUE"""),0.0)</f>
        <v>0</v>
      </c>
      <c r="N100" s="96">
        <f>IFERROR(__xludf.DUMMYFUNCTION("""COMPUTED_VALUE"""),0.0)</f>
        <v>0</v>
      </c>
      <c r="O100" s="96">
        <f>IFERROR(__xludf.DUMMYFUNCTION("""COMPUTED_VALUE"""),-23920.0)</f>
        <v>-23920</v>
      </c>
      <c r="P100" s="129">
        <f>IFERROR(__xludf.DUMMYFUNCTION("""COMPUTED_VALUE"""),0.0)</f>
        <v>0</v>
      </c>
      <c r="Q100" s="99"/>
      <c r="R100" s="99">
        <f>IFERROR(__xludf.DUMMYFUNCTION("""COMPUTED_VALUE"""),800000.0)</f>
        <v>800000</v>
      </c>
    </row>
    <row r="101">
      <c r="B101" s="96">
        <f>IFERROR(__xludf.DUMMYFUNCTION("""COMPUTED_VALUE"""),3.0)</f>
        <v>3</v>
      </c>
      <c r="C101" s="98">
        <f>IFERROR(__xludf.DUMMYFUNCTION("""COMPUTED_VALUE"""),44034.0)</f>
        <v>44034</v>
      </c>
      <c r="D101" s="96" t="str">
        <f>IFERROR(__xludf.DUMMYFUNCTION("""COMPUTED_VALUE"""),"ZULU &amp; NDOMA")</f>
        <v>ZULU &amp; NDOMA</v>
      </c>
      <c r="E101" s="96"/>
      <c r="F101" s="96"/>
      <c r="G101" s="96"/>
      <c r="H101" s="96"/>
      <c r="I101" s="96"/>
      <c r="J101" s="96"/>
      <c r="K101" s="96"/>
      <c r="L101" s="96">
        <f>IFERROR(__xludf.DUMMYFUNCTION("""COMPUTED_VALUE"""),0.0)</f>
        <v>0</v>
      </c>
      <c r="M101" s="96">
        <f>IFERROR(__xludf.DUMMYFUNCTION("""COMPUTED_VALUE"""),0.0)</f>
        <v>0</v>
      </c>
      <c r="N101" s="96">
        <f>IFERROR(__xludf.DUMMYFUNCTION("""COMPUTED_VALUE"""),0.0)</f>
        <v>0</v>
      </c>
      <c r="O101" s="96">
        <f>IFERROR(__xludf.DUMMYFUNCTION("""COMPUTED_VALUE"""),9000.0)</f>
        <v>9000</v>
      </c>
      <c r="P101" s="129">
        <f>IFERROR(__xludf.DUMMYFUNCTION("""COMPUTED_VALUE"""),0.0)</f>
        <v>0</v>
      </c>
      <c r="Q101" s="99"/>
      <c r="R101" s="99">
        <f>IFERROR(__xludf.DUMMYFUNCTION("""COMPUTED_VALUE"""),203400.0)</f>
        <v>203400</v>
      </c>
    </row>
    <row r="102">
      <c r="B102" s="96">
        <f>IFERROR(__xludf.DUMMYFUNCTION("""COMPUTED_VALUE"""),4.0)</f>
        <v>4</v>
      </c>
      <c r="C102" s="98">
        <f>IFERROR(__xludf.DUMMYFUNCTION("""COMPUTED_VALUE"""),44034.0)</f>
        <v>44034</v>
      </c>
      <c r="D102" s="96" t="str">
        <f>IFERROR(__xludf.DUMMYFUNCTION("""COMPUTED_VALUE"""),"CORNWELL")</f>
        <v>CORNWELL</v>
      </c>
      <c r="E102" s="96"/>
      <c r="F102" s="96"/>
      <c r="G102" s="96"/>
      <c r="H102" s="96"/>
      <c r="I102" s="96"/>
      <c r="J102" s="96"/>
      <c r="K102" s="96"/>
      <c r="L102" s="96">
        <f>IFERROR(__xludf.DUMMYFUNCTION("""COMPUTED_VALUE"""),0.0)</f>
        <v>0</v>
      </c>
      <c r="M102" s="96">
        <f>IFERROR(__xludf.DUMMYFUNCTION("""COMPUTED_VALUE"""),0.0)</f>
        <v>0</v>
      </c>
      <c r="N102" s="96">
        <f>IFERROR(__xludf.DUMMYFUNCTION("""COMPUTED_VALUE"""),0.0)</f>
        <v>0</v>
      </c>
      <c r="O102" s="96">
        <f>IFERROR(__xludf.DUMMYFUNCTION("""COMPUTED_VALUE"""),3725000.0)</f>
        <v>3725000</v>
      </c>
      <c r="P102" s="129">
        <f>IFERROR(__xludf.DUMMYFUNCTION("""COMPUTED_VALUE"""),0.0)</f>
        <v>0</v>
      </c>
      <c r="Q102" s="99"/>
      <c r="R102" s="99">
        <f>IFERROR(__xludf.DUMMYFUNCTION("""COMPUTED_VALUE"""),1.460444E7)</f>
        <v>14604440</v>
      </c>
    </row>
    <row r="103">
      <c r="B103" s="96">
        <f>IFERROR(__xludf.DUMMYFUNCTION("""COMPUTED_VALUE"""),8.0)</f>
        <v>8</v>
      </c>
      <c r="C103" s="98">
        <f>IFERROR(__xludf.DUMMYFUNCTION("""COMPUTED_VALUE"""),44034.0)</f>
        <v>44034</v>
      </c>
      <c r="D103" s="96" t="str">
        <f>IFERROR(__xludf.DUMMYFUNCTION("""COMPUTED_VALUE"""),"CONNECT")</f>
        <v>CONNECT</v>
      </c>
      <c r="E103" s="96"/>
      <c r="F103" s="96"/>
      <c r="G103" s="96"/>
      <c r="H103" s="96"/>
      <c r="I103" s="96"/>
      <c r="J103" s="96"/>
      <c r="K103" s="96"/>
      <c r="L103" s="96">
        <f>IFERROR(__xludf.DUMMYFUNCTION("""COMPUTED_VALUE"""),0.0)</f>
        <v>0</v>
      </c>
      <c r="M103" s="96">
        <f>IFERROR(__xludf.DUMMYFUNCTION("""COMPUTED_VALUE"""),0.0)</f>
        <v>0</v>
      </c>
      <c r="N103" s="96">
        <f>IFERROR(__xludf.DUMMYFUNCTION("""COMPUTED_VALUE"""),0.0)</f>
        <v>0</v>
      </c>
      <c r="O103" s="96">
        <f>IFERROR(__xludf.DUMMYFUNCTION("""COMPUTED_VALUE"""),700000.0)</f>
        <v>700000</v>
      </c>
      <c r="P103" s="129">
        <f>IFERROR(__xludf.DUMMYFUNCTION("""COMPUTED_VALUE"""),0.0)</f>
        <v>0</v>
      </c>
      <c r="Q103" s="99"/>
      <c r="R103" s="99">
        <f>IFERROR(__xludf.DUMMYFUNCTION("""COMPUTED_VALUE"""),1500000.0)</f>
        <v>1500000</v>
      </c>
    </row>
    <row r="104">
      <c r="B104" s="96">
        <f>IFERROR(__xludf.DUMMYFUNCTION("""COMPUTED_VALUE"""),4.0)</f>
        <v>4</v>
      </c>
      <c r="C104" s="98">
        <f>IFERROR(__xludf.DUMMYFUNCTION("""COMPUTED_VALUE"""),44034.0)</f>
        <v>44034</v>
      </c>
      <c r="D104" s="96" t="str">
        <f>IFERROR(__xludf.DUMMYFUNCTION("""COMPUTED_VALUE"""),"ANDRDEW GREAT")</f>
        <v>ANDRDEW GREAT</v>
      </c>
      <c r="E104" s="96"/>
      <c r="F104" s="96"/>
      <c r="G104" s="96"/>
      <c r="H104" s="96"/>
      <c r="I104" s="96"/>
      <c r="J104" s="96"/>
      <c r="K104" s="96"/>
      <c r="L104" s="96">
        <f>IFERROR(__xludf.DUMMYFUNCTION("""COMPUTED_VALUE"""),0.0)</f>
        <v>0</v>
      </c>
      <c r="M104" s="96">
        <f>IFERROR(__xludf.DUMMYFUNCTION("""COMPUTED_VALUE"""),0.0)</f>
        <v>0</v>
      </c>
      <c r="N104" s="96">
        <f>IFERROR(__xludf.DUMMYFUNCTION("""COMPUTED_VALUE"""),0.0)</f>
        <v>0</v>
      </c>
      <c r="O104" s="96">
        <f>IFERROR(__xludf.DUMMYFUNCTION("""COMPUTED_VALUE"""),200000.0)</f>
        <v>200000</v>
      </c>
      <c r="P104" s="129">
        <f>IFERROR(__xludf.DUMMYFUNCTION("""COMPUTED_VALUE"""),0.0)</f>
        <v>0</v>
      </c>
      <c r="Q104" s="99"/>
      <c r="R104" s="99">
        <f>IFERROR(__xludf.DUMMYFUNCTION("""COMPUTED_VALUE"""),1526950.0)</f>
        <v>1526950</v>
      </c>
    </row>
    <row r="105">
      <c r="B105" s="96">
        <f>IFERROR(__xludf.DUMMYFUNCTION("""COMPUTED_VALUE"""),1.0)</f>
        <v>1</v>
      </c>
      <c r="C105" s="98">
        <f>IFERROR(__xludf.DUMMYFUNCTION("""COMPUTED_VALUE"""),44034.0)</f>
        <v>44034</v>
      </c>
      <c r="D105" s="96" t="str">
        <f>IFERROR(__xludf.DUMMYFUNCTION("""COMPUTED_VALUE"""),"ALFRED ALABI")</f>
        <v>ALFRED ALABI</v>
      </c>
      <c r="E105" s="96"/>
      <c r="F105" s="96"/>
      <c r="G105" s="96"/>
      <c r="H105" s="96"/>
      <c r="I105" s="96"/>
      <c r="J105" s="96"/>
      <c r="K105" s="96"/>
      <c r="L105" s="96">
        <f>IFERROR(__xludf.DUMMYFUNCTION("""COMPUTED_VALUE"""),0.0)</f>
        <v>0</v>
      </c>
      <c r="M105" s="96">
        <f>IFERROR(__xludf.DUMMYFUNCTION("""COMPUTED_VALUE"""),0.0)</f>
        <v>0</v>
      </c>
      <c r="N105" s="96">
        <f>IFERROR(__xludf.DUMMYFUNCTION("""COMPUTED_VALUE"""),0.0)</f>
        <v>0</v>
      </c>
      <c r="O105" s="96">
        <f>IFERROR(__xludf.DUMMYFUNCTION("""COMPUTED_VALUE"""),480000.0)</f>
        <v>480000</v>
      </c>
      <c r="P105" s="129">
        <f>IFERROR(__xludf.DUMMYFUNCTION("""COMPUTED_VALUE"""),0.0)</f>
        <v>0</v>
      </c>
      <c r="Q105" s="99"/>
      <c r="R105" s="99">
        <f>IFERROR(__xludf.DUMMYFUNCTION("""COMPUTED_VALUE"""),480000.0)</f>
        <v>480000</v>
      </c>
    </row>
    <row r="106">
      <c r="B106" s="96">
        <f>IFERROR(__xludf.DUMMYFUNCTION("""COMPUTED_VALUE"""),2.0)</f>
        <v>2</v>
      </c>
      <c r="C106" s="98">
        <f>IFERROR(__xludf.DUMMYFUNCTION("""COMPUTED_VALUE"""),44034.0)</f>
        <v>44034</v>
      </c>
      <c r="D106" s="96" t="str">
        <f>IFERROR(__xludf.DUMMYFUNCTION("""COMPUTED_VALUE"""),"EDWARD OKO")</f>
        <v>EDWARD OKO</v>
      </c>
      <c r="E106" s="96"/>
      <c r="F106" s="96"/>
      <c r="G106" s="96"/>
      <c r="H106" s="96"/>
      <c r="I106" s="96"/>
      <c r="J106" s="96"/>
      <c r="K106" s="96"/>
      <c r="L106" s="96">
        <f>IFERROR(__xludf.DUMMYFUNCTION("""COMPUTED_VALUE"""),0.0)</f>
        <v>0</v>
      </c>
      <c r="M106" s="96">
        <f>IFERROR(__xludf.DUMMYFUNCTION("""COMPUTED_VALUE"""),0.0)</f>
        <v>0</v>
      </c>
      <c r="N106" s="96">
        <f>IFERROR(__xludf.DUMMYFUNCTION("""COMPUTED_VALUE"""),0.0)</f>
        <v>0</v>
      </c>
      <c r="O106" s="96">
        <f>IFERROR(__xludf.DUMMYFUNCTION("""COMPUTED_VALUE"""),1000000.0)</f>
        <v>1000000</v>
      </c>
      <c r="P106" s="129">
        <f>IFERROR(__xludf.DUMMYFUNCTION("""COMPUTED_VALUE"""),0.0)</f>
        <v>0</v>
      </c>
      <c r="Q106" s="99"/>
      <c r="R106" s="99">
        <f>IFERROR(__xludf.DUMMYFUNCTION("""COMPUTED_VALUE"""),1521000.0)</f>
        <v>1521000</v>
      </c>
    </row>
    <row r="107">
      <c r="B107" s="96">
        <f>IFERROR(__xludf.DUMMYFUNCTION("""COMPUTED_VALUE"""),6.0)</f>
        <v>6</v>
      </c>
      <c r="C107" s="98">
        <f>IFERROR(__xludf.DUMMYFUNCTION("""COMPUTED_VALUE"""),44034.0)</f>
        <v>44034</v>
      </c>
      <c r="D107" s="96" t="str">
        <f>IFERROR(__xludf.DUMMYFUNCTION("""COMPUTED_VALUE"""),"RECTOR W.")</f>
        <v>RECTOR W.</v>
      </c>
      <c r="E107" s="96"/>
      <c r="F107" s="96"/>
      <c r="G107" s="96"/>
      <c r="H107" s="96"/>
      <c r="I107" s="96"/>
      <c r="J107" s="96"/>
      <c r="K107" s="96"/>
      <c r="L107" s="96">
        <f>IFERROR(__xludf.DUMMYFUNCTION("""COMPUTED_VALUE"""),0.0)</f>
        <v>0</v>
      </c>
      <c r="M107" s="96">
        <f>IFERROR(__xludf.DUMMYFUNCTION("""COMPUTED_VALUE"""),0.0)</f>
        <v>0</v>
      </c>
      <c r="N107" s="96">
        <f>IFERROR(__xludf.DUMMYFUNCTION("""COMPUTED_VALUE"""),0.0)</f>
        <v>0</v>
      </c>
      <c r="O107" s="96">
        <f>IFERROR(__xludf.DUMMYFUNCTION("""COMPUTED_VALUE"""),2500000.0)</f>
        <v>2500000</v>
      </c>
      <c r="P107" s="129">
        <f>IFERROR(__xludf.DUMMYFUNCTION("""COMPUTED_VALUE"""),0.0)</f>
        <v>0</v>
      </c>
      <c r="Q107" s="99"/>
      <c r="R107" s="99">
        <f>IFERROR(__xludf.DUMMYFUNCTION("""COMPUTED_VALUE"""),2141120.0)</f>
        <v>2141120</v>
      </c>
    </row>
    <row r="108">
      <c r="B108" s="96">
        <f>IFERROR(__xludf.DUMMYFUNCTION("""COMPUTED_VALUE"""),5.0)</f>
        <v>5</v>
      </c>
      <c r="C108" s="98">
        <f>IFERROR(__xludf.DUMMYFUNCTION("""COMPUTED_VALUE"""),44034.0)</f>
        <v>44034</v>
      </c>
      <c r="D108" s="96" t="str">
        <f>IFERROR(__xludf.DUMMYFUNCTION("""COMPUTED_VALUE"""),"NDOMA BODE I.D")</f>
        <v>NDOMA BODE I.D</v>
      </c>
      <c r="E108" s="96"/>
      <c r="F108" s="96"/>
      <c r="G108" s="96"/>
      <c r="H108" s="96"/>
      <c r="I108" s="96"/>
      <c r="J108" s="96"/>
      <c r="K108" s="96"/>
      <c r="L108" s="96">
        <f>IFERROR(__xludf.DUMMYFUNCTION("""COMPUTED_VALUE"""),0.0)</f>
        <v>0</v>
      </c>
      <c r="M108" s="96">
        <f>IFERROR(__xludf.DUMMYFUNCTION("""COMPUTED_VALUE"""),0.0)</f>
        <v>0</v>
      </c>
      <c r="N108" s="96">
        <f>IFERROR(__xludf.DUMMYFUNCTION("""COMPUTED_VALUE"""),0.0)</f>
        <v>0</v>
      </c>
      <c r="O108" s="96">
        <f>IFERROR(__xludf.DUMMYFUNCTION("""COMPUTED_VALUE"""),500000.0)</f>
        <v>500000</v>
      </c>
      <c r="P108" s="129">
        <f>IFERROR(__xludf.DUMMYFUNCTION("""COMPUTED_VALUE"""),0.0)</f>
        <v>0</v>
      </c>
      <c r="Q108" s="99"/>
      <c r="R108" s="99">
        <f>IFERROR(__xludf.DUMMYFUNCTION("""COMPUTED_VALUE"""),700000.0)</f>
        <v>700000</v>
      </c>
    </row>
    <row r="109">
      <c r="B109" s="96">
        <f>IFERROR(__xludf.DUMMYFUNCTION("""COMPUTED_VALUE"""),1.0)</f>
        <v>1</v>
      </c>
      <c r="C109" s="98">
        <f>IFERROR(__xludf.DUMMYFUNCTION("""COMPUTED_VALUE"""),44034.0)</f>
        <v>44034</v>
      </c>
      <c r="D109" s="96" t="str">
        <f>IFERROR(__xludf.DUMMYFUNCTION("""COMPUTED_VALUE"""),"OBINNA CHIELO")</f>
        <v>OBINNA CHIELO</v>
      </c>
      <c r="E109" s="96"/>
      <c r="F109" s="96"/>
      <c r="G109" s="96"/>
      <c r="H109" s="96"/>
      <c r="I109" s="96"/>
      <c r="J109" s="96"/>
      <c r="K109" s="96"/>
      <c r="L109" s="96">
        <f>IFERROR(__xludf.DUMMYFUNCTION("""COMPUTED_VALUE"""),0.0)</f>
        <v>0</v>
      </c>
      <c r="M109" s="96">
        <f>IFERROR(__xludf.DUMMYFUNCTION("""COMPUTED_VALUE"""),0.0)</f>
        <v>0</v>
      </c>
      <c r="N109" s="96">
        <f>IFERROR(__xludf.DUMMYFUNCTION("""COMPUTED_VALUE"""),0.0)</f>
        <v>0</v>
      </c>
      <c r="O109" s="96">
        <f>IFERROR(__xludf.DUMMYFUNCTION("""COMPUTED_VALUE"""),480000.0)</f>
        <v>480000</v>
      </c>
      <c r="P109" s="129">
        <f>IFERROR(__xludf.DUMMYFUNCTION("""COMPUTED_VALUE"""),0.0)</f>
        <v>0</v>
      </c>
      <c r="Q109" s="99"/>
      <c r="R109" s="99">
        <f>IFERROR(__xludf.DUMMYFUNCTION("""COMPUTED_VALUE"""),480000.0)</f>
        <v>480000</v>
      </c>
    </row>
    <row r="110">
      <c r="B110" s="96">
        <f>IFERROR(__xludf.DUMMYFUNCTION("""COMPUTED_VALUE"""),5.0)</f>
        <v>5</v>
      </c>
      <c r="C110" s="98">
        <f>IFERROR(__xludf.DUMMYFUNCTION("""COMPUTED_VALUE"""),44034.0)</f>
        <v>44034</v>
      </c>
      <c r="D110" s="96" t="str">
        <f>IFERROR(__xludf.DUMMYFUNCTION("""COMPUTED_VALUE""")," MAXWELL AGRO")</f>
        <v> MAXWELL AGRO</v>
      </c>
      <c r="E110" s="96"/>
      <c r="F110" s="96"/>
      <c r="G110" s="96"/>
      <c r="H110" s="96"/>
      <c r="I110" s="96"/>
      <c r="J110" s="96"/>
      <c r="K110" s="96"/>
      <c r="L110" s="96">
        <f>IFERROR(__xludf.DUMMYFUNCTION("""COMPUTED_VALUE"""),0.0)</f>
        <v>0</v>
      </c>
      <c r="M110" s="96">
        <f>IFERROR(__xludf.DUMMYFUNCTION("""COMPUTED_VALUE"""),0.0)</f>
        <v>0</v>
      </c>
      <c r="N110" s="96">
        <f>IFERROR(__xludf.DUMMYFUNCTION("""COMPUTED_VALUE"""),0.0)</f>
        <v>0</v>
      </c>
      <c r="O110" s="96">
        <f>IFERROR(__xludf.DUMMYFUNCTION("""COMPUTED_VALUE"""),240000.0)</f>
        <v>240000</v>
      </c>
      <c r="P110" s="129">
        <f>IFERROR(__xludf.DUMMYFUNCTION("""COMPUTED_VALUE"""),0.0)</f>
        <v>0</v>
      </c>
      <c r="Q110" s="99"/>
      <c r="R110" s="99">
        <f>IFERROR(__xludf.DUMMYFUNCTION("""COMPUTED_VALUE"""),482820.0)</f>
        <v>482820</v>
      </c>
    </row>
    <row r="111">
      <c r="B111" s="96">
        <f>IFERROR(__xludf.DUMMYFUNCTION("""COMPUTED_VALUE"""),1.0)</f>
        <v>1</v>
      </c>
      <c r="C111" s="98">
        <f>IFERROR(__xludf.DUMMYFUNCTION("""COMPUTED_VALUE"""),44034.0)</f>
        <v>44034</v>
      </c>
      <c r="D111" s="96" t="str">
        <f>IFERROR(__xludf.DUMMYFUNCTION("""COMPUTED_VALUE"""),"EMMANUEL OKO ")</f>
        <v>EMMANUEL OKO </v>
      </c>
      <c r="E111" s="96"/>
      <c r="F111" s="96"/>
      <c r="G111" s="96"/>
      <c r="H111" s="96"/>
      <c r="I111" s="96"/>
      <c r="J111" s="96"/>
      <c r="K111" s="96"/>
      <c r="L111" s="96">
        <f>IFERROR(__xludf.DUMMYFUNCTION("""COMPUTED_VALUE"""),0.0)</f>
        <v>0</v>
      </c>
      <c r="M111" s="96">
        <f>IFERROR(__xludf.DUMMYFUNCTION("""COMPUTED_VALUE"""),0.0)</f>
        <v>0</v>
      </c>
      <c r="N111" s="96">
        <f>IFERROR(__xludf.DUMMYFUNCTION("""COMPUTED_VALUE"""),0.0)</f>
        <v>0</v>
      </c>
      <c r="O111" s="96">
        <f>IFERROR(__xludf.DUMMYFUNCTION("""COMPUTED_VALUE"""),235000.0)</f>
        <v>235000</v>
      </c>
      <c r="P111" s="129">
        <f>IFERROR(__xludf.DUMMYFUNCTION("""COMPUTED_VALUE"""),0.0)</f>
        <v>0</v>
      </c>
      <c r="Q111" s="99"/>
      <c r="R111" s="99">
        <f>IFERROR(__xludf.DUMMYFUNCTION("""COMPUTED_VALUE"""),235000.0)</f>
        <v>235000</v>
      </c>
    </row>
    <row r="112">
      <c r="B112" s="96">
        <f>IFERROR(__xludf.DUMMYFUNCTION("""COMPUTED_VALUE"""),2.0)</f>
        <v>2</v>
      </c>
      <c r="C112" s="98">
        <f>IFERROR(__xludf.DUMMYFUNCTION("""COMPUTED_VALUE"""),44034.0)</f>
        <v>44034</v>
      </c>
      <c r="D112" s="96" t="str">
        <f>IFERROR(__xludf.DUMMYFUNCTION("""COMPUTED_VALUE"""),"ETUK EFFI")</f>
        <v>ETUK EFFI</v>
      </c>
      <c r="E112" s="96"/>
      <c r="F112" s="96"/>
      <c r="G112" s="96"/>
      <c r="H112" s="96"/>
      <c r="I112" s="96"/>
      <c r="J112" s="96"/>
      <c r="K112" s="96"/>
      <c r="L112" s="96">
        <f>IFERROR(__xludf.DUMMYFUNCTION("""COMPUTED_VALUE"""),0.0)</f>
        <v>0</v>
      </c>
      <c r="M112" s="96">
        <f>IFERROR(__xludf.DUMMYFUNCTION("""COMPUTED_VALUE"""),0.0)</f>
        <v>0</v>
      </c>
      <c r="N112" s="96">
        <f>IFERROR(__xludf.DUMMYFUNCTION("""COMPUTED_VALUE"""),0.0)</f>
        <v>0</v>
      </c>
      <c r="O112" s="96">
        <f>IFERROR(__xludf.DUMMYFUNCTION("""COMPUTED_VALUE"""),500000.0)</f>
        <v>500000</v>
      </c>
      <c r="P112" s="129">
        <f>IFERROR(__xludf.DUMMYFUNCTION("""COMPUTED_VALUE"""),0.0)</f>
        <v>0</v>
      </c>
      <c r="Q112" s="99"/>
      <c r="R112" s="99">
        <f>IFERROR(__xludf.DUMMYFUNCTION("""COMPUTED_VALUE"""),1200000.0)</f>
        <v>1200000</v>
      </c>
    </row>
    <row r="113">
      <c r="B113" s="96">
        <f>IFERROR(__xludf.DUMMYFUNCTION("""COMPUTED_VALUE"""),7.0)</f>
        <v>7</v>
      </c>
      <c r="C113" s="98">
        <f>IFERROR(__xludf.DUMMYFUNCTION("""COMPUTED_VALUE"""),44034.0)</f>
        <v>44034</v>
      </c>
      <c r="D113" s="96" t="str">
        <f>IFERROR(__xludf.DUMMYFUNCTION("""COMPUTED_VALUE"""),"RECTOR W.")</f>
        <v>RECTOR W.</v>
      </c>
      <c r="E113" s="96"/>
      <c r="F113" s="96"/>
      <c r="G113" s="96"/>
      <c r="H113" s="96"/>
      <c r="I113" s="96"/>
      <c r="J113" s="96"/>
      <c r="K113" s="96"/>
      <c r="L113" s="96">
        <f>IFERROR(__xludf.DUMMYFUNCTION("""COMPUTED_VALUE"""),0.0)</f>
        <v>0</v>
      </c>
      <c r="M113" s="96">
        <f>IFERROR(__xludf.DUMMYFUNCTION("""COMPUTED_VALUE"""),0.0)</f>
        <v>0</v>
      </c>
      <c r="N113" s="96">
        <f>IFERROR(__xludf.DUMMYFUNCTION("""COMPUTED_VALUE"""),0.0)</f>
        <v>0</v>
      </c>
      <c r="O113" s="96">
        <f>IFERROR(__xludf.DUMMYFUNCTION("""COMPUTED_VALUE"""),358880.0)</f>
        <v>358880</v>
      </c>
      <c r="P113" s="129">
        <f>IFERROR(__xludf.DUMMYFUNCTION("""COMPUTED_VALUE"""),0.0)</f>
        <v>0</v>
      </c>
      <c r="Q113" s="99"/>
      <c r="R113" s="99">
        <f>IFERROR(__xludf.DUMMYFUNCTION("""COMPUTED_VALUE"""),2500000.0)</f>
        <v>2500000</v>
      </c>
    </row>
    <row r="114">
      <c r="B114" s="96">
        <f>IFERROR(__xludf.DUMMYFUNCTION("""COMPUTED_VALUE"""),3.0)</f>
        <v>3</v>
      </c>
      <c r="C114" s="98">
        <f>IFERROR(__xludf.DUMMYFUNCTION("""COMPUTED_VALUE"""),44035.0)</f>
        <v>44035</v>
      </c>
      <c r="D114" s="96" t="str">
        <f>IFERROR(__xludf.DUMMYFUNCTION("""COMPUTED_VALUE"""),"OTU KOKO KEIBO")</f>
        <v>OTU KOKO KEIBO</v>
      </c>
      <c r="E114" s="96"/>
      <c r="F114" s="96"/>
      <c r="G114" s="96"/>
      <c r="H114" s="96"/>
      <c r="I114" s="96"/>
      <c r="J114" s="96"/>
      <c r="K114" s="96"/>
      <c r="L114" s="96">
        <f>IFERROR(__xludf.DUMMYFUNCTION("""COMPUTED_VALUE"""),0.0)</f>
        <v>0</v>
      </c>
      <c r="M114" s="96">
        <f>IFERROR(__xludf.DUMMYFUNCTION("""COMPUTED_VALUE"""),0.0)</f>
        <v>0</v>
      </c>
      <c r="N114" s="96">
        <f>IFERROR(__xludf.DUMMYFUNCTION("""COMPUTED_VALUE"""),0.0)</f>
        <v>0</v>
      </c>
      <c r="O114" s="96">
        <f>IFERROR(__xludf.DUMMYFUNCTION("""COMPUTED_VALUE"""),600000.0)</f>
        <v>600000</v>
      </c>
      <c r="P114" s="129">
        <f>IFERROR(__xludf.DUMMYFUNCTION("""COMPUTED_VALUE"""),0.0)</f>
        <v>0</v>
      </c>
      <c r="Q114" s="99"/>
      <c r="R114" s="99">
        <f>IFERROR(__xludf.DUMMYFUNCTION("""COMPUTED_VALUE"""),2.5999925E7)</f>
        <v>25999925</v>
      </c>
    </row>
    <row r="115">
      <c r="B115" s="96">
        <f>IFERROR(__xludf.DUMMYFUNCTION("""COMPUTED_VALUE"""),1.0)</f>
        <v>1</v>
      </c>
      <c r="C115" s="98">
        <f>IFERROR(__xludf.DUMMYFUNCTION("""COMPUTED_VALUE"""),44035.0)</f>
        <v>44035</v>
      </c>
      <c r="D115" s="96" t="str">
        <f>IFERROR(__xludf.DUMMYFUNCTION("""COMPUTED_VALUE"""),"REIMON ALABA")</f>
        <v>REIMON ALABA</v>
      </c>
      <c r="E115" s="96"/>
      <c r="F115" s="96"/>
      <c r="G115" s="96"/>
      <c r="H115" s="96"/>
      <c r="I115" s="96"/>
      <c r="J115" s="96"/>
      <c r="K115" s="96"/>
      <c r="L115" s="96">
        <f>IFERROR(__xludf.DUMMYFUNCTION("""COMPUTED_VALUE"""),0.0)</f>
        <v>0</v>
      </c>
      <c r="M115" s="96">
        <f>IFERROR(__xludf.DUMMYFUNCTION("""COMPUTED_VALUE"""),0.0)</f>
        <v>0</v>
      </c>
      <c r="N115" s="96">
        <f>IFERROR(__xludf.DUMMYFUNCTION("""COMPUTED_VALUE"""),0.0)</f>
        <v>0</v>
      </c>
      <c r="O115" s="96">
        <f>IFERROR(__xludf.DUMMYFUNCTION("""COMPUTED_VALUE"""),150000.0)</f>
        <v>150000</v>
      </c>
      <c r="P115" s="129">
        <f>IFERROR(__xludf.DUMMYFUNCTION("""COMPUTED_VALUE"""),0.0)</f>
        <v>0</v>
      </c>
      <c r="Q115" s="99"/>
      <c r="R115" s="99">
        <f>IFERROR(__xludf.DUMMYFUNCTION("""COMPUTED_VALUE"""),150000.0)</f>
        <v>150000</v>
      </c>
    </row>
    <row r="116">
      <c r="B116" s="96">
        <f>IFERROR(__xludf.DUMMYFUNCTION("""COMPUTED_VALUE"""),7.0)</f>
        <v>7</v>
      </c>
      <c r="C116" s="98">
        <f>IFERROR(__xludf.DUMMYFUNCTION("""COMPUTED_VALUE"""),44036.0)</f>
        <v>44036</v>
      </c>
      <c r="D116" s="96" t="str">
        <f>IFERROR(__xludf.DUMMYFUNCTION("""COMPUTED_VALUE"""),"LYDIA HNSON ")</f>
        <v>LYDIA HNSON </v>
      </c>
      <c r="E116" s="96"/>
      <c r="F116" s="96"/>
      <c r="G116" s="96"/>
      <c r="H116" s="96"/>
      <c r="I116" s="96"/>
      <c r="J116" s="96"/>
      <c r="K116" s="96"/>
      <c r="L116" s="96">
        <f>IFERROR(__xludf.DUMMYFUNCTION("""COMPUTED_VALUE"""),0.0)</f>
        <v>0</v>
      </c>
      <c r="M116" s="96">
        <f>IFERROR(__xludf.DUMMYFUNCTION("""COMPUTED_VALUE"""),0.0)</f>
        <v>0</v>
      </c>
      <c r="N116" s="96">
        <f>IFERROR(__xludf.DUMMYFUNCTION("""COMPUTED_VALUE"""),0.0)</f>
        <v>0</v>
      </c>
      <c r="O116" s="96">
        <f>IFERROR(__xludf.DUMMYFUNCTION("""COMPUTED_VALUE"""),500000.0)</f>
        <v>500000</v>
      </c>
      <c r="P116" s="129">
        <f>IFERROR(__xludf.DUMMYFUNCTION("""COMPUTED_VALUE"""),0.0)</f>
        <v>0</v>
      </c>
      <c r="Q116" s="99"/>
      <c r="R116" s="99">
        <f>IFERROR(__xludf.DUMMYFUNCTION("""COMPUTED_VALUE"""),3379680.0)</f>
        <v>3379680</v>
      </c>
    </row>
    <row r="117">
      <c r="B117" s="96">
        <f>IFERROR(__xludf.DUMMYFUNCTION("""COMPUTED_VALUE"""),3.0)</f>
        <v>3</v>
      </c>
      <c r="C117" s="98">
        <f>IFERROR(__xludf.DUMMYFUNCTION("""COMPUTED_VALUE"""),44037.0)</f>
        <v>44037</v>
      </c>
      <c r="D117" s="96" t="str">
        <f>IFERROR(__xludf.DUMMYFUNCTION("""COMPUTED_VALUE"""),"ETUK EFFI")</f>
        <v>ETUK EFFI</v>
      </c>
      <c r="E117" s="96">
        <f>IFERROR(__xludf.DUMMYFUNCTION("""COMPUTED_VALUE"""),1372.0)</f>
        <v>1372</v>
      </c>
      <c r="F117" s="96">
        <f>IFERROR(__xludf.DUMMYFUNCTION("""COMPUTED_VALUE"""),182.5)</f>
        <v>182.5</v>
      </c>
      <c r="G117" s="96">
        <f>IFERROR(__xludf.DUMMYFUNCTION("""COMPUTED_VALUE"""),0.0)</f>
        <v>0</v>
      </c>
      <c r="H117" s="96">
        <f>IFERROR(__xludf.DUMMYFUNCTION("""COMPUTED_VALUE"""),21.0)</f>
        <v>21</v>
      </c>
      <c r="I117" s="96">
        <f>IFERROR(__xludf.DUMMYFUNCTION("""COMPUTED_VALUE"""),21.0)</f>
        <v>21</v>
      </c>
      <c r="J117" s="96">
        <f>IFERROR(__xludf.DUMMYFUNCTION("""COMPUTED_VALUE"""),780.0)</f>
        <v>780</v>
      </c>
      <c r="K117" s="96">
        <f>IFERROR(__xludf.DUMMYFUNCTION("""COMPUTED_VALUE"""),8.69)</f>
        <v>8.69</v>
      </c>
      <c r="L117" s="96">
        <f>IFERROR(__xludf.DUMMYFUNCTION("""COMPUTED_VALUE"""),9.0)</f>
        <v>9</v>
      </c>
      <c r="M117" s="96">
        <f>IFERROR(__xludf.DUMMYFUNCTION("""COMPUTED_VALUE"""),21.0)</f>
        <v>21</v>
      </c>
      <c r="N117" s="96">
        <f>IFERROR(__xludf.DUMMYFUNCTION("""COMPUTED_VALUE"""),40.0)</f>
        <v>40</v>
      </c>
      <c r="O117" s="96"/>
      <c r="P117" s="129">
        <f>IFERROR(__xludf.DUMMYFUNCTION("""COMPUTED_VALUE"""),1363.0)</f>
        <v>1363</v>
      </c>
      <c r="Q117" s="99">
        <f>IFERROR(__xludf.DUMMYFUNCTION("""COMPUTED_VALUE"""),1063140.0)</f>
        <v>1063140</v>
      </c>
      <c r="R117" s="99">
        <f>IFERROR(__xludf.DUMMYFUNCTION("""COMPUTED_VALUE"""),136860.0)</f>
        <v>136860</v>
      </c>
    </row>
    <row r="118">
      <c r="B118" s="96">
        <f>IFERROR(__xludf.DUMMYFUNCTION("""COMPUTED_VALUE"""),1.0)</f>
        <v>1</v>
      </c>
      <c r="C118" s="98">
        <f>IFERROR(__xludf.DUMMYFUNCTION("""COMPUTED_VALUE"""),44039.0)</f>
        <v>44039</v>
      </c>
      <c r="D118" s="96" t="str">
        <f>IFERROR(__xludf.DUMMYFUNCTION("""COMPUTED_VALUE"""),"MATIAT LOVE")</f>
        <v>MATIAT LOVE</v>
      </c>
      <c r="E118" s="96"/>
      <c r="F118" s="96"/>
      <c r="G118" s="96"/>
      <c r="H118" s="96"/>
      <c r="I118" s="96"/>
      <c r="J118" s="96"/>
      <c r="K118" s="96"/>
      <c r="L118" s="96">
        <f>IFERROR(__xludf.DUMMYFUNCTION("""COMPUTED_VALUE"""),0.0)</f>
        <v>0</v>
      </c>
      <c r="M118" s="96">
        <f>IFERROR(__xludf.DUMMYFUNCTION("""COMPUTED_VALUE"""),0.0)</f>
        <v>0</v>
      </c>
      <c r="N118" s="96">
        <f>IFERROR(__xludf.DUMMYFUNCTION("""COMPUTED_VALUE"""),0.0)</f>
        <v>0</v>
      </c>
      <c r="O118" s="96">
        <f>IFERROR(__xludf.DUMMYFUNCTION("""COMPUTED_VALUE"""),50000.0)</f>
        <v>50000</v>
      </c>
      <c r="P118" s="129">
        <f>IFERROR(__xludf.DUMMYFUNCTION("""COMPUTED_VALUE"""),0.0)</f>
        <v>0</v>
      </c>
      <c r="Q118" s="99"/>
      <c r="R118" s="99">
        <f>IFERROR(__xludf.DUMMYFUNCTION("""COMPUTED_VALUE"""),50000.0)</f>
        <v>50000</v>
      </c>
    </row>
    <row r="119">
      <c r="B119" s="96">
        <f>IFERROR(__xludf.DUMMYFUNCTION("""COMPUTED_VALUE"""),2.0)</f>
        <v>2</v>
      </c>
      <c r="C119" s="98">
        <f>IFERROR(__xludf.DUMMYFUNCTION("""COMPUTED_VALUE"""),44039.0)</f>
        <v>44039</v>
      </c>
      <c r="D119" s="96" t="str">
        <f>IFERROR(__xludf.DUMMYFUNCTION("""COMPUTED_VALUE"""),"CONFIDENCE")</f>
        <v>CONFIDENCE</v>
      </c>
      <c r="E119" s="96"/>
      <c r="F119" s="96"/>
      <c r="G119" s="96"/>
      <c r="H119" s="96"/>
      <c r="I119" s="96"/>
      <c r="J119" s="96"/>
      <c r="K119" s="96"/>
      <c r="L119" s="96">
        <f>IFERROR(__xludf.DUMMYFUNCTION("""COMPUTED_VALUE"""),0.0)</f>
        <v>0</v>
      </c>
      <c r="M119" s="96">
        <f>IFERROR(__xludf.DUMMYFUNCTION("""COMPUTED_VALUE"""),0.0)</f>
        <v>0</v>
      </c>
      <c r="N119" s="96">
        <f>IFERROR(__xludf.DUMMYFUNCTION("""COMPUTED_VALUE"""),0.0)</f>
        <v>0</v>
      </c>
      <c r="O119" s="96">
        <f>IFERROR(__xludf.DUMMYFUNCTION("""COMPUTED_VALUE"""),20000.0)</f>
        <v>20000</v>
      </c>
      <c r="P119" s="129">
        <f>IFERROR(__xludf.DUMMYFUNCTION("""COMPUTED_VALUE"""),0.0)</f>
        <v>0</v>
      </c>
      <c r="Q119" s="99"/>
      <c r="R119" s="99">
        <f>IFERROR(__xludf.DUMMYFUNCTION("""COMPUTED_VALUE"""),320000.0)</f>
        <v>320000</v>
      </c>
    </row>
    <row r="120">
      <c r="B120" s="96">
        <f>IFERROR(__xludf.DUMMYFUNCTION("""COMPUTED_VALUE"""),1.0)</f>
        <v>1</v>
      </c>
      <c r="C120" s="98">
        <f>IFERROR(__xludf.DUMMYFUNCTION("""COMPUTED_VALUE"""),44039.0)</f>
        <v>44039</v>
      </c>
      <c r="D120" s="96" t="str">
        <f>IFERROR(__xludf.DUMMYFUNCTION("""COMPUTED_VALUE"""),"ABANG. EDET")</f>
        <v>ABANG. EDET</v>
      </c>
      <c r="E120" s="96"/>
      <c r="F120" s="96"/>
      <c r="G120" s="96"/>
      <c r="H120" s="96"/>
      <c r="I120" s="96"/>
      <c r="J120" s="96"/>
      <c r="K120" s="96"/>
      <c r="L120" s="96">
        <f>IFERROR(__xludf.DUMMYFUNCTION("""COMPUTED_VALUE"""),0.0)</f>
        <v>0</v>
      </c>
      <c r="M120" s="96">
        <f>IFERROR(__xludf.DUMMYFUNCTION("""COMPUTED_VALUE"""),0.0)</f>
        <v>0</v>
      </c>
      <c r="N120" s="96">
        <f>IFERROR(__xludf.DUMMYFUNCTION("""COMPUTED_VALUE"""),0.0)</f>
        <v>0</v>
      </c>
      <c r="O120" s="96">
        <f>IFERROR(__xludf.DUMMYFUNCTION("""COMPUTED_VALUE"""),1000.0)</f>
        <v>1000</v>
      </c>
      <c r="P120" s="129">
        <f>IFERROR(__xludf.DUMMYFUNCTION("""COMPUTED_VALUE"""),0.0)</f>
        <v>0</v>
      </c>
      <c r="Q120" s="99"/>
      <c r="R120" s="99">
        <f>IFERROR(__xludf.DUMMYFUNCTION("""COMPUTED_VALUE"""),1000.0)</f>
        <v>1000</v>
      </c>
    </row>
    <row r="121">
      <c r="B121" s="96">
        <f>IFERROR(__xludf.DUMMYFUNCTION("""COMPUTED_VALUE"""),8.0)</f>
        <v>8</v>
      </c>
      <c r="C121" s="98">
        <f>IFERROR(__xludf.DUMMYFUNCTION("""COMPUTED_VALUE"""),44034.0)</f>
        <v>44034</v>
      </c>
      <c r="D121" s="96" t="str">
        <f>IFERROR(__xludf.DUMMYFUNCTION("""COMPUTED_VALUE"""),"LYDIA HNSON ")</f>
        <v>LYDIA HNSON </v>
      </c>
      <c r="E121" s="96">
        <f>IFERROR(__xludf.DUMMYFUNCTION("""COMPUTED_VALUE"""),795.0)</f>
        <v>795</v>
      </c>
      <c r="F121" s="96">
        <f>IFERROR(__xludf.DUMMYFUNCTION("""COMPUTED_VALUE"""),104.0)</f>
        <v>104</v>
      </c>
      <c r="G121" s="96"/>
      <c r="H121" s="96">
        <f>IFERROR(__xludf.DUMMYFUNCTION("""COMPUTED_VALUE"""),13.0)</f>
        <v>13</v>
      </c>
      <c r="I121" s="96"/>
      <c r="J121" s="96">
        <f>IFERROR(__xludf.DUMMYFUNCTION("""COMPUTED_VALUE"""),795.0)</f>
        <v>795</v>
      </c>
      <c r="K121" s="96">
        <f>IFERROR(__xludf.DUMMYFUNCTION("""COMPUTED_VALUE"""),8.0)</f>
        <v>8</v>
      </c>
      <c r="L121" s="96">
        <f>IFERROR(__xludf.DUMMYFUNCTION("""COMPUTED_VALUE"""),0.0)</f>
        <v>0</v>
      </c>
      <c r="M121" s="96">
        <f>IFERROR(__xludf.DUMMYFUNCTION("""COMPUTED_VALUE"""),12.0)</f>
        <v>12</v>
      </c>
      <c r="N121" s="96">
        <f>IFERROR(__xludf.DUMMYFUNCTION("""COMPUTED_VALUE"""),26.0)</f>
        <v>26</v>
      </c>
      <c r="O121" s="96"/>
      <c r="P121" s="129">
        <f>IFERROR(__xludf.DUMMYFUNCTION("""COMPUTED_VALUE"""),782.0)</f>
        <v>782</v>
      </c>
      <c r="Q121" s="99">
        <f>IFERROR(__xludf.DUMMYFUNCTION("""COMPUTED_VALUE"""),621690.0)</f>
        <v>621690</v>
      </c>
      <c r="R121" s="99">
        <f>IFERROR(__xludf.DUMMYFUNCTION("""COMPUTED_VALUE"""),2757990.0)</f>
        <v>2757990</v>
      </c>
    </row>
    <row r="122">
      <c r="B122" s="96">
        <f>IFERROR(__xludf.DUMMYFUNCTION("""COMPUTED_VALUE"""),9.0)</f>
        <v>9</v>
      </c>
      <c r="C122" s="98">
        <f>IFERROR(__xludf.DUMMYFUNCTION("""COMPUTED_VALUE"""),44039.0)</f>
        <v>44039</v>
      </c>
      <c r="D122" s="96" t="str">
        <f>IFERROR(__xludf.DUMMYFUNCTION("""COMPUTED_VALUE"""),"LYDIA HNSON ")</f>
        <v>LYDIA HNSON </v>
      </c>
      <c r="E122" s="96">
        <f>IFERROR(__xludf.DUMMYFUNCTION("""COMPUTED_VALUE"""),982.0)</f>
        <v>982</v>
      </c>
      <c r="F122" s="96">
        <f>IFERROR(__xludf.DUMMYFUNCTION("""COMPUTED_VALUE"""),128.0)</f>
        <v>128</v>
      </c>
      <c r="G122" s="96"/>
      <c r="H122" s="96">
        <f>IFERROR(__xludf.DUMMYFUNCTION("""COMPUTED_VALUE"""),16.0)</f>
        <v>16</v>
      </c>
      <c r="I122" s="96"/>
      <c r="J122" s="96">
        <f>IFERROR(__xludf.DUMMYFUNCTION("""COMPUTED_VALUE"""),795.0)</f>
        <v>795</v>
      </c>
      <c r="K122" s="96">
        <f>IFERROR(__xludf.DUMMYFUNCTION("""COMPUTED_VALUE"""),8.0)</f>
        <v>8</v>
      </c>
      <c r="L122" s="96">
        <f>IFERROR(__xludf.DUMMYFUNCTION("""COMPUTED_VALUE"""),0.0)</f>
        <v>0</v>
      </c>
      <c r="M122" s="96">
        <f>IFERROR(__xludf.DUMMYFUNCTION("""COMPUTED_VALUE"""),15.0)</f>
        <v>15</v>
      </c>
      <c r="N122" s="96">
        <f>IFERROR(__xludf.DUMMYFUNCTION("""COMPUTED_VALUE"""),21.0)</f>
        <v>21</v>
      </c>
      <c r="O122" s="96"/>
      <c r="P122" s="129">
        <f>IFERROR(__xludf.DUMMYFUNCTION("""COMPUTED_VALUE"""),966.0)</f>
        <v>966</v>
      </c>
      <c r="Q122" s="99">
        <f>IFERROR(__xludf.DUMMYFUNCTION("""COMPUTED_VALUE"""),767970.0)</f>
        <v>767970</v>
      </c>
      <c r="R122" s="99">
        <f>IFERROR(__xludf.DUMMYFUNCTION("""COMPUTED_VALUE"""),1990020.0)</f>
        <v>1990020</v>
      </c>
    </row>
    <row r="123">
      <c r="B123" s="96">
        <f>IFERROR(__xludf.DUMMYFUNCTION("""COMPUTED_VALUE"""),10.0)</f>
        <v>10</v>
      </c>
      <c r="C123" s="98">
        <f>IFERROR(__xludf.DUMMYFUNCTION("""COMPUTED_VALUE"""),44040.0)</f>
        <v>44040</v>
      </c>
      <c r="D123" s="96" t="str">
        <f>IFERROR(__xludf.DUMMYFUNCTION("""COMPUTED_VALUE"""),"LYDIA HNSON ")</f>
        <v>LYDIA HNSON </v>
      </c>
      <c r="E123" s="96">
        <f>IFERROR(__xludf.DUMMYFUNCTION("""COMPUTED_VALUE"""),272.0)</f>
        <v>272</v>
      </c>
      <c r="F123" s="96">
        <f>IFERROR(__xludf.DUMMYFUNCTION("""COMPUTED_VALUE"""),32.0)</f>
        <v>32</v>
      </c>
      <c r="G123" s="96"/>
      <c r="H123" s="96">
        <f>IFERROR(__xludf.DUMMYFUNCTION("""COMPUTED_VALUE"""),4.0)</f>
        <v>4</v>
      </c>
      <c r="I123" s="96"/>
      <c r="J123" s="96">
        <f>IFERROR(__xludf.DUMMYFUNCTION("""COMPUTED_VALUE"""),795.0)</f>
        <v>795</v>
      </c>
      <c r="K123" s="96">
        <f>IFERROR(__xludf.DUMMYFUNCTION("""COMPUTED_VALUE"""),8.0)</f>
        <v>8</v>
      </c>
      <c r="L123" s="96">
        <f>IFERROR(__xludf.DUMMYFUNCTION("""COMPUTED_VALUE"""),0.0)</f>
        <v>0</v>
      </c>
      <c r="M123" s="96">
        <f>IFERROR(__xludf.DUMMYFUNCTION("""COMPUTED_VALUE"""),4.0)</f>
        <v>4</v>
      </c>
      <c r="N123" s="96">
        <f>IFERROR(__xludf.DUMMYFUNCTION("""COMPUTED_VALUE"""),16.0)</f>
        <v>16</v>
      </c>
      <c r="O123" s="96"/>
      <c r="P123" s="129">
        <f>IFERROR(__xludf.DUMMYFUNCTION("""COMPUTED_VALUE"""),268.0)</f>
        <v>268</v>
      </c>
      <c r="Q123" s="99">
        <f>IFERROR(__xludf.DUMMYFUNCTION("""COMPUTED_VALUE"""),213060.0)</f>
        <v>213060</v>
      </c>
      <c r="R123" s="99">
        <f>IFERROR(__xludf.DUMMYFUNCTION("""COMPUTED_VALUE"""),1776960.0)</f>
        <v>1776960</v>
      </c>
    </row>
    <row r="124">
      <c r="B124" s="96">
        <f>IFERROR(__xludf.DUMMYFUNCTION("""COMPUTED_VALUE"""),3.0)</f>
        <v>3</v>
      </c>
      <c r="C124" s="98">
        <f>IFERROR(__xludf.DUMMYFUNCTION("""COMPUTED_VALUE"""),44041.0)</f>
        <v>44041</v>
      </c>
      <c r="D124" s="96" t="str">
        <f>IFERROR(__xludf.DUMMYFUNCTION("""COMPUTED_VALUE"""),"EDWARD OKO")</f>
        <v>EDWARD OKO</v>
      </c>
      <c r="E124" s="96">
        <f>IFERROR(__xludf.DUMMYFUNCTION("""COMPUTED_VALUE"""),985.0)</f>
        <v>985</v>
      </c>
      <c r="F124" s="96">
        <f>IFERROR(__xludf.DUMMYFUNCTION("""COMPUTED_VALUE"""),122.5)</f>
        <v>122.5</v>
      </c>
      <c r="G124" s="96"/>
      <c r="H124" s="96">
        <f>IFERROR(__xludf.DUMMYFUNCTION("""COMPUTED_VALUE"""),15.0)</f>
        <v>15</v>
      </c>
      <c r="I124" s="96"/>
      <c r="J124" s="96">
        <f>IFERROR(__xludf.DUMMYFUNCTION("""COMPUTED_VALUE"""),795.87)</f>
        <v>795.87</v>
      </c>
      <c r="K124" s="96">
        <f>IFERROR(__xludf.DUMMYFUNCTION("""COMPUTED_VALUE"""),8.17)</f>
        <v>8.17</v>
      </c>
      <c r="L124" s="96">
        <f>IFERROR(__xludf.DUMMYFUNCTION("""COMPUTED_VALUE"""),2.0)</f>
        <v>2</v>
      </c>
      <c r="M124" s="96">
        <f>IFERROR(__xludf.DUMMYFUNCTION("""COMPUTED_VALUE"""),15.0)</f>
        <v>15</v>
      </c>
      <c r="N124" s="96">
        <f>IFERROR(__xludf.DUMMYFUNCTION("""COMPUTED_VALUE"""),23.0)</f>
        <v>23</v>
      </c>
      <c r="O124" s="96"/>
      <c r="P124" s="129">
        <f>IFERROR(__xludf.DUMMYFUNCTION("""COMPUTED_VALUE"""),968.0)</f>
        <v>968</v>
      </c>
      <c r="Q124" s="99">
        <f>IFERROR(__xludf.DUMMYFUNCTION("""COMPUTED_VALUE"""),770400.0)</f>
        <v>770400</v>
      </c>
      <c r="R124" s="99">
        <f>IFERROR(__xludf.DUMMYFUNCTION("""COMPUTED_VALUE"""),750600.0)</f>
        <v>750600</v>
      </c>
    </row>
    <row r="125">
      <c r="B125" s="96">
        <f>IFERROR(__xludf.DUMMYFUNCTION("""COMPUTED_VALUE"""),2.0)</f>
        <v>2</v>
      </c>
      <c r="C125" s="98">
        <f>IFERROR(__xludf.DUMMYFUNCTION("""COMPUTED_VALUE"""),44030.0)</f>
        <v>44030</v>
      </c>
      <c r="D125" s="96" t="str">
        <f>IFERROR(__xludf.DUMMYFUNCTION("""COMPUTED_VALUE"""),"EDDY OKO")</f>
        <v>EDDY OKO</v>
      </c>
      <c r="E125" s="96"/>
      <c r="F125" s="96"/>
      <c r="G125" s="96"/>
      <c r="H125" s="96"/>
      <c r="I125" s="96"/>
      <c r="J125" s="96"/>
      <c r="K125" s="96"/>
      <c r="L125" s="96">
        <f>IFERROR(__xludf.DUMMYFUNCTION("""COMPUTED_VALUE"""),0.0)</f>
        <v>0</v>
      </c>
      <c r="M125" s="96">
        <f>IFERROR(__xludf.DUMMYFUNCTION("""COMPUTED_VALUE"""),0.0)</f>
        <v>0</v>
      </c>
      <c r="N125" s="96">
        <f>IFERROR(__xludf.DUMMYFUNCTION("""COMPUTED_VALUE"""),0.0)</f>
        <v>0</v>
      </c>
      <c r="O125" s="96">
        <f>IFERROR(__xludf.DUMMYFUNCTION("""COMPUTED_VALUE"""),-200000.0)</f>
        <v>-200000</v>
      </c>
      <c r="P125" s="129">
        <f>IFERROR(__xludf.DUMMYFUNCTION("""COMPUTED_VALUE"""),0.0)</f>
        <v>0</v>
      </c>
      <c r="Q125" s="99"/>
      <c r="R125" s="99">
        <f>IFERROR(__xludf.DUMMYFUNCTION("""COMPUTED_VALUE"""),0.0)</f>
        <v>0</v>
      </c>
    </row>
    <row r="126">
      <c r="B126" s="96">
        <f>IFERROR(__xludf.DUMMYFUNCTION("""COMPUTED_VALUE"""),4.0)</f>
        <v>4</v>
      </c>
      <c r="C126" s="98">
        <f>IFERROR(__xludf.DUMMYFUNCTION("""COMPUTED_VALUE"""),44030.0)</f>
        <v>44030</v>
      </c>
      <c r="D126" s="96" t="str">
        <f>IFERROR(__xludf.DUMMYFUNCTION("""COMPUTED_VALUE"""),"EDWARD OKO")</f>
        <v>EDWARD OKO</v>
      </c>
      <c r="E126" s="96"/>
      <c r="F126" s="96"/>
      <c r="G126" s="96"/>
      <c r="H126" s="96"/>
      <c r="I126" s="96"/>
      <c r="J126" s="96"/>
      <c r="K126" s="96"/>
      <c r="L126" s="96">
        <f>IFERROR(__xludf.DUMMYFUNCTION("""COMPUTED_VALUE"""),0.0)</f>
        <v>0</v>
      </c>
      <c r="M126" s="96">
        <f>IFERROR(__xludf.DUMMYFUNCTION("""COMPUTED_VALUE"""),0.0)</f>
        <v>0</v>
      </c>
      <c r="N126" s="96">
        <f>IFERROR(__xludf.DUMMYFUNCTION("""COMPUTED_VALUE"""),0.0)</f>
        <v>0</v>
      </c>
      <c r="O126" s="96">
        <f>IFERROR(__xludf.DUMMYFUNCTION("""COMPUTED_VALUE"""),200000.0)</f>
        <v>200000</v>
      </c>
      <c r="P126" s="129">
        <f>IFERROR(__xludf.DUMMYFUNCTION("""COMPUTED_VALUE"""),0.0)</f>
        <v>0</v>
      </c>
      <c r="Q126" s="99"/>
      <c r="R126" s="99">
        <f>IFERROR(__xludf.DUMMYFUNCTION("""COMPUTED_VALUE"""),950600.0)</f>
        <v>950600</v>
      </c>
    </row>
    <row r="127">
      <c r="B127" s="96">
        <f>IFERROR(__xludf.DUMMYFUNCTION("""COMPUTED_VALUE"""),4.0)</f>
        <v>4</v>
      </c>
      <c r="C127" s="98">
        <f>IFERROR(__xludf.DUMMYFUNCTION("""COMPUTED_VALUE"""),44040.0)</f>
        <v>44040</v>
      </c>
      <c r="D127" s="96" t="str">
        <f>IFERROR(__xludf.DUMMYFUNCTION("""COMPUTED_VALUE"""),"ETUK EFFI")</f>
        <v>ETUK EFFI</v>
      </c>
      <c r="E127" s="96"/>
      <c r="F127" s="96"/>
      <c r="G127" s="96"/>
      <c r="H127" s="96"/>
      <c r="I127" s="96"/>
      <c r="J127" s="96"/>
      <c r="K127" s="96"/>
      <c r="L127" s="96">
        <f>IFERROR(__xludf.DUMMYFUNCTION("""COMPUTED_VALUE"""),0.0)</f>
        <v>0</v>
      </c>
      <c r="M127" s="96">
        <f>IFERROR(__xludf.DUMMYFUNCTION("""COMPUTED_VALUE"""),0.0)</f>
        <v>0</v>
      </c>
      <c r="N127" s="96">
        <f>IFERROR(__xludf.DUMMYFUNCTION("""COMPUTED_VALUE"""),0.0)</f>
        <v>0</v>
      </c>
      <c r="O127" s="96">
        <f>IFERROR(__xludf.DUMMYFUNCTION("""COMPUTED_VALUE"""),1000000.0)</f>
        <v>1000000</v>
      </c>
      <c r="P127" s="129">
        <f>IFERROR(__xludf.DUMMYFUNCTION("""COMPUTED_VALUE"""),0.0)</f>
        <v>0</v>
      </c>
      <c r="Q127" s="99"/>
      <c r="R127" s="99">
        <f>IFERROR(__xludf.DUMMYFUNCTION("""COMPUTED_VALUE"""),1136860.0)</f>
        <v>1136860</v>
      </c>
    </row>
    <row r="128">
      <c r="B128" s="96">
        <f>IFERROR(__xludf.DUMMYFUNCTION("""COMPUTED_VALUE"""),8.0)</f>
        <v>8</v>
      </c>
      <c r="C128" s="98">
        <f>IFERROR(__xludf.DUMMYFUNCTION("""COMPUTED_VALUE"""),44040.0)</f>
        <v>44040</v>
      </c>
      <c r="D128" s="96" t="str">
        <f>IFERROR(__xludf.DUMMYFUNCTION("""COMPUTED_VALUE"""),"LIVINUS")</f>
        <v>LIVINUS</v>
      </c>
      <c r="E128" s="96"/>
      <c r="F128" s="96"/>
      <c r="G128" s="96"/>
      <c r="H128" s="96"/>
      <c r="I128" s="96"/>
      <c r="J128" s="96"/>
      <c r="K128" s="96"/>
      <c r="L128" s="96">
        <f>IFERROR(__xludf.DUMMYFUNCTION("""COMPUTED_VALUE"""),0.0)</f>
        <v>0</v>
      </c>
      <c r="M128" s="96">
        <f>IFERROR(__xludf.DUMMYFUNCTION("""COMPUTED_VALUE"""),0.0)</f>
        <v>0</v>
      </c>
      <c r="N128" s="96">
        <f>IFERROR(__xludf.DUMMYFUNCTION("""COMPUTED_VALUE"""),0.0)</f>
        <v>0</v>
      </c>
      <c r="O128" s="96">
        <f>IFERROR(__xludf.DUMMYFUNCTION("""COMPUTED_VALUE"""),1440000.0)</f>
        <v>1440000</v>
      </c>
      <c r="P128" s="129">
        <f>IFERROR(__xludf.DUMMYFUNCTION("""COMPUTED_VALUE"""),0.0)</f>
        <v>0</v>
      </c>
      <c r="Q128" s="99"/>
      <c r="R128" s="99">
        <f>IFERROR(__xludf.DUMMYFUNCTION("""COMPUTED_VALUE"""),3120000.0)</f>
        <v>3120000</v>
      </c>
    </row>
    <row r="129">
      <c r="B129" s="96">
        <f>IFERROR(__xludf.DUMMYFUNCTION("""COMPUTED_VALUE"""),11.0)</f>
        <v>11</v>
      </c>
      <c r="C129" s="98">
        <f>IFERROR(__xludf.DUMMYFUNCTION("""COMPUTED_VALUE"""),44040.0)</f>
        <v>44040</v>
      </c>
      <c r="D129" s="96" t="str">
        <f>IFERROR(__xludf.DUMMYFUNCTION("""COMPUTED_VALUE"""),"LYDIA HNSON ")</f>
        <v>LYDIA HNSON </v>
      </c>
      <c r="E129" s="96"/>
      <c r="F129" s="96"/>
      <c r="G129" s="96"/>
      <c r="H129" s="96"/>
      <c r="I129" s="96"/>
      <c r="J129" s="96"/>
      <c r="K129" s="96"/>
      <c r="L129" s="96">
        <f>IFERROR(__xludf.DUMMYFUNCTION("""COMPUTED_VALUE"""),0.0)</f>
        <v>0</v>
      </c>
      <c r="M129" s="96">
        <f>IFERROR(__xludf.DUMMYFUNCTION("""COMPUTED_VALUE"""),0.0)</f>
        <v>0</v>
      </c>
      <c r="N129" s="96">
        <f>IFERROR(__xludf.DUMMYFUNCTION("""COMPUTED_VALUE"""),0.0)</f>
        <v>0</v>
      </c>
      <c r="O129" s="96">
        <f>IFERROR(__xludf.DUMMYFUNCTION("""COMPUTED_VALUE"""),1000000.0)</f>
        <v>1000000</v>
      </c>
      <c r="P129" s="129">
        <f>IFERROR(__xludf.DUMMYFUNCTION("""COMPUTED_VALUE"""),0.0)</f>
        <v>0</v>
      </c>
      <c r="Q129" s="99"/>
      <c r="R129" s="99">
        <f>IFERROR(__xludf.DUMMYFUNCTION("""COMPUTED_VALUE"""),2776960.0)</f>
        <v>2776960</v>
      </c>
    </row>
    <row r="130">
      <c r="B130" s="96">
        <f>IFERROR(__xludf.DUMMYFUNCTION("""COMPUTED_VALUE"""),1.0)</f>
        <v>1</v>
      </c>
      <c r="C130" s="98">
        <f>IFERROR(__xludf.DUMMYFUNCTION("""COMPUTED_VALUE"""),44040.0)</f>
        <v>44040</v>
      </c>
      <c r="D130" s="96" t="str">
        <f>IFERROR(__xludf.DUMMYFUNCTION("""COMPUTED_VALUE"""),"OBI BESONG")</f>
        <v>OBI BESONG</v>
      </c>
      <c r="E130" s="96"/>
      <c r="F130" s="96"/>
      <c r="G130" s="96"/>
      <c r="H130" s="96"/>
      <c r="I130" s="96"/>
      <c r="J130" s="96"/>
      <c r="K130" s="96"/>
      <c r="L130" s="96">
        <f>IFERROR(__xludf.DUMMYFUNCTION("""COMPUTED_VALUE"""),0.0)</f>
        <v>0</v>
      </c>
      <c r="M130" s="96">
        <f>IFERROR(__xludf.DUMMYFUNCTION("""COMPUTED_VALUE"""),0.0)</f>
        <v>0</v>
      </c>
      <c r="N130" s="96">
        <f>IFERROR(__xludf.DUMMYFUNCTION("""COMPUTED_VALUE"""),0.0)</f>
        <v>0</v>
      </c>
      <c r="O130" s="96">
        <f>IFERROR(__xludf.DUMMYFUNCTION("""COMPUTED_VALUE"""),500000.0)</f>
        <v>500000</v>
      </c>
      <c r="P130" s="129">
        <f>IFERROR(__xludf.DUMMYFUNCTION("""COMPUTED_VALUE"""),0.0)</f>
        <v>0</v>
      </c>
      <c r="Q130" s="99"/>
      <c r="R130" s="99">
        <f>IFERROR(__xludf.DUMMYFUNCTION("""COMPUTED_VALUE"""),500000.0)</f>
        <v>500000</v>
      </c>
    </row>
    <row r="131">
      <c r="B131" s="96">
        <f>IFERROR(__xludf.DUMMYFUNCTION("""COMPUTED_VALUE"""),3.0)</f>
        <v>3</v>
      </c>
      <c r="C131" s="98">
        <f>IFERROR(__xludf.DUMMYFUNCTION("""COMPUTED_VALUE"""),44040.0)</f>
        <v>44040</v>
      </c>
      <c r="D131" s="96" t="str">
        <f>IFERROR(__xludf.DUMMYFUNCTION("""COMPUTED_VALUE"""),"KARIEN EBAN")</f>
        <v>KARIEN EBAN</v>
      </c>
      <c r="E131" s="96"/>
      <c r="F131" s="96"/>
      <c r="G131" s="96"/>
      <c r="H131" s="96"/>
      <c r="I131" s="96"/>
      <c r="J131" s="96"/>
      <c r="K131" s="96"/>
      <c r="L131" s="96">
        <f>IFERROR(__xludf.DUMMYFUNCTION("""COMPUTED_VALUE"""),0.0)</f>
        <v>0</v>
      </c>
      <c r="M131" s="96">
        <f>IFERROR(__xludf.DUMMYFUNCTION("""COMPUTED_VALUE"""),0.0)</f>
        <v>0</v>
      </c>
      <c r="N131" s="96">
        <f>IFERROR(__xludf.DUMMYFUNCTION("""COMPUTED_VALUE"""),0.0)</f>
        <v>0</v>
      </c>
      <c r="O131" s="96">
        <f>IFERROR(__xludf.DUMMYFUNCTION("""COMPUTED_VALUE"""),500000.0)</f>
        <v>500000</v>
      </c>
      <c r="P131" s="129">
        <f>IFERROR(__xludf.DUMMYFUNCTION("""COMPUTED_VALUE"""),0.0)</f>
        <v>0</v>
      </c>
      <c r="Q131" s="99"/>
      <c r="R131" s="99">
        <f>IFERROR(__xludf.DUMMYFUNCTION("""COMPUTED_VALUE"""),2100000.0)</f>
        <v>2100000</v>
      </c>
    </row>
    <row r="132">
      <c r="B132" s="96">
        <f>IFERROR(__xludf.DUMMYFUNCTION("""COMPUTED_VALUE"""),9.0)</f>
        <v>9</v>
      </c>
      <c r="C132" s="98">
        <f>IFERROR(__xludf.DUMMYFUNCTION("""COMPUTED_VALUE"""),44040.0)</f>
        <v>44040</v>
      </c>
      <c r="D132" s="96" t="str">
        <f>IFERROR(__xludf.DUMMYFUNCTION("""COMPUTED_VALUE"""),"LIVINUS")</f>
        <v>LIVINUS</v>
      </c>
      <c r="E132" s="96"/>
      <c r="F132" s="96"/>
      <c r="G132" s="96"/>
      <c r="H132" s="96"/>
      <c r="I132" s="96"/>
      <c r="J132" s="96"/>
      <c r="K132" s="96"/>
      <c r="L132" s="96">
        <f>IFERROR(__xludf.DUMMYFUNCTION("""COMPUTED_VALUE"""),0.0)</f>
        <v>0</v>
      </c>
      <c r="M132" s="96">
        <f>IFERROR(__xludf.DUMMYFUNCTION("""COMPUTED_VALUE"""),0.0)</f>
        <v>0</v>
      </c>
      <c r="N132" s="96">
        <f>IFERROR(__xludf.DUMMYFUNCTION("""COMPUTED_VALUE"""),0.0)</f>
        <v>0</v>
      </c>
      <c r="O132" s="96">
        <f>IFERROR(__xludf.DUMMYFUNCTION("""COMPUTED_VALUE"""),75000.0)</f>
        <v>75000</v>
      </c>
      <c r="P132" s="129">
        <f>IFERROR(__xludf.DUMMYFUNCTION("""COMPUTED_VALUE"""),0.0)</f>
        <v>0</v>
      </c>
      <c r="Q132" s="99"/>
      <c r="R132" s="99">
        <f>IFERROR(__xludf.DUMMYFUNCTION("""COMPUTED_VALUE"""),3195000.0)</f>
        <v>3195000</v>
      </c>
    </row>
    <row r="133">
      <c r="B133" s="96">
        <f>IFERROR(__xludf.DUMMYFUNCTION("""COMPUTED_VALUE"""),5.0)</f>
        <v>5</v>
      </c>
      <c r="C133" s="98">
        <f>IFERROR(__xludf.DUMMYFUNCTION("""COMPUTED_VALUE"""),44041.0)</f>
        <v>44041</v>
      </c>
      <c r="D133" s="96" t="str">
        <f>IFERROR(__xludf.DUMMYFUNCTION("""COMPUTED_VALUE"""),"EDWARD OKO")</f>
        <v>EDWARD OKO</v>
      </c>
      <c r="E133" s="96"/>
      <c r="F133" s="96"/>
      <c r="G133" s="96"/>
      <c r="H133" s="96"/>
      <c r="I133" s="96"/>
      <c r="J133" s="96"/>
      <c r="K133" s="96"/>
      <c r="L133" s="96">
        <f>IFERROR(__xludf.DUMMYFUNCTION("""COMPUTED_VALUE"""),0.0)</f>
        <v>0</v>
      </c>
      <c r="M133" s="96">
        <f>IFERROR(__xludf.DUMMYFUNCTION("""COMPUTED_VALUE"""),0.0)</f>
        <v>0</v>
      </c>
      <c r="N133" s="96">
        <f>IFERROR(__xludf.DUMMYFUNCTION("""COMPUTED_VALUE"""),0.0)</f>
        <v>0</v>
      </c>
      <c r="O133" s="96">
        <f>IFERROR(__xludf.DUMMYFUNCTION("""COMPUTED_VALUE"""),700000.0)</f>
        <v>700000</v>
      </c>
      <c r="P133" s="129">
        <f>IFERROR(__xludf.DUMMYFUNCTION("""COMPUTED_VALUE"""),0.0)</f>
        <v>0</v>
      </c>
      <c r="Q133" s="99"/>
      <c r="R133" s="99">
        <f>IFERROR(__xludf.DUMMYFUNCTION("""COMPUTED_VALUE"""),1650600.0)</f>
        <v>1650600</v>
      </c>
    </row>
    <row r="134">
      <c r="B134" s="96">
        <f>IFERROR(__xludf.DUMMYFUNCTION("""COMPUTED_VALUE"""),1.0)</f>
        <v>1</v>
      </c>
      <c r="C134" s="98">
        <f>IFERROR(__xludf.DUMMYFUNCTION("""COMPUTED_VALUE"""),44041.0)</f>
        <v>44041</v>
      </c>
      <c r="D134" s="96" t="str">
        <f>IFERROR(__xludf.DUMMYFUNCTION("""COMPUTED_VALUE"""),"CHINWE CHIDI")</f>
        <v>CHINWE CHIDI</v>
      </c>
      <c r="E134" s="96"/>
      <c r="F134" s="96"/>
      <c r="G134" s="96"/>
      <c r="H134" s="96"/>
      <c r="I134" s="96"/>
      <c r="J134" s="96"/>
      <c r="K134" s="96"/>
      <c r="L134" s="96">
        <f>IFERROR(__xludf.DUMMYFUNCTION("""COMPUTED_VALUE"""),0.0)</f>
        <v>0</v>
      </c>
      <c r="M134" s="96">
        <f>IFERROR(__xludf.DUMMYFUNCTION("""COMPUTED_VALUE"""),0.0)</f>
        <v>0</v>
      </c>
      <c r="N134" s="96">
        <f>IFERROR(__xludf.DUMMYFUNCTION("""COMPUTED_VALUE"""),0.0)</f>
        <v>0</v>
      </c>
      <c r="O134" s="96">
        <f>IFERROR(__xludf.DUMMYFUNCTION("""COMPUTED_VALUE"""),100000.0)</f>
        <v>100000</v>
      </c>
      <c r="P134" s="129">
        <f>IFERROR(__xludf.DUMMYFUNCTION("""COMPUTED_VALUE"""),0.0)</f>
        <v>0</v>
      </c>
      <c r="Q134" s="99"/>
      <c r="R134" s="99">
        <f>IFERROR(__xludf.DUMMYFUNCTION("""COMPUTED_VALUE"""),100000.0)</f>
        <v>100000</v>
      </c>
    </row>
    <row r="135">
      <c r="B135" s="96">
        <f>IFERROR(__xludf.DUMMYFUNCTION("""COMPUTED_VALUE"""),4.0)</f>
        <v>4</v>
      </c>
      <c r="C135" s="98">
        <f>IFERROR(__xludf.DUMMYFUNCTION("""COMPUTED_VALUE"""),44041.0)</f>
        <v>44041</v>
      </c>
      <c r="D135" s="96" t="str">
        <f>IFERROR(__xludf.DUMMYFUNCTION("""COMPUTED_VALUE"""),"JAMES AKAN")</f>
        <v>JAMES AKAN</v>
      </c>
      <c r="E135" s="96"/>
      <c r="F135" s="96"/>
      <c r="G135" s="96"/>
      <c r="H135" s="96"/>
      <c r="I135" s="96"/>
      <c r="J135" s="96"/>
      <c r="K135" s="96"/>
      <c r="L135" s="96">
        <f>IFERROR(__xludf.DUMMYFUNCTION("""COMPUTED_VALUE"""),0.0)</f>
        <v>0</v>
      </c>
      <c r="M135" s="96">
        <f>IFERROR(__xludf.DUMMYFUNCTION("""COMPUTED_VALUE"""),0.0)</f>
        <v>0</v>
      </c>
      <c r="N135" s="96">
        <f>IFERROR(__xludf.DUMMYFUNCTION("""COMPUTED_VALUE"""),0.0)</f>
        <v>0</v>
      </c>
      <c r="O135" s="96">
        <f>IFERROR(__xludf.DUMMYFUNCTION("""COMPUTED_VALUE"""),359600.0)</f>
        <v>359600</v>
      </c>
      <c r="P135" s="129">
        <f>IFERROR(__xludf.DUMMYFUNCTION("""COMPUTED_VALUE"""),0.0)</f>
        <v>0</v>
      </c>
      <c r="Q135" s="99"/>
      <c r="R135" s="99">
        <f>IFERROR(__xludf.DUMMYFUNCTION("""COMPUTED_VALUE"""),759600.0)</f>
        <v>759600</v>
      </c>
    </row>
    <row r="136">
      <c r="B136" s="96">
        <f>IFERROR(__xludf.DUMMYFUNCTION("""COMPUTED_VALUE"""),6.0)</f>
        <v>6</v>
      </c>
      <c r="C136" s="98">
        <f>IFERROR(__xludf.DUMMYFUNCTION("""COMPUTED_VALUE"""),44041.0)</f>
        <v>44041</v>
      </c>
      <c r="D136" s="96" t="str">
        <f>IFERROR(__xludf.DUMMYFUNCTION("""COMPUTED_VALUE"""),"NDOMA BODE I.D")</f>
        <v>NDOMA BODE I.D</v>
      </c>
      <c r="E136" s="96"/>
      <c r="F136" s="96"/>
      <c r="G136" s="96"/>
      <c r="H136" s="96"/>
      <c r="I136" s="96"/>
      <c r="J136" s="96"/>
      <c r="K136" s="96"/>
      <c r="L136" s="96">
        <f>IFERROR(__xludf.DUMMYFUNCTION("""COMPUTED_VALUE"""),0.0)</f>
        <v>0</v>
      </c>
      <c r="M136" s="96">
        <f>IFERROR(__xludf.DUMMYFUNCTION("""COMPUTED_VALUE"""),0.0)</f>
        <v>0</v>
      </c>
      <c r="N136" s="96">
        <f>IFERROR(__xludf.DUMMYFUNCTION("""COMPUTED_VALUE"""),0.0)</f>
        <v>0</v>
      </c>
      <c r="O136" s="96">
        <f>IFERROR(__xludf.DUMMYFUNCTION("""COMPUTED_VALUE"""),500000.0)</f>
        <v>500000</v>
      </c>
      <c r="P136" s="129">
        <f>IFERROR(__xludf.DUMMYFUNCTION("""COMPUTED_VALUE"""),0.0)</f>
        <v>0</v>
      </c>
      <c r="Q136" s="99"/>
      <c r="R136" s="99">
        <f>IFERROR(__xludf.DUMMYFUNCTION("""COMPUTED_VALUE"""),1200000.0)</f>
        <v>1200000</v>
      </c>
    </row>
    <row r="137">
      <c r="B137" s="96">
        <f>IFERROR(__xludf.DUMMYFUNCTION("""COMPUTED_VALUE"""),1.0)</f>
        <v>1</v>
      </c>
      <c r="C137" s="98">
        <f>IFERROR(__xludf.DUMMYFUNCTION("""COMPUTED_VALUE"""),44041.0)</f>
        <v>44041</v>
      </c>
      <c r="D137" s="96" t="str">
        <f>IFERROR(__xludf.DUMMYFUNCTION("""COMPUTED_VALUE"""),"EUGENE")</f>
        <v>EUGENE</v>
      </c>
      <c r="E137" s="96"/>
      <c r="F137" s="96"/>
      <c r="G137" s="96"/>
      <c r="H137" s="96"/>
      <c r="I137" s="96"/>
      <c r="J137" s="96"/>
      <c r="K137" s="96"/>
      <c r="L137" s="96">
        <f>IFERROR(__xludf.DUMMYFUNCTION("""COMPUTED_VALUE"""),0.0)</f>
        <v>0</v>
      </c>
      <c r="M137" s="96">
        <f>IFERROR(__xludf.DUMMYFUNCTION("""COMPUTED_VALUE"""),0.0)</f>
        <v>0</v>
      </c>
      <c r="N137" s="96">
        <f>IFERROR(__xludf.DUMMYFUNCTION("""COMPUTED_VALUE"""),0.0)</f>
        <v>0</v>
      </c>
      <c r="O137" s="96">
        <f>IFERROR(__xludf.DUMMYFUNCTION("""COMPUTED_VALUE"""),500000.0)</f>
        <v>500000</v>
      </c>
      <c r="P137" s="129">
        <f>IFERROR(__xludf.DUMMYFUNCTION("""COMPUTED_VALUE"""),0.0)</f>
        <v>0</v>
      </c>
      <c r="Q137" s="99"/>
      <c r="R137" s="99">
        <f>IFERROR(__xludf.DUMMYFUNCTION("""COMPUTED_VALUE"""),500000.0)</f>
        <v>500000</v>
      </c>
    </row>
    <row r="138">
      <c r="B138" s="96">
        <f>IFERROR(__xludf.DUMMYFUNCTION("""COMPUTED_VALUE"""),8.0)</f>
        <v>8</v>
      </c>
      <c r="C138" s="98">
        <f>IFERROR(__xludf.DUMMYFUNCTION("""COMPUTED_VALUE"""),44041.0)</f>
        <v>44041</v>
      </c>
      <c r="D138" s="96" t="str">
        <f>IFERROR(__xludf.DUMMYFUNCTION("""COMPUTED_VALUE"""),"RECTOR W.")</f>
        <v>RECTOR W.</v>
      </c>
      <c r="E138" s="96"/>
      <c r="F138" s="96"/>
      <c r="G138" s="96"/>
      <c r="H138" s="96"/>
      <c r="I138" s="96"/>
      <c r="J138" s="96"/>
      <c r="K138" s="96"/>
      <c r="L138" s="96">
        <f>IFERROR(__xludf.DUMMYFUNCTION("""COMPUTED_VALUE"""),0.0)</f>
        <v>0</v>
      </c>
      <c r="M138" s="96">
        <f>IFERROR(__xludf.DUMMYFUNCTION("""COMPUTED_VALUE"""),0.0)</f>
        <v>0</v>
      </c>
      <c r="N138" s="96">
        <f>IFERROR(__xludf.DUMMYFUNCTION("""COMPUTED_VALUE"""),0.0)</f>
        <v>0</v>
      </c>
      <c r="O138" s="96">
        <f>IFERROR(__xludf.DUMMYFUNCTION("""COMPUTED_VALUE"""),800000.0)</f>
        <v>800000</v>
      </c>
      <c r="P138" s="129">
        <f>IFERROR(__xludf.DUMMYFUNCTION("""COMPUTED_VALUE"""),0.0)</f>
        <v>0</v>
      </c>
      <c r="Q138" s="99"/>
      <c r="R138" s="99">
        <f>IFERROR(__xludf.DUMMYFUNCTION("""COMPUTED_VALUE"""),3300000.0)</f>
        <v>3300000</v>
      </c>
    </row>
    <row r="139">
      <c r="B139" s="96">
        <f>IFERROR(__xludf.DUMMYFUNCTION("""COMPUTED_VALUE"""),3.0)</f>
        <v>3</v>
      </c>
      <c r="C139" s="98">
        <f>IFERROR(__xludf.DUMMYFUNCTION("""COMPUTED_VALUE"""),44041.0)</f>
        <v>44041</v>
      </c>
      <c r="D139" s="96" t="str">
        <f>IFERROR(__xludf.DUMMYFUNCTION("""COMPUTED_VALUE"""),"REMMY BODES")</f>
        <v>REMMY BODES</v>
      </c>
      <c r="E139" s="96"/>
      <c r="F139" s="96"/>
      <c r="G139" s="96"/>
      <c r="H139" s="96"/>
      <c r="I139" s="96"/>
      <c r="J139" s="96"/>
      <c r="K139" s="96"/>
      <c r="L139" s="96">
        <f>IFERROR(__xludf.DUMMYFUNCTION("""COMPUTED_VALUE"""),0.0)</f>
        <v>0</v>
      </c>
      <c r="M139" s="96">
        <f>IFERROR(__xludf.DUMMYFUNCTION("""COMPUTED_VALUE"""),0.0)</f>
        <v>0</v>
      </c>
      <c r="N139" s="96">
        <f>IFERROR(__xludf.DUMMYFUNCTION("""COMPUTED_VALUE"""),0.0)</f>
        <v>0</v>
      </c>
      <c r="O139" s="96">
        <f>IFERROR(__xludf.DUMMYFUNCTION("""COMPUTED_VALUE"""),310000.0)</f>
        <v>310000</v>
      </c>
      <c r="P139" s="129">
        <f>IFERROR(__xludf.DUMMYFUNCTION("""COMPUTED_VALUE"""),0.0)</f>
        <v>0</v>
      </c>
      <c r="Q139" s="99"/>
      <c r="R139" s="99">
        <f>IFERROR(__xludf.DUMMYFUNCTION("""COMPUTED_VALUE"""),1020000.0)</f>
        <v>1020000</v>
      </c>
    </row>
    <row r="140">
      <c r="B140" s="96">
        <f>IFERROR(__xludf.DUMMYFUNCTION("""COMPUTED_VALUE"""),1.0)</f>
        <v>1</v>
      </c>
      <c r="C140" s="98">
        <f>IFERROR(__xludf.DUMMYFUNCTION("""COMPUTED_VALUE"""),44041.0)</f>
        <v>44041</v>
      </c>
      <c r="D140" s="96" t="str">
        <f>IFERROR(__xludf.DUMMYFUNCTION("""COMPUTED_VALUE"""),"ABANG. DUNLOP")</f>
        <v>ABANG. DUNLOP</v>
      </c>
      <c r="E140" s="96"/>
      <c r="F140" s="96"/>
      <c r="G140" s="96"/>
      <c r="H140" s="96"/>
      <c r="I140" s="96"/>
      <c r="J140" s="96"/>
      <c r="K140" s="96"/>
      <c r="L140" s="96">
        <f>IFERROR(__xludf.DUMMYFUNCTION("""COMPUTED_VALUE"""),0.0)</f>
        <v>0</v>
      </c>
      <c r="M140" s="96">
        <f>IFERROR(__xludf.DUMMYFUNCTION("""COMPUTED_VALUE"""),0.0)</f>
        <v>0</v>
      </c>
      <c r="N140" s="96">
        <f>IFERROR(__xludf.DUMMYFUNCTION("""COMPUTED_VALUE"""),0.0)</f>
        <v>0</v>
      </c>
      <c r="O140" s="96">
        <f>IFERROR(__xludf.DUMMYFUNCTION("""COMPUTED_VALUE"""),800000.0)</f>
        <v>800000</v>
      </c>
      <c r="P140" s="129">
        <f>IFERROR(__xludf.DUMMYFUNCTION("""COMPUTED_VALUE"""),0.0)</f>
        <v>0</v>
      </c>
      <c r="Q140" s="99"/>
      <c r="R140" s="99">
        <f>IFERROR(__xludf.DUMMYFUNCTION("""COMPUTED_VALUE"""),800000.0)</f>
        <v>800000</v>
      </c>
    </row>
    <row r="141">
      <c r="B141" s="96">
        <f>IFERROR(__xludf.DUMMYFUNCTION("""COMPUTED_VALUE"""),2.0)</f>
        <v>2</v>
      </c>
      <c r="C141" s="98">
        <f>IFERROR(__xludf.DUMMYFUNCTION("""COMPUTED_VALUE"""),44041.0)</f>
        <v>44041</v>
      </c>
      <c r="D141" s="96" t="str">
        <f>IFERROR(__xludf.DUMMYFUNCTION("""COMPUTED_VALUE"""),"BOSURU  BOSURU")</f>
        <v>BOSURU  BOSURU</v>
      </c>
      <c r="E141" s="96"/>
      <c r="F141" s="96"/>
      <c r="G141" s="96"/>
      <c r="H141" s="96"/>
      <c r="I141" s="96"/>
      <c r="J141" s="96"/>
      <c r="K141" s="96"/>
      <c r="L141" s="96">
        <f>IFERROR(__xludf.DUMMYFUNCTION("""COMPUTED_VALUE"""),0.0)</f>
        <v>0</v>
      </c>
      <c r="M141" s="96">
        <f>IFERROR(__xludf.DUMMYFUNCTION("""COMPUTED_VALUE"""),0.0)</f>
        <v>0</v>
      </c>
      <c r="N141" s="96">
        <f>IFERROR(__xludf.DUMMYFUNCTION("""COMPUTED_VALUE"""),0.0)</f>
        <v>0</v>
      </c>
      <c r="O141" s="96">
        <f>IFERROR(__xludf.DUMMYFUNCTION("""COMPUTED_VALUE"""),200000.0)</f>
        <v>200000</v>
      </c>
      <c r="P141" s="129">
        <f>IFERROR(__xludf.DUMMYFUNCTION("""COMPUTED_VALUE"""),0.0)</f>
        <v>0</v>
      </c>
      <c r="Q141" s="99"/>
      <c r="R141" s="99">
        <f>IFERROR(__xludf.DUMMYFUNCTION("""COMPUTED_VALUE"""),1200000.0)</f>
        <v>1200000</v>
      </c>
    </row>
    <row r="142">
      <c r="B142" s="96">
        <f>IFERROR(__xludf.DUMMYFUNCTION("""COMPUTED_VALUE"""),5.0)</f>
        <v>5</v>
      </c>
      <c r="C142" s="98">
        <f>IFERROR(__xludf.DUMMYFUNCTION("""COMPUTED_VALUE"""),44041.0)</f>
        <v>44041</v>
      </c>
      <c r="D142" s="96" t="str">
        <f>IFERROR(__xludf.DUMMYFUNCTION("""COMPUTED_VALUE"""),"CORNWELL")</f>
        <v>CORNWELL</v>
      </c>
      <c r="E142" s="96"/>
      <c r="F142" s="96"/>
      <c r="G142" s="96"/>
      <c r="H142" s="96"/>
      <c r="I142" s="96"/>
      <c r="J142" s="96"/>
      <c r="K142" s="96"/>
      <c r="L142" s="96">
        <f>IFERROR(__xludf.DUMMYFUNCTION("""COMPUTED_VALUE"""),0.0)</f>
        <v>0</v>
      </c>
      <c r="M142" s="96">
        <f>IFERROR(__xludf.DUMMYFUNCTION("""COMPUTED_VALUE"""),0.0)</f>
        <v>0</v>
      </c>
      <c r="N142" s="96">
        <f>IFERROR(__xludf.DUMMYFUNCTION("""COMPUTED_VALUE"""),0.0)</f>
        <v>0</v>
      </c>
      <c r="O142" s="96">
        <f>IFERROR(__xludf.DUMMYFUNCTION("""COMPUTED_VALUE"""),400000.0)</f>
        <v>400000</v>
      </c>
      <c r="P142" s="129">
        <f>IFERROR(__xludf.DUMMYFUNCTION("""COMPUTED_VALUE"""),0.0)</f>
        <v>0</v>
      </c>
      <c r="Q142" s="99"/>
      <c r="R142" s="99">
        <f>IFERROR(__xludf.DUMMYFUNCTION("""COMPUTED_VALUE"""),1.500444E7)</f>
        <v>15004440</v>
      </c>
    </row>
    <row r="143">
      <c r="B143" s="96">
        <f>IFERROR(__xludf.DUMMYFUNCTION("""COMPUTED_VALUE"""),6.0)</f>
        <v>6</v>
      </c>
      <c r="C143" s="98">
        <f>IFERROR(__xludf.DUMMYFUNCTION("""COMPUTED_VALUE"""),44042.0)</f>
        <v>44042</v>
      </c>
      <c r="D143" s="96" t="str">
        <f>IFERROR(__xludf.DUMMYFUNCTION("""COMPUTED_VALUE"""),"CORNWELL")</f>
        <v>CORNWELL</v>
      </c>
      <c r="E143" s="96"/>
      <c r="F143" s="96"/>
      <c r="G143" s="96"/>
      <c r="H143" s="96"/>
      <c r="I143" s="96"/>
      <c r="J143" s="96"/>
      <c r="K143" s="96"/>
      <c r="L143" s="96">
        <f>IFERROR(__xludf.DUMMYFUNCTION("""COMPUTED_VALUE"""),0.0)</f>
        <v>0</v>
      </c>
      <c r="M143" s="96">
        <f>IFERROR(__xludf.DUMMYFUNCTION("""COMPUTED_VALUE"""),0.0)</f>
        <v>0</v>
      </c>
      <c r="N143" s="96">
        <f>IFERROR(__xludf.DUMMYFUNCTION("""COMPUTED_VALUE"""),0.0)</f>
        <v>0</v>
      </c>
      <c r="O143" s="96">
        <f>IFERROR(__xludf.DUMMYFUNCTION("""COMPUTED_VALUE"""),400000.0)</f>
        <v>400000</v>
      </c>
      <c r="P143" s="129">
        <f>IFERROR(__xludf.DUMMYFUNCTION("""COMPUTED_VALUE"""),0.0)</f>
        <v>0</v>
      </c>
      <c r="Q143" s="99"/>
      <c r="R143" s="99">
        <f>IFERROR(__xludf.DUMMYFUNCTION("""COMPUTED_VALUE"""),1.540444E7)</f>
        <v>15404440</v>
      </c>
    </row>
    <row r="144">
      <c r="B144" s="96">
        <f>IFERROR(__xludf.DUMMYFUNCTION("""COMPUTED_VALUE"""),6.0)</f>
        <v>6</v>
      </c>
      <c r="C144" s="98">
        <f>IFERROR(__xludf.DUMMYFUNCTION("""COMPUTED_VALUE"""),44047.0)</f>
        <v>44047</v>
      </c>
      <c r="D144" s="96" t="str">
        <f>IFERROR(__xludf.DUMMYFUNCTION("""COMPUTED_VALUE""")," MAXWELL AGRO")</f>
        <v> MAXWELL AGRO</v>
      </c>
      <c r="E144" s="96"/>
      <c r="F144" s="96"/>
      <c r="G144" s="96"/>
      <c r="H144" s="96"/>
      <c r="I144" s="96"/>
      <c r="J144" s="96"/>
      <c r="K144" s="96"/>
      <c r="L144" s="96">
        <f>IFERROR(__xludf.DUMMYFUNCTION("""COMPUTED_VALUE"""),0.0)</f>
        <v>0</v>
      </c>
      <c r="M144" s="96">
        <f>IFERROR(__xludf.DUMMYFUNCTION("""COMPUTED_VALUE"""),0.0)</f>
        <v>0</v>
      </c>
      <c r="N144" s="96">
        <f>IFERROR(__xludf.DUMMYFUNCTION("""COMPUTED_VALUE"""),0.0)</f>
        <v>0</v>
      </c>
      <c r="O144" s="96">
        <f>IFERROR(__xludf.DUMMYFUNCTION("""COMPUTED_VALUE"""),500000.0)</f>
        <v>500000</v>
      </c>
      <c r="P144" s="129">
        <f>IFERROR(__xludf.DUMMYFUNCTION("""COMPUTED_VALUE"""),0.0)</f>
        <v>0</v>
      </c>
      <c r="Q144" s="99"/>
      <c r="R144" s="99">
        <f>IFERROR(__xludf.DUMMYFUNCTION("""COMPUTED_VALUE"""),982820.0)</f>
        <v>982820</v>
      </c>
    </row>
    <row r="145">
      <c r="B145" s="96">
        <f>IFERROR(__xludf.DUMMYFUNCTION("""COMPUTED_VALUE"""),9.0)</f>
        <v>9</v>
      </c>
      <c r="C145" s="98">
        <f>IFERROR(__xludf.DUMMYFUNCTION("""COMPUTED_VALUE"""),44047.0)</f>
        <v>44047</v>
      </c>
      <c r="D145" s="96" t="str">
        <f>IFERROR(__xludf.DUMMYFUNCTION("""COMPUTED_VALUE"""),"CONNECT")</f>
        <v>CONNECT</v>
      </c>
      <c r="E145" s="96"/>
      <c r="F145" s="96"/>
      <c r="G145" s="96"/>
      <c r="H145" s="96"/>
      <c r="I145" s="96"/>
      <c r="J145" s="96"/>
      <c r="K145" s="96"/>
      <c r="L145" s="96">
        <f>IFERROR(__xludf.DUMMYFUNCTION("""COMPUTED_VALUE"""),0.0)</f>
        <v>0</v>
      </c>
      <c r="M145" s="96">
        <f>IFERROR(__xludf.DUMMYFUNCTION("""COMPUTED_VALUE"""),0.0)</f>
        <v>0</v>
      </c>
      <c r="N145" s="96">
        <f>IFERROR(__xludf.DUMMYFUNCTION("""COMPUTED_VALUE"""),0.0)</f>
        <v>0</v>
      </c>
      <c r="O145" s="96">
        <f>IFERROR(__xludf.DUMMYFUNCTION("""COMPUTED_VALUE"""),1500000.0)</f>
        <v>1500000</v>
      </c>
      <c r="P145" s="129">
        <f>IFERROR(__xludf.DUMMYFUNCTION("""COMPUTED_VALUE"""),0.0)</f>
        <v>0</v>
      </c>
      <c r="Q145" s="99"/>
      <c r="R145" s="99">
        <f>IFERROR(__xludf.DUMMYFUNCTION("""COMPUTED_VALUE"""),3000000.0)</f>
        <v>3000000</v>
      </c>
    </row>
    <row r="146">
      <c r="B146" s="96">
        <f>IFERROR(__xludf.DUMMYFUNCTION("""COMPUTED_VALUE"""),2.0)</f>
        <v>2</v>
      </c>
      <c r="C146" s="98">
        <f>IFERROR(__xludf.DUMMYFUNCTION("""COMPUTED_VALUE"""),44047.0)</f>
        <v>44047</v>
      </c>
      <c r="D146" s="96" t="str">
        <f>IFERROR(__xludf.DUMMYFUNCTION("""COMPUTED_VALUE"""),"PRINNESS")</f>
        <v>PRINNESS</v>
      </c>
      <c r="E146" s="96"/>
      <c r="F146" s="96"/>
      <c r="G146" s="96"/>
      <c r="H146" s="96"/>
      <c r="I146" s="96"/>
      <c r="J146" s="96"/>
      <c r="K146" s="96"/>
      <c r="L146" s="96">
        <f>IFERROR(__xludf.DUMMYFUNCTION("""COMPUTED_VALUE"""),0.0)</f>
        <v>0</v>
      </c>
      <c r="M146" s="96">
        <f>IFERROR(__xludf.DUMMYFUNCTION("""COMPUTED_VALUE"""),0.0)</f>
        <v>0</v>
      </c>
      <c r="N146" s="96">
        <f>IFERROR(__xludf.DUMMYFUNCTION("""COMPUTED_VALUE"""),0.0)</f>
        <v>0</v>
      </c>
      <c r="O146" s="96">
        <f>IFERROR(__xludf.DUMMYFUNCTION("""COMPUTED_VALUE"""),300000.0)</f>
        <v>300000</v>
      </c>
      <c r="P146" s="129">
        <f>IFERROR(__xludf.DUMMYFUNCTION("""COMPUTED_VALUE"""),0.0)</f>
        <v>0</v>
      </c>
      <c r="Q146" s="99"/>
      <c r="R146" s="99">
        <f>IFERROR(__xludf.DUMMYFUNCTION("""COMPUTED_VALUE"""),500000.0)</f>
        <v>500000</v>
      </c>
    </row>
    <row r="147">
      <c r="B147" s="96">
        <f>IFERROR(__xludf.DUMMYFUNCTION("""COMPUTED_VALUE"""),10.0)</f>
        <v>10</v>
      </c>
      <c r="C147" s="98">
        <f>IFERROR(__xludf.DUMMYFUNCTION("""COMPUTED_VALUE"""),44047.0)</f>
        <v>44047</v>
      </c>
      <c r="D147" s="96" t="str">
        <f>IFERROR(__xludf.DUMMYFUNCTION("""COMPUTED_VALUE"""),"LIVINUS")</f>
        <v>LIVINUS</v>
      </c>
      <c r="E147" s="96"/>
      <c r="F147" s="96"/>
      <c r="G147" s="96"/>
      <c r="H147" s="96"/>
      <c r="I147" s="96"/>
      <c r="J147" s="96"/>
      <c r="K147" s="96"/>
      <c r="L147" s="96">
        <f>IFERROR(__xludf.DUMMYFUNCTION("""COMPUTED_VALUE"""),0.0)</f>
        <v>0</v>
      </c>
      <c r="M147" s="96">
        <f>IFERROR(__xludf.DUMMYFUNCTION("""COMPUTED_VALUE"""),0.0)</f>
        <v>0</v>
      </c>
      <c r="N147" s="96">
        <f>IFERROR(__xludf.DUMMYFUNCTION("""COMPUTED_VALUE"""),0.0)</f>
        <v>0</v>
      </c>
      <c r="O147" s="96">
        <f>IFERROR(__xludf.DUMMYFUNCTION("""COMPUTED_VALUE"""),720000.0)</f>
        <v>720000</v>
      </c>
      <c r="P147" s="129">
        <f>IFERROR(__xludf.DUMMYFUNCTION("""COMPUTED_VALUE"""),0.0)</f>
        <v>0</v>
      </c>
      <c r="Q147" s="99"/>
      <c r="R147" s="99">
        <f>IFERROR(__xludf.DUMMYFUNCTION("""COMPUTED_VALUE"""),3915000.0)</f>
        <v>3915000</v>
      </c>
    </row>
    <row r="148">
      <c r="B148" s="96">
        <f>IFERROR(__xludf.DUMMYFUNCTION("""COMPUTED_VALUE"""),12.0)</f>
        <v>12</v>
      </c>
      <c r="C148" s="98">
        <f>IFERROR(__xludf.DUMMYFUNCTION("""COMPUTED_VALUE"""),44048.0)</f>
        <v>44048</v>
      </c>
      <c r="D148" s="96" t="str">
        <f>IFERROR(__xludf.DUMMYFUNCTION("""COMPUTED_VALUE"""),"LYDIA HNSON ")</f>
        <v>LYDIA HNSON </v>
      </c>
      <c r="E148" s="96"/>
      <c r="F148" s="96"/>
      <c r="G148" s="96"/>
      <c r="H148" s="96"/>
      <c r="I148" s="96"/>
      <c r="J148" s="96"/>
      <c r="K148" s="96"/>
      <c r="L148" s="96">
        <f>IFERROR(__xludf.DUMMYFUNCTION("""COMPUTED_VALUE"""),0.0)</f>
        <v>0</v>
      </c>
      <c r="M148" s="96">
        <f>IFERROR(__xludf.DUMMYFUNCTION("""COMPUTED_VALUE"""),0.0)</f>
        <v>0</v>
      </c>
      <c r="N148" s="96">
        <f>IFERROR(__xludf.DUMMYFUNCTION("""COMPUTED_VALUE"""),0.0)</f>
        <v>0</v>
      </c>
      <c r="O148" s="96">
        <f>IFERROR(__xludf.DUMMYFUNCTION("""COMPUTED_VALUE"""),500000.0)</f>
        <v>500000</v>
      </c>
      <c r="P148" s="129">
        <f>IFERROR(__xludf.DUMMYFUNCTION("""COMPUTED_VALUE"""),0.0)</f>
        <v>0</v>
      </c>
      <c r="Q148" s="99"/>
      <c r="R148" s="99">
        <f>IFERROR(__xludf.DUMMYFUNCTION("""COMPUTED_VALUE"""),3276960.0)</f>
        <v>3276960</v>
      </c>
    </row>
    <row r="149">
      <c r="B149" s="96">
        <f>IFERROR(__xludf.DUMMYFUNCTION("""COMPUTED_VALUE"""),2.0)</f>
        <v>2</v>
      </c>
      <c r="C149" s="98">
        <f>IFERROR(__xludf.DUMMYFUNCTION("""COMPUTED_VALUE"""),44048.0)</f>
        <v>44048</v>
      </c>
      <c r="D149" s="96" t="str">
        <f>IFERROR(__xludf.DUMMYFUNCTION("""COMPUTED_VALUE"""),"NDOMA PETER")</f>
        <v>NDOMA PETER</v>
      </c>
      <c r="E149" s="96"/>
      <c r="F149" s="96"/>
      <c r="G149" s="96"/>
      <c r="H149" s="96"/>
      <c r="I149" s="96"/>
      <c r="J149" s="96"/>
      <c r="K149" s="96"/>
      <c r="L149" s="96">
        <f>IFERROR(__xludf.DUMMYFUNCTION("""COMPUTED_VALUE"""),0.0)</f>
        <v>0</v>
      </c>
      <c r="M149" s="96">
        <f>IFERROR(__xludf.DUMMYFUNCTION("""COMPUTED_VALUE"""),0.0)</f>
        <v>0</v>
      </c>
      <c r="N149" s="96">
        <f>IFERROR(__xludf.DUMMYFUNCTION("""COMPUTED_VALUE"""),0.0)</f>
        <v>0</v>
      </c>
      <c r="O149" s="96">
        <f>IFERROR(__xludf.DUMMYFUNCTION("""COMPUTED_VALUE"""),200000.0)</f>
        <v>200000</v>
      </c>
      <c r="P149" s="129">
        <f>IFERROR(__xludf.DUMMYFUNCTION("""COMPUTED_VALUE"""),0.0)</f>
        <v>0</v>
      </c>
      <c r="Q149" s="99"/>
      <c r="R149" s="99">
        <f>IFERROR(__xludf.DUMMYFUNCTION("""COMPUTED_VALUE"""),600000.0)</f>
        <v>600000</v>
      </c>
    </row>
    <row r="150">
      <c r="B150" s="96">
        <f>IFERROR(__xludf.DUMMYFUNCTION("""COMPUTED_VALUE"""),2.0)</f>
        <v>2</v>
      </c>
      <c r="C150" s="98">
        <f>IFERROR(__xludf.DUMMYFUNCTION("""COMPUTED_VALUE"""),44048.0)</f>
        <v>44048</v>
      </c>
      <c r="D150" s="96" t="str">
        <f>IFERROR(__xludf.DUMMYFUNCTION("""COMPUTED_VALUE"""),"ALFRED ALABI")</f>
        <v>ALFRED ALABI</v>
      </c>
      <c r="E150" s="96"/>
      <c r="F150" s="96"/>
      <c r="G150" s="96"/>
      <c r="H150" s="96"/>
      <c r="I150" s="96"/>
      <c r="J150" s="96"/>
      <c r="K150" s="96"/>
      <c r="L150" s="96">
        <f>IFERROR(__xludf.DUMMYFUNCTION("""COMPUTED_VALUE"""),0.0)</f>
        <v>0</v>
      </c>
      <c r="M150" s="96">
        <f>IFERROR(__xludf.DUMMYFUNCTION("""COMPUTED_VALUE"""),0.0)</f>
        <v>0</v>
      </c>
      <c r="N150" s="96">
        <f>IFERROR(__xludf.DUMMYFUNCTION("""COMPUTED_VALUE"""),0.0)</f>
        <v>0</v>
      </c>
      <c r="O150" s="96">
        <f>IFERROR(__xludf.DUMMYFUNCTION("""COMPUTED_VALUE"""),5000.0)</f>
        <v>5000</v>
      </c>
      <c r="P150" s="129">
        <f>IFERROR(__xludf.DUMMYFUNCTION("""COMPUTED_VALUE"""),0.0)</f>
        <v>0</v>
      </c>
      <c r="Q150" s="99"/>
      <c r="R150" s="99">
        <f>IFERROR(__xludf.DUMMYFUNCTION("""COMPUTED_VALUE"""),485000.0)</f>
        <v>485000</v>
      </c>
    </row>
    <row r="151">
      <c r="B151" s="96">
        <f>IFERROR(__xludf.DUMMYFUNCTION("""COMPUTED_VALUE"""),10.0)</f>
        <v>10</v>
      </c>
      <c r="C151" s="98">
        <f>IFERROR(__xludf.DUMMYFUNCTION("""COMPUTED_VALUE"""),44047.0)</f>
        <v>44047</v>
      </c>
      <c r="D151" s="96" t="str">
        <f>IFERROR(__xludf.DUMMYFUNCTION("""COMPUTED_VALUE"""),"CONNECT")</f>
        <v>CONNECT</v>
      </c>
      <c r="E151" s="96">
        <f>IFERROR(__xludf.DUMMYFUNCTION("""COMPUTED_VALUE"""),1698.0)</f>
        <v>1698</v>
      </c>
      <c r="F151" s="96">
        <f>IFERROR(__xludf.DUMMYFUNCTION("""COMPUTED_VALUE"""),208.0)</f>
        <v>208</v>
      </c>
      <c r="G151" s="96"/>
      <c r="H151" s="96">
        <f>IFERROR(__xludf.DUMMYFUNCTION("""COMPUTED_VALUE"""),26.0)</f>
        <v>26</v>
      </c>
      <c r="I151" s="96">
        <f>IFERROR(__xludf.DUMMYFUNCTION("""COMPUTED_VALUE"""),0.0)</f>
        <v>0</v>
      </c>
      <c r="J151" s="96">
        <f>IFERROR(__xludf.DUMMYFUNCTION("""COMPUTED_VALUE"""),800.0)</f>
        <v>800</v>
      </c>
      <c r="K151" s="96">
        <f>IFERROR(__xludf.DUMMYFUNCTION("""COMPUTED_VALUE"""),8.0)</f>
        <v>8</v>
      </c>
      <c r="L151" s="96">
        <f>IFERROR(__xludf.DUMMYFUNCTION("""COMPUTED_VALUE"""),0.0)</f>
        <v>0</v>
      </c>
      <c r="M151" s="96">
        <f>IFERROR(__xludf.DUMMYFUNCTION("""COMPUTED_VALUE"""),26.0)</f>
        <v>26</v>
      </c>
      <c r="N151" s="96">
        <f>IFERROR(__xludf.DUMMYFUNCTION("""COMPUTED_VALUE"""),34.0)</f>
        <v>34</v>
      </c>
      <c r="O151" s="96"/>
      <c r="P151" s="129">
        <f>IFERROR(__xludf.DUMMYFUNCTION("""COMPUTED_VALUE"""),1672.0)</f>
        <v>1672</v>
      </c>
      <c r="Q151" s="99">
        <f>IFERROR(__xludf.DUMMYFUNCTION("""COMPUTED_VALUE"""),1337600.0)</f>
        <v>1337600</v>
      </c>
      <c r="R151" s="99">
        <f>IFERROR(__xludf.DUMMYFUNCTION("""COMPUTED_VALUE"""),1662400.0)</f>
        <v>1662400</v>
      </c>
    </row>
    <row r="152">
      <c r="B152" s="96">
        <f>IFERROR(__xludf.DUMMYFUNCTION("""COMPUTED_VALUE"""),2.0)</f>
        <v>2</v>
      </c>
      <c r="C152" s="98">
        <f>IFERROR(__xludf.DUMMYFUNCTION("""COMPUTED_VALUE"""),44041.0)</f>
        <v>44041</v>
      </c>
      <c r="D152" s="96" t="str">
        <f>IFERROR(__xludf.DUMMYFUNCTION("""COMPUTED_VALUE"""),"OBINNA CHIELO")</f>
        <v>OBINNA CHIELO</v>
      </c>
      <c r="E152" s="96">
        <f>IFERROR(__xludf.DUMMYFUNCTION("""COMPUTED_VALUE"""),591.0)</f>
        <v>591</v>
      </c>
      <c r="F152" s="96">
        <f>IFERROR(__xludf.DUMMYFUNCTION("""COMPUTED_VALUE"""),72.0)</f>
        <v>72</v>
      </c>
      <c r="G152" s="96"/>
      <c r="H152" s="96">
        <f>IFERROR(__xludf.DUMMYFUNCTION("""COMPUTED_VALUE"""),9.0)</f>
        <v>9</v>
      </c>
      <c r="I152" s="96">
        <f>IFERROR(__xludf.DUMMYFUNCTION("""COMPUTED_VALUE"""),0.0)</f>
        <v>0</v>
      </c>
      <c r="J152" s="96">
        <f>IFERROR(__xludf.DUMMYFUNCTION("""COMPUTED_VALUE"""),761.6)</f>
        <v>761.6</v>
      </c>
      <c r="K152" s="96">
        <f>IFERROR(__xludf.DUMMYFUNCTION("""COMPUTED_VALUE"""),8.0)</f>
        <v>8</v>
      </c>
      <c r="L152" s="96">
        <f>IFERROR(__xludf.DUMMYFUNCTION("""COMPUTED_VALUE"""),0.0)</f>
        <v>0</v>
      </c>
      <c r="M152" s="96">
        <f>IFERROR(__xludf.DUMMYFUNCTION("""COMPUTED_VALUE"""),9.0)</f>
        <v>9</v>
      </c>
      <c r="N152" s="96">
        <f>IFERROR(__xludf.DUMMYFUNCTION("""COMPUTED_VALUE"""),14.0)</f>
        <v>14</v>
      </c>
      <c r="O152" s="96"/>
      <c r="P152" s="129">
        <f>IFERROR(__xludf.DUMMYFUNCTION("""COMPUTED_VALUE"""),582.0)</f>
        <v>582</v>
      </c>
      <c r="Q152" s="99">
        <f>IFERROR(__xludf.DUMMYFUNCTION("""COMPUTED_VALUE"""),443250.0)</f>
        <v>443250</v>
      </c>
      <c r="R152" s="99">
        <f>IFERROR(__xludf.DUMMYFUNCTION("""COMPUTED_VALUE"""),36750.0)</f>
        <v>36750</v>
      </c>
    </row>
    <row r="153">
      <c r="B153" s="96">
        <f>IFERROR(__xludf.DUMMYFUNCTION("""COMPUTED_VALUE"""),9.0)</f>
        <v>9</v>
      </c>
      <c r="C153" s="98">
        <f>IFERROR(__xludf.DUMMYFUNCTION("""COMPUTED_VALUE"""),44039.0)</f>
        <v>44039</v>
      </c>
      <c r="D153" s="96" t="str">
        <f>IFERROR(__xludf.DUMMYFUNCTION("""COMPUTED_VALUE"""),"RECTOR W.")</f>
        <v>RECTOR W.</v>
      </c>
      <c r="E153" s="96">
        <f>IFERROR(__xludf.DUMMYFUNCTION("""COMPUTED_VALUE"""),1515.0)</f>
        <v>1515</v>
      </c>
      <c r="F153" s="96">
        <f>IFERROR(__xludf.DUMMYFUNCTION("""COMPUTED_VALUE"""),176.0)</f>
        <v>176</v>
      </c>
      <c r="G153" s="96"/>
      <c r="H153" s="96">
        <f>IFERROR(__xludf.DUMMYFUNCTION("""COMPUTED_VALUE"""),22.0)</f>
        <v>22</v>
      </c>
      <c r="I153" s="96">
        <f>IFERROR(__xludf.DUMMYFUNCTION("""COMPUTED_VALUE"""),0.0)</f>
        <v>0</v>
      </c>
      <c r="J153" s="96">
        <f>IFERROR(__xludf.DUMMYFUNCTION("""COMPUTED_VALUE"""),780.0)</f>
        <v>780</v>
      </c>
      <c r="K153" s="96">
        <f>IFERROR(__xludf.DUMMYFUNCTION("""COMPUTED_VALUE"""),8.0)</f>
        <v>8</v>
      </c>
      <c r="L153" s="96">
        <f>IFERROR(__xludf.DUMMYFUNCTION("""COMPUTED_VALUE"""),0.0)</f>
        <v>0</v>
      </c>
      <c r="M153" s="96">
        <f>IFERROR(__xludf.DUMMYFUNCTION("""COMPUTED_VALUE"""),23.0)</f>
        <v>23</v>
      </c>
      <c r="N153" s="96">
        <f>IFERROR(__xludf.DUMMYFUNCTION("""COMPUTED_VALUE"""),44.0)</f>
        <v>44</v>
      </c>
      <c r="O153" s="96"/>
      <c r="P153" s="129">
        <f>IFERROR(__xludf.DUMMYFUNCTION("""COMPUTED_VALUE"""),1493.0)</f>
        <v>1493</v>
      </c>
      <c r="Q153" s="99">
        <f>IFERROR(__xludf.DUMMYFUNCTION("""COMPUTED_VALUE"""),1164540.0)</f>
        <v>1164540</v>
      </c>
      <c r="R153" s="99">
        <f>IFERROR(__xludf.DUMMYFUNCTION("""COMPUTED_VALUE"""),2135460.0)</f>
        <v>2135460</v>
      </c>
    </row>
    <row r="154">
      <c r="B154" s="96">
        <f>IFERROR(__xludf.DUMMYFUNCTION("""COMPUTED_VALUE"""),10.0)</f>
        <v>10</v>
      </c>
      <c r="C154" s="98">
        <f>IFERROR(__xludf.DUMMYFUNCTION("""COMPUTED_VALUE"""),44044.0)</f>
        <v>44044</v>
      </c>
      <c r="D154" s="96" t="str">
        <f>IFERROR(__xludf.DUMMYFUNCTION("""COMPUTED_VALUE"""),"RECTOR W.")</f>
        <v>RECTOR W.</v>
      </c>
      <c r="E154" s="96">
        <f>IFERROR(__xludf.DUMMYFUNCTION("""COMPUTED_VALUE"""),1283.0)</f>
        <v>1283</v>
      </c>
      <c r="F154" s="96">
        <f>IFERROR(__xludf.DUMMYFUNCTION("""COMPUTED_VALUE"""),136.0)</f>
        <v>136</v>
      </c>
      <c r="G154" s="96"/>
      <c r="H154" s="96">
        <f>IFERROR(__xludf.DUMMYFUNCTION("""COMPUTED_VALUE"""),17.0)</f>
        <v>17</v>
      </c>
      <c r="I154" s="96">
        <f>IFERROR(__xludf.DUMMYFUNCTION("""COMPUTED_VALUE"""),0.0)</f>
        <v>0</v>
      </c>
      <c r="J154" s="96">
        <f>IFERROR(__xludf.DUMMYFUNCTION("""COMPUTED_VALUE"""),780.0)</f>
        <v>780</v>
      </c>
      <c r="K154" s="96">
        <f>IFERROR(__xludf.DUMMYFUNCTION("""COMPUTED_VALUE"""),8.0)</f>
        <v>8</v>
      </c>
      <c r="L154" s="96">
        <f>IFERROR(__xludf.DUMMYFUNCTION("""COMPUTED_VALUE"""),0.0)</f>
        <v>0</v>
      </c>
      <c r="M154" s="96">
        <f>IFERROR(__xludf.DUMMYFUNCTION("""COMPUTED_VALUE"""),20.0)</f>
        <v>20</v>
      </c>
      <c r="N154" s="96">
        <f>IFERROR(__xludf.DUMMYFUNCTION("""COMPUTED_VALUE"""),5.0)</f>
        <v>5</v>
      </c>
      <c r="O154" s="96"/>
      <c r="P154" s="129">
        <f>IFERROR(__xludf.DUMMYFUNCTION("""COMPUTED_VALUE"""),1266.0)</f>
        <v>1266</v>
      </c>
      <c r="Q154" s="99">
        <f>IFERROR(__xludf.DUMMYFUNCTION("""COMPUTED_VALUE"""),987480.0)</f>
        <v>987480</v>
      </c>
      <c r="R154" s="99">
        <f>IFERROR(__xludf.DUMMYFUNCTION("""COMPUTED_VALUE"""),1147980.0)</f>
        <v>1147980</v>
      </c>
    </row>
    <row r="155">
      <c r="B155" s="96">
        <f>IFERROR(__xludf.DUMMYFUNCTION("""COMPUTED_VALUE"""),5.0)</f>
        <v>5</v>
      </c>
      <c r="C155" s="98">
        <f>IFERROR(__xludf.DUMMYFUNCTION("""COMPUTED_VALUE"""),44046.0)</f>
        <v>44046</v>
      </c>
      <c r="D155" s="96" t="str">
        <f>IFERROR(__xludf.DUMMYFUNCTION("""COMPUTED_VALUE"""),"ETUK EFFI")</f>
        <v>ETUK EFFI</v>
      </c>
      <c r="E155" s="96">
        <f>IFERROR(__xludf.DUMMYFUNCTION("""COMPUTED_VALUE"""),1388.0)</f>
        <v>1388</v>
      </c>
      <c r="F155" s="96">
        <f>IFERROR(__xludf.DUMMYFUNCTION("""COMPUTED_VALUE"""),176.0)</f>
        <v>176</v>
      </c>
      <c r="G155" s="96"/>
      <c r="H155" s="96">
        <f>IFERROR(__xludf.DUMMYFUNCTION("""COMPUTED_VALUE"""),22.0)</f>
        <v>22</v>
      </c>
      <c r="I155" s="96">
        <f>IFERROR(__xludf.DUMMYFUNCTION("""COMPUTED_VALUE"""),0.0)</f>
        <v>0</v>
      </c>
      <c r="J155" s="96">
        <f>IFERROR(__xludf.DUMMYFUNCTION("""COMPUTED_VALUE"""),790.0)</f>
        <v>790</v>
      </c>
      <c r="K155" s="96">
        <f>IFERROR(__xludf.DUMMYFUNCTION("""COMPUTED_VALUE"""),8.0)</f>
        <v>8</v>
      </c>
      <c r="L155" s="96">
        <f>IFERROR(__xludf.DUMMYFUNCTION("""COMPUTED_VALUE"""),0.0)</f>
        <v>0</v>
      </c>
      <c r="M155" s="96">
        <f>IFERROR(__xludf.DUMMYFUNCTION("""COMPUTED_VALUE"""),21.0)</f>
        <v>21</v>
      </c>
      <c r="N155" s="96">
        <f>IFERROR(__xludf.DUMMYFUNCTION("""COMPUTED_VALUE"""),43.0)</f>
        <v>43</v>
      </c>
      <c r="O155" s="96"/>
      <c r="P155" s="129">
        <f>IFERROR(__xludf.DUMMYFUNCTION("""COMPUTED_VALUE"""),1366.0)</f>
        <v>1366</v>
      </c>
      <c r="Q155" s="99">
        <f>IFERROR(__xludf.DUMMYFUNCTION("""COMPUTED_VALUE"""),1079140.0)</f>
        <v>1079140</v>
      </c>
      <c r="R155" s="99">
        <f>IFERROR(__xludf.DUMMYFUNCTION("""COMPUTED_VALUE"""),57720.0)</f>
        <v>57720</v>
      </c>
    </row>
    <row r="156">
      <c r="B156" s="96">
        <f>IFERROR(__xludf.DUMMYFUNCTION("""COMPUTED_VALUE"""),7.0)</f>
        <v>7</v>
      </c>
      <c r="C156" s="98">
        <f>IFERROR(__xludf.DUMMYFUNCTION("""COMPUTED_VALUE"""),44047.0)</f>
        <v>44047</v>
      </c>
      <c r="D156" s="96" t="str">
        <f>IFERROR(__xludf.DUMMYFUNCTION("""COMPUTED_VALUE""")," MAXWELL AGRO")</f>
        <v> MAXWELL AGRO</v>
      </c>
      <c r="E156" s="96">
        <f>IFERROR(__xludf.DUMMYFUNCTION("""COMPUTED_VALUE"""),605.0)</f>
        <v>605</v>
      </c>
      <c r="F156" s="96">
        <f>IFERROR(__xludf.DUMMYFUNCTION("""COMPUTED_VALUE"""),80.0)</f>
        <v>80</v>
      </c>
      <c r="G156" s="96"/>
      <c r="H156" s="96">
        <f>IFERROR(__xludf.DUMMYFUNCTION("""COMPUTED_VALUE"""),10.0)</f>
        <v>10</v>
      </c>
      <c r="I156" s="96">
        <f>IFERROR(__xludf.DUMMYFUNCTION("""COMPUTED_VALUE"""),2.0)</f>
        <v>2</v>
      </c>
      <c r="J156" s="96">
        <f>IFERROR(__xludf.DUMMYFUNCTION("""COMPUTED_VALUE"""),761.31)</f>
        <v>761.31</v>
      </c>
      <c r="K156" s="96">
        <f>IFERROR(__xludf.DUMMYFUNCTION("""COMPUTED_VALUE"""),8.0)</f>
        <v>8</v>
      </c>
      <c r="L156" s="96">
        <f>IFERROR(__xludf.DUMMYFUNCTION("""COMPUTED_VALUE"""),0.0)</f>
        <v>0</v>
      </c>
      <c r="M156" s="96">
        <f>IFERROR(__xludf.DUMMYFUNCTION("""COMPUTED_VALUE"""),9.0)</f>
        <v>9</v>
      </c>
      <c r="N156" s="96">
        <f>IFERROR(__xludf.DUMMYFUNCTION("""COMPUTED_VALUE"""),30.0)</f>
        <v>30</v>
      </c>
      <c r="O156" s="96"/>
      <c r="P156" s="129">
        <f>IFERROR(__xludf.DUMMYFUNCTION("""COMPUTED_VALUE"""),597.0)</f>
        <v>597</v>
      </c>
      <c r="Q156" s="99">
        <f>IFERROR(__xludf.DUMMYFUNCTION("""COMPUTED_VALUE"""),454500.0)</f>
        <v>454500</v>
      </c>
      <c r="R156" s="99">
        <f>IFERROR(__xludf.DUMMYFUNCTION("""COMPUTED_VALUE"""),528320.0)</f>
        <v>528320</v>
      </c>
    </row>
    <row r="157">
      <c r="B157" s="96">
        <f>IFERROR(__xludf.DUMMYFUNCTION("""COMPUTED_VALUE"""),7.0)</f>
        <v>7</v>
      </c>
      <c r="C157" s="98">
        <f>IFERROR(__xludf.DUMMYFUNCTION("""COMPUTED_VALUE"""),44034.0)</f>
        <v>44034</v>
      </c>
      <c r="D157" s="96" t="str">
        <f>IFERROR(__xludf.DUMMYFUNCTION("""COMPUTED_VALUE"""),"NDOMA BODE I.D")</f>
        <v>NDOMA BODE I.D</v>
      </c>
      <c r="E157" s="96">
        <f>IFERROR(__xludf.DUMMYFUNCTION("""COMPUTED_VALUE"""),256.0)</f>
        <v>256</v>
      </c>
      <c r="F157" s="96">
        <f>IFERROR(__xludf.DUMMYFUNCTION("""COMPUTED_VALUE"""),32.0)</f>
        <v>32</v>
      </c>
      <c r="G157" s="96"/>
      <c r="H157" s="96">
        <f>IFERROR(__xludf.DUMMYFUNCTION("""COMPUTED_VALUE"""),4.0)</f>
        <v>4</v>
      </c>
      <c r="I157" s="96">
        <f>IFERROR(__xludf.DUMMYFUNCTION("""COMPUTED_VALUE"""),0.0)</f>
        <v>0</v>
      </c>
      <c r="J157" s="96">
        <f>IFERROR(__xludf.DUMMYFUNCTION("""COMPUTED_VALUE"""),780.0)</f>
        <v>780</v>
      </c>
      <c r="K157" s="96">
        <f>IFERROR(__xludf.DUMMYFUNCTION("""COMPUTED_VALUE"""),8.0)</f>
        <v>8</v>
      </c>
      <c r="L157" s="96">
        <f>IFERROR(__xludf.DUMMYFUNCTION("""COMPUTED_VALUE"""),0.0)</f>
        <v>0</v>
      </c>
      <c r="M157" s="96">
        <f>IFERROR(__xludf.DUMMYFUNCTION("""COMPUTED_VALUE"""),4.0)</f>
        <v>4</v>
      </c>
      <c r="N157" s="96">
        <f>IFERROR(__xludf.DUMMYFUNCTION("""COMPUTED_VALUE"""),0.0)</f>
        <v>0</v>
      </c>
      <c r="O157" s="96"/>
      <c r="P157" s="129">
        <f>IFERROR(__xludf.DUMMYFUNCTION("""COMPUTED_VALUE"""),252.0)</f>
        <v>252</v>
      </c>
      <c r="Q157" s="99">
        <f>IFERROR(__xludf.DUMMYFUNCTION("""COMPUTED_VALUE"""),196560.0)</f>
        <v>196560</v>
      </c>
      <c r="R157" s="99">
        <f>IFERROR(__xludf.DUMMYFUNCTION("""COMPUTED_VALUE"""),1003440.0)</f>
        <v>1003440</v>
      </c>
    </row>
    <row r="158">
      <c r="B158" s="96">
        <f>IFERROR(__xludf.DUMMYFUNCTION("""COMPUTED_VALUE"""),5.0)</f>
        <v>5</v>
      </c>
      <c r="C158" s="98">
        <f>IFERROR(__xludf.DUMMYFUNCTION("""COMPUTED_VALUE"""),44036.0)</f>
        <v>44036</v>
      </c>
      <c r="D158" s="96" t="str">
        <f>IFERROR(__xludf.DUMMYFUNCTION("""COMPUTED_VALUE"""),"JAMES AKAN")</f>
        <v>JAMES AKAN</v>
      </c>
      <c r="E158" s="96">
        <f>IFERROR(__xludf.DUMMYFUNCTION("""COMPUTED_VALUE"""),198.0)</f>
        <v>198</v>
      </c>
      <c r="F158" s="96">
        <f>IFERROR(__xludf.DUMMYFUNCTION("""COMPUTED_VALUE"""),24.0)</f>
        <v>24</v>
      </c>
      <c r="G158" s="96"/>
      <c r="H158" s="96">
        <f>IFERROR(__xludf.DUMMYFUNCTION("""COMPUTED_VALUE"""),3.0)</f>
        <v>3</v>
      </c>
      <c r="I158" s="96">
        <f>IFERROR(__xludf.DUMMYFUNCTION("""COMPUTED_VALUE"""),0.0)</f>
        <v>0</v>
      </c>
      <c r="J158" s="96">
        <f>IFERROR(__xludf.DUMMYFUNCTION("""COMPUTED_VALUE"""),780.0)</f>
        <v>780</v>
      </c>
      <c r="K158" s="96">
        <f>IFERROR(__xludf.DUMMYFUNCTION("""COMPUTED_VALUE"""),8.0)</f>
        <v>8</v>
      </c>
      <c r="L158" s="96">
        <f>IFERROR(__xludf.DUMMYFUNCTION("""COMPUTED_VALUE"""),0.0)</f>
        <v>0</v>
      </c>
      <c r="M158" s="96">
        <f>IFERROR(__xludf.DUMMYFUNCTION("""COMPUTED_VALUE"""),3.0)</f>
        <v>3</v>
      </c>
      <c r="N158" s="96">
        <f>IFERROR(__xludf.DUMMYFUNCTION("""COMPUTED_VALUE"""),6.0)</f>
        <v>6</v>
      </c>
      <c r="O158" s="96"/>
      <c r="P158" s="129">
        <f>IFERROR(__xludf.DUMMYFUNCTION("""COMPUTED_VALUE"""),195.0)</f>
        <v>195</v>
      </c>
      <c r="Q158" s="99">
        <f>IFERROR(__xludf.DUMMYFUNCTION("""COMPUTED_VALUE"""),152100.0)</f>
        <v>152100</v>
      </c>
      <c r="R158" s="99">
        <f>IFERROR(__xludf.DUMMYFUNCTION("""COMPUTED_VALUE"""),607500.0)</f>
        <v>607500</v>
      </c>
    </row>
    <row r="159">
      <c r="B159" s="96">
        <f>IFERROR(__xludf.DUMMYFUNCTION("""COMPUTED_VALUE"""),2.0)</f>
        <v>2</v>
      </c>
      <c r="C159" s="98">
        <f>IFERROR(__xludf.DUMMYFUNCTION("""COMPUTED_VALUE"""),44040.0)</f>
        <v>44040</v>
      </c>
      <c r="D159" s="96" t="str">
        <f>IFERROR(__xludf.DUMMYFUNCTION("""COMPUTED_VALUE"""),"MAXWELL AGRO OBI")</f>
        <v>MAXWELL AGRO OBI</v>
      </c>
      <c r="E159" s="96">
        <f>IFERROR(__xludf.DUMMYFUNCTION("""COMPUTED_VALUE"""),65.0)</f>
        <v>65</v>
      </c>
      <c r="F159" s="96">
        <f>IFERROR(__xludf.DUMMYFUNCTION("""COMPUTED_VALUE"""),8.0)</f>
        <v>8</v>
      </c>
      <c r="G159" s="96"/>
      <c r="H159" s="96">
        <f>IFERROR(__xludf.DUMMYFUNCTION("""COMPUTED_VALUE"""),1.0)</f>
        <v>1</v>
      </c>
      <c r="I159" s="96">
        <f>IFERROR(__xludf.DUMMYFUNCTION("""COMPUTED_VALUE"""),0.0)</f>
        <v>0</v>
      </c>
      <c r="J159" s="96">
        <f>IFERROR(__xludf.DUMMYFUNCTION("""COMPUTED_VALUE"""),780.0)</f>
        <v>780</v>
      </c>
      <c r="K159" s="96">
        <f>IFERROR(__xludf.DUMMYFUNCTION("""COMPUTED_VALUE"""),8.0)</f>
        <v>8</v>
      </c>
      <c r="L159" s="96">
        <f>IFERROR(__xludf.DUMMYFUNCTION("""COMPUTED_VALUE"""),0.0)</f>
        <v>0</v>
      </c>
      <c r="M159" s="96">
        <f>IFERROR(__xludf.DUMMYFUNCTION("""COMPUTED_VALUE"""),1.0)</f>
        <v>1</v>
      </c>
      <c r="N159" s="96">
        <f>IFERROR(__xludf.DUMMYFUNCTION("""COMPUTED_VALUE"""),0.0)</f>
        <v>0</v>
      </c>
      <c r="O159" s="96"/>
      <c r="P159" s="129">
        <f>IFERROR(__xludf.DUMMYFUNCTION("""COMPUTED_VALUE"""),64.0)</f>
        <v>64</v>
      </c>
      <c r="Q159" s="99">
        <f>IFERROR(__xludf.DUMMYFUNCTION("""COMPUTED_VALUE"""),49920.0)</f>
        <v>49920</v>
      </c>
      <c r="R159" s="99">
        <f>IFERROR(__xludf.DUMMYFUNCTION("""COMPUTED_VALUE"""),450080.0)</f>
        <v>450080</v>
      </c>
    </row>
    <row r="160">
      <c r="B160" s="96">
        <f>IFERROR(__xludf.DUMMYFUNCTION("""COMPUTED_VALUE"""),4.0)</f>
        <v>4</v>
      </c>
      <c r="C160" s="98">
        <f>IFERROR(__xludf.DUMMYFUNCTION("""COMPUTED_VALUE"""),44037.0)</f>
        <v>44037</v>
      </c>
      <c r="D160" s="96" t="str">
        <f>IFERROR(__xludf.DUMMYFUNCTION("""COMPUTED_VALUE"""),"REMMY BODES")</f>
        <v>REMMY BODES</v>
      </c>
      <c r="E160" s="96">
        <f>IFERROR(__xludf.DUMMYFUNCTION("""COMPUTED_VALUE"""),125.0)</f>
        <v>125</v>
      </c>
      <c r="F160" s="96">
        <f>IFERROR(__xludf.DUMMYFUNCTION("""COMPUTED_VALUE"""),16.0)</f>
        <v>16</v>
      </c>
      <c r="G160" s="96"/>
      <c r="H160" s="96">
        <f>IFERROR(__xludf.DUMMYFUNCTION("""COMPUTED_VALUE"""),2.0)</f>
        <v>2</v>
      </c>
      <c r="I160" s="96">
        <f>IFERROR(__xludf.DUMMYFUNCTION("""COMPUTED_VALUE"""),0.0)</f>
        <v>0</v>
      </c>
      <c r="J160" s="96">
        <f>IFERROR(__xludf.DUMMYFUNCTION("""COMPUTED_VALUE"""),780.0)</f>
        <v>780</v>
      </c>
      <c r="K160" s="96">
        <f>IFERROR(__xludf.DUMMYFUNCTION("""COMPUTED_VALUE"""),8.0)</f>
        <v>8</v>
      </c>
      <c r="L160" s="96">
        <f>IFERROR(__xludf.DUMMYFUNCTION("""COMPUTED_VALUE"""),0.0)</f>
        <v>0</v>
      </c>
      <c r="M160" s="96">
        <f>IFERROR(__xludf.DUMMYFUNCTION("""COMPUTED_VALUE"""),1.0)</f>
        <v>1</v>
      </c>
      <c r="N160" s="96">
        <f>IFERROR(__xludf.DUMMYFUNCTION("""COMPUTED_VALUE"""),60.0)</f>
        <v>60</v>
      </c>
      <c r="O160" s="96"/>
      <c r="P160" s="129">
        <f>IFERROR(__xludf.DUMMYFUNCTION("""COMPUTED_VALUE"""),123.0)</f>
        <v>123</v>
      </c>
      <c r="Q160" s="99">
        <f>IFERROR(__xludf.DUMMYFUNCTION("""COMPUTED_VALUE"""),95940.0)</f>
        <v>95940</v>
      </c>
      <c r="R160" s="99">
        <f>IFERROR(__xludf.DUMMYFUNCTION("""COMPUTED_VALUE"""),924060.0)</f>
        <v>924060</v>
      </c>
    </row>
    <row r="161">
      <c r="B161" s="96">
        <f>IFERROR(__xludf.DUMMYFUNCTION("""COMPUTED_VALUE"""),8.0)</f>
        <v>8</v>
      </c>
      <c r="C161" s="98">
        <f>IFERROR(__xludf.DUMMYFUNCTION("""COMPUTED_VALUE"""),44039.0)</f>
        <v>44039</v>
      </c>
      <c r="D161" s="96" t="str">
        <f>IFERROR(__xludf.DUMMYFUNCTION("""COMPUTED_VALUE"""),"NDOMA BODE I.D")</f>
        <v>NDOMA BODE I.D</v>
      </c>
      <c r="E161" s="96">
        <f>IFERROR(__xludf.DUMMYFUNCTION("""COMPUTED_VALUE"""),389.0)</f>
        <v>389</v>
      </c>
      <c r="F161" s="96">
        <f>IFERROR(__xludf.DUMMYFUNCTION("""COMPUTED_VALUE"""),41.0)</f>
        <v>41</v>
      </c>
      <c r="G161" s="96"/>
      <c r="H161" s="96">
        <f>IFERROR(__xludf.DUMMYFUNCTION("""COMPUTED_VALUE"""),5.0)</f>
        <v>5</v>
      </c>
      <c r="I161" s="96">
        <f>IFERROR(__xludf.DUMMYFUNCTION("""COMPUTED_VALUE"""),0.0)</f>
        <v>0</v>
      </c>
      <c r="J161" s="96">
        <f>IFERROR(__xludf.DUMMYFUNCTION("""COMPUTED_VALUE"""),780.0)</f>
        <v>780</v>
      </c>
      <c r="K161" s="96">
        <f>IFERROR(__xludf.DUMMYFUNCTION("""COMPUTED_VALUE"""),8.2)</f>
        <v>8.2</v>
      </c>
      <c r="L161" s="96">
        <f>IFERROR(__xludf.DUMMYFUNCTION("""COMPUTED_VALUE"""),1.0)</f>
        <v>1</v>
      </c>
      <c r="M161" s="96">
        <f>IFERROR(__xludf.DUMMYFUNCTION("""COMPUTED_VALUE"""),6.0)</f>
        <v>6</v>
      </c>
      <c r="N161" s="96">
        <f>IFERROR(__xludf.DUMMYFUNCTION("""COMPUTED_VALUE"""),4.0)</f>
        <v>4</v>
      </c>
      <c r="O161" s="96"/>
      <c r="P161" s="129">
        <f>IFERROR(__xludf.DUMMYFUNCTION("""COMPUTED_VALUE"""),383.0)</f>
        <v>383</v>
      </c>
      <c r="Q161" s="99">
        <f>IFERROR(__xludf.DUMMYFUNCTION("""COMPUTED_VALUE"""),298740.0)</f>
        <v>298740</v>
      </c>
      <c r="R161" s="99">
        <f>IFERROR(__xludf.DUMMYFUNCTION("""COMPUTED_VALUE"""),704700.0)</f>
        <v>704700</v>
      </c>
    </row>
    <row r="162">
      <c r="B162" s="96">
        <f>IFERROR(__xludf.DUMMYFUNCTION("""COMPUTED_VALUE"""),3.0)</f>
        <v>3</v>
      </c>
      <c r="C162" s="98">
        <f>IFERROR(__xludf.DUMMYFUNCTION("""COMPUTED_VALUE"""),44039.0)</f>
        <v>44039</v>
      </c>
      <c r="D162" s="96" t="str">
        <f>IFERROR(__xludf.DUMMYFUNCTION("""COMPUTED_VALUE"""),"BOSURU  BOSURU")</f>
        <v>BOSURU  BOSURU</v>
      </c>
      <c r="E162" s="96">
        <f>IFERROR(__xludf.DUMMYFUNCTION("""COMPUTED_VALUE"""),222.0)</f>
        <v>222</v>
      </c>
      <c r="F162" s="96">
        <f>IFERROR(__xludf.DUMMYFUNCTION("""COMPUTED_VALUE"""),24.0)</f>
        <v>24</v>
      </c>
      <c r="G162" s="96"/>
      <c r="H162" s="96">
        <f>IFERROR(__xludf.DUMMYFUNCTION("""COMPUTED_VALUE"""),3.0)</f>
        <v>3</v>
      </c>
      <c r="I162" s="96"/>
      <c r="J162" s="96">
        <f>IFERROR(__xludf.DUMMYFUNCTION("""COMPUTED_VALUE"""),780.0)</f>
        <v>780</v>
      </c>
      <c r="K162" s="96">
        <f>IFERROR(__xludf.DUMMYFUNCTION("""COMPUTED_VALUE"""),8.0)</f>
        <v>8</v>
      </c>
      <c r="L162" s="96">
        <f>IFERROR(__xludf.DUMMYFUNCTION("""COMPUTED_VALUE"""),0.0)</f>
        <v>0</v>
      </c>
      <c r="M162" s="96">
        <f>IFERROR(__xludf.DUMMYFUNCTION("""COMPUTED_VALUE"""),3.0)</f>
        <v>3</v>
      </c>
      <c r="N162" s="96">
        <f>IFERROR(__xludf.DUMMYFUNCTION("""COMPUTED_VALUE"""),30.0)</f>
        <v>30</v>
      </c>
      <c r="O162" s="96"/>
      <c r="P162" s="129">
        <f>IFERROR(__xludf.DUMMYFUNCTION("""COMPUTED_VALUE"""),219.0)</f>
        <v>219</v>
      </c>
      <c r="Q162" s="99">
        <f>IFERROR(__xludf.DUMMYFUNCTION("""COMPUTED_VALUE"""),170820.0)</f>
        <v>170820</v>
      </c>
      <c r="R162" s="99">
        <f>IFERROR(__xludf.DUMMYFUNCTION("""COMPUTED_VALUE"""),1029180.0)</f>
        <v>1029180</v>
      </c>
    </row>
    <row r="163">
      <c r="B163" s="96">
        <f>IFERROR(__xludf.DUMMYFUNCTION("""COMPUTED_VALUE"""),3.0)</f>
        <v>3</v>
      </c>
      <c r="C163" s="98">
        <f>IFERROR(__xludf.DUMMYFUNCTION("""COMPUTED_VALUE"""),44039.0)</f>
        <v>44039</v>
      </c>
      <c r="D163" s="96" t="str">
        <f>IFERROR(__xludf.DUMMYFUNCTION("""COMPUTED_VALUE"""),"PRINNESS")</f>
        <v>PRINNESS</v>
      </c>
      <c r="E163" s="96">
        <f>IFERROR(__xludf.DUMMYFUNCTION("""COMPUTED_VALUE"""),114.0)</f>
        <v>114</v>
      </c>
      <c r="F163" s="96">
        <f>IFERROR(__xludf.DUMMYFUNCTION("""COMPUTED_VALUE"""),21.0)</f>
        <v>21</v>
      </c>
      <c r="G163" s="96"/>
      <c r="H163" s="96">
        <f>IFERROR(__xludf.DUMMYFUNCTION("""COMPUTED_VALUE"""),2.0)</f>
        <v>2</v>
      </c>
      <c r="I163" s="96"/>
      <c r="J163" s="96">
        <f>IFERROR(__xludf.DUMMYFUNCTION("""COMPUTED_VALUE"""),780.0)</f>
        <v>780</v>
      </c>
      <c r="K163" s="96">
        <f>IFERROR(__xludf.DUMMYFUNCTION("""COMPUTED_VALUE"""),10.5)</f>
        <v>10.5</v>
      </c>
      <c r="L163" s="96">
        <f>IFERROR(__xludf.DUMMYFUNCTION("""COMPUTED_VALUE"""),3.0)</f>
        <v>3</v>
      </c>
      <c r="M163" s="96">
        <f>IFERROR(__xludf.DUMMYFUNCTION("""COMPUTED_VALUE"""),1.0)</f>
        <v>1</v>
      </c>
      <c r="N163" s="96">
        <f>IFERROR(__xludf.DUMMYFUNCTION("""COMPUTED_VALUE"""),46.0)</f>
        <v>46</v>
      </c>
      <c r="O163" s="96"/>
      <c r="P163" s="129">
        <f>IFERROR(__xludf.DUMMYFUNCTION("""COMPUTED_VALUE"""),109.0)</f>
        <v>109</v>
      </c>
      <c r="Q163" s="99">
        <f>IFERROR(__xludf.DUMMYFUNCTION("""COMPUTED_VALUE"""),85020.0)</f>
        <v>85020</v>
      </c>
      <c r="R163" s="99">
        <f>IFERROR(__xludf.DUMMYFUNCTION("""COMPUTED_VALUE"""),414980.0)</f>
        <v>414980</v>
      </c>
    </row>
    <row r="164">
      <c r="B164" s="96">
        <f>IFERROR(__xludf.DUMMYFUNCTION("""COMPUTED_VALUE"""),6.0)</f>
        <v>6</v>
      </c>
      <c r="C164" s="98">
        <f>IFERROR(__xludf.DUMMYFUNCTION("""COMPUTED_VALUE"""),44041.0)</f>
        <v>44041</v>
      </c>
      <c r="D164" s="96" t="str">
        <f>IFERROR(__xludf.DUMMYFUNCTION("""COMPUTED_VALUE"""),"JAMES AKAN")</f>
        <v>JAMES AKAN</v>
      </c>
      <c r="E164" s="96">
        <f>IFERROR(__xludf.DUMMYFUNCTION("""COMPUTED_VALUE"""),193.0)</f>
        <v>193</v>
      </c>
      <c r="F164" s="96">
        <f>IFERROR(__xludf.DUMMYFUNCTION("""COMPUTED_VALUE"""),24.0)</f>
        <v>24</v>
      </c>
      <c r="G164" s="96"/>
      <c r="H164" s="96">
        <f>IFERROR(__xludf.DUMMYFUNCTION("""COMPUTED_VALUE"""),3.0)</f>
        <v>3</v>
      </c>
      <c r="I164" s="96"/>
      <c r="J164" s="96">
        <f>IFERROR(__xludf.DUMMYFUNCTION("""COMPUTED_VALUE"""),780.0)</f>
        <v>780</v>
      </c>
      <c r="K164" s="96">
        <f>IFERROR(__xludf.DUMMYFUNCTION("""COMPUTED_VALUE"""),8.0)</f>
        <v>8</v>
      </c>
      <c r="L164" s="96">
        <f>IFERROR(__xludf.DUMMYFUNCTION("""COMPUTED_VALUE"""),0.0)</f>
        <v>0</v>
      </c>
      <c r="M164" s="96">
        <f>IFERROR(__xludf.DUMMYFUNCTION("""COMPUTED_VALUE"""),3.0)</f>
        <v>3</v>
      </c>
      <c r="N164" s="96">
        <f>IFERROR(__xludf.DUMMYFUNCTION("""COMPUTED_VALUE"""),0.0)</f>
        <v>0</v>
      </c>
      <c r="O164" s="96"/>
      <c r="P164" s="129">
        <f>IFERROR(__xludf.DUMMYFUNCTION("""COMPUTED_VALUE"""),190.0)</f>
        <v>190</v>
      </c>
      <c r="Q164" s="99">
        <f>IFERROR(__xludf.DUMMYFUNCTION("""COMPUTED_VALUE"""),148200.0)</f>
        <v>148200</v>
      </c>
      <c r="R164" s="99">
        <f>IFERROR(__xludf.DUMMYFUNCTION("""COMPUTED_VALUE"""),459300.0)</f>
        <v>459300</v>
      </c>
    </row>
    <row r="165">
      <c r="B165" s="96">
        <f>IFERROR(__xludf.DUMMYFUNCTION("""COMPUTED_VALUE"""),9.0)</f>
        <v>9</v>
      </c>
      <c r="C165" s="98">
        <f>IFERROR(__xludf.DUMMYFUNCTION("""COMPUTED_VALUE"""),44045.0)</f>
        <v>44045</v>
      </c>
      <c r="D165" s="96" t="str">
        <f>IFERROR(__xludf.DUMMYFUNCTION("""COMPUTED_VALUE"""),"NDOMA BODE I.D")</f>
        <v>NDOMA BODE I.D</v>
      </c>
      <c r="E165" s="96">
        <f>IFERROR(__xludf.DUMMYFUNCTION("""COMPUTED_VALUE"""),192.0)</f>
        <v>192</v>
      </c>
      <c r="F165" s="96">
        <f>IFERROR(__xludf.DUMMYFUNCTION("""COMPUTED_VALUE"""),24.0)</f>
        <v>24</v>
      </c>
      <c r="G165" s="96"/>
      <c r="H165" s="96">
        <f>IFERROR(__xludf.DUMMYFUNCTION("""COMPUTED_VALUE"""),3.0)</f>
        <v>3</v>
      </c>
      <c r="I165" s="96"/>
      <c r="J165" s="96">
        <f>IFERROR(__xludf.DUMMYFUNCTION("""COMPUTED_VALUE"""),780.0)</f>
        <v>780</v>
      </c>
      <c r="K165" s="96">
        <f>IFERROR(__xludf.DUMMYFUNCTION("""COMPUTED_VALUE"""),8.0)</f>
        <v>8</v>
      </c>
      <c r="L165" s="96">
        <f>IFERROR(__xludf.DUMMYFUNCTION("""COMPUTED_VALUE"""),0.0)</f>
        <v>0</v>
      </c>
      <c r="M165" s="96">
        <f>IFERROR(__xludf.DUMMYFUNCTION("""COMPUTED_VALUE"""),3.0)</f>
        <v>3</v>
      </c>
      <c r="N165" s="96">
        <f>IFERROR(__xludf.DUMMYFUNCTION("""COMPUTED_VALUE"""),0.0)</f>
        <v>0</v>
      </c>
      <c r="O165" s="96"/>
      <c r="P165" s="129">
        <f>IFERROR(__xludf.DUMMYFUNCTION("""COMPUTED_VALUE"""),189.0)</f>
        <v>189</v>
      </c>
      <c r="Q165" s="99">
        <f>IFERROR(__xludf.DUMMYFUNCTION("""COMPUTED_VALUE"""),147420.0)</f>
        <v>147420</v>
      </c>
      <c r="R165" s="99">
        <f>IFERROR(__xludf.DUMMYFUNCTION("""COMPUTED_VALUE"""),557280.0)</f>
        <v>557280</v>
      </c>
    </row>
    <row r="166">
      <c r="B166" s="96">
        <f>IFERROR(__xludf.DUMMYFUNCTION("""COMPUTED_VALUE"""),7.0)</f>
        <v>7</v>
      </c>
      <c r="C166" s="98">
        <f>IFERROR(__xludf.DUMMYFUNCTION("""COMPUTED_VALUE"""),44078.0)</f>
        <v>44078</v>
      </c>
      <c r="D166" s="96" t="str">
        <f>IFERROR(__xludf.DUMMYFUNCTION("""COMPUTED_VALUE"""),"JAMES AKAN")</f>
        <v>JAMES AKAN</v>
      </c>
      <c r="E166" s="96">
        <f>IFERROR(__xludf.DUMMYFUNCTION("""COMPUTED_VALUE"""),367.0)</f>
        <v>367</v>
      </c>
      <c r="F166" s="96">
        <f>IFERROR(__xludf.DUMMYFUNCTION("""COMPUTED_VALUE"""),43.0)</f>
        <v>43</v>
      </c>
      <c r="G166" s="96"/>
      <c r="H166" s="96">
        <f>IFERROR(__xludf.DUMMYFUNCTION("""COMPUTED_VALUE"""),5.0)</f>
        <v>5</v>
      </c>
      <c r="I166" s="96">
        <f>IFERROR(__xludf.DUMMYFUNCTION("""COMPUTED_VALUE"""),0.0)</f>
        <v>0</v>
      </c>
      <c r="J166" s="96">
        <f>IFERROR(__xludf.DUMMYFUNCTION("""COMPUTED_VALUE"""),780.0)</f>
        <v>780</v>
      </c>
      <c r="K166" s="96">
        <f>IFERROR(__xludf.DUMMYFUNCTION("""COMPUTED_VALUE"""),8.6)</f>
        <v>8.6</v>
      </c>
      <c r="L166" s="96">
        <f>IFERROR(__xludf.DUMMYFUNCTION("""COMPUTED_VALUE"""),2.0)</f>
        <v>2</v>
      </c>
      <c r="M166" s="96">
        <f>IFERROR(__xludf.DUMMYFUNCTION("""COMPUTED_VALUE"""),5.0)</f>
        <v>5</v>
      </c>
      <c r="N166" s="96">
        <f>IFERROR(__xludf.DUMMYFUNCTION("""COMPUTED_VALUE"""),45.0)</f>
        <v>45</v>
      </c>
      <c r="O166" s="96"/>
      <c r="P166" s="129">
        <f>IFERROR(__xludf.DUMMYFUNCTION("""COMPUTED_VALUE"""),360.0)</f>
        <v>360</v>
      </c>
      <c r="Q166" s="99">
        <f>IFERROR(__xludf.DUMMYFUNCTION("""COMPUTED_VALUE"""),280800.0)</f>
        <v>280800</v>
      </c>
      <c r="R166" s="99">
        <f>IFERROR(__xludf.DUMMYFUNCTION("""COMPUTED_VALUE"""),178500.0)</f>
        <v>178500</v>
      </c>
    </row>
    <row r="167">
      <c r="B167" s="96">
        <f>IFERROR(__xludf.DUMMYFUNCTION("""COMPUTED_VALUE"""),3.0)</f>
        <v>3</v>
      </c>
      <c r="C167" s="98">
        <f>IFERROR(__xludf.DUMMYFUNCTION("""COMPUTED_VALUE"""),44078.0)</f>
        <v>44078</v>
      </c>
      <c r="D167" s="96" t="str">
        <f>IFERROR(__xludf.DUMMYFUNCTION("""COMPUTED_VALUE"""),"MAXWELL AGRO OBI")</f>
        <v>MAXWELL AGRO OBI</v>
      </c>
      <c r="E167" s="96">
        <f>IFERROR(__xludf.DUMMYFUNCTION("""COMPUTED_VALUE"""),263.0)</f>
        <v>263</v>
      </c>
      <c r="F167" s="96">
        <f>IFERROR(__xludf.DUMMYFUNCTION("""COMPUTED_VALUE"""),43.5)</f>
        <v>43.5</v>
      </c>
      <c r="G167" s="96"/>
      <c r="H167" s="96">
        <f>IFERROR(__xludf.DUMMYFUNCTION("""COMPUTED_VALUE"""),4.0)</f>
        <v>4</v>
      </c>
      <c r="I167" s="96"/>
      <c r="J167" s="96">
        <f>IFERROR(__xludf.DUMMYFUNCTION("""COMPUTED_VALUE"""),780.0)</f>
        <v>780</v>
      </c>
      <c r="K167" s="96">
        <f>IFERROR(__xludf.DUMMYFUNCTION("""COMPUTED_VALUE"""),10.88)</f>
        <v>10.88</v>
      </c>
      <c r="L167" s="96">
        <f>IFERROR(__xludf.DUMMYFUNCTION("""COMPUTED_VALUE"""),7.0)</f>
        <v>7</v>
      </c>
      <c r="M167" s="96">
        <f>IFERROR(__xludf.DUMMYFUNCTION("""COMPUTED_VALUE"""),4.0)</f>
        <v>4</v>
      </c>
      <c r="N167" s="96">
        <f>IFERROR(__xludf.DUMMYFUNCTION("""COMPUTED_VALUE"""),0.0)</f>
        <v>0</v>
      </c>
      <c r="O167" s="96"/>
      <c r="P167" s="129">
        <f>IFERROR(__xludf.DUMMYFUNCTION("""COMPUTED_VALUE"""),252.0)</f>
        <v>252</v>
      </c>
      <c r="Q167" s="99">
        <f>IFERROR(__xludf.DUMMYFUNCTION("""COMPUTED_VALUE"""),196560.0)</f>
        <v>196560</v>
      </c>
      <c r="R167" s="99">
        <f>IFERROR(__xludf.DUMMYFUNCTION("""COMPUTED_VALUE"""),253520.0)</f>
        <v>253520</v>
      </c>
    </row>
    <row r="168">
      <c r="B168" s="96">
        <f>IFERROR(__xludf.DUMMYFUNCTION("""COMPUTED_VALUE"""),13.0)</f>
        <v>13</v>
      </c>
      <c r="C168" s="98">
        <f>IFERROR(__xludf.DUMMYFUNCTION("""COMPUTED_VALUE"""),44078.0)</f>
        <v>44078</v>
      </c>
      <c r="D168" s="96" t="str">
        <f>IFERROR(__xludf.DUMMYFUNCTION("""COMPUTED_VALUE"""),"LYDIA HNSON ")</f>
        <v>LYDIA HNSON </v>
      </c>
      <c r="E168" s="96">
        <f>IFERROR(__xludf.DUMMYFUNCTION("""COMPUTED_VALUE"""),228.0)</f>
        <v>228</v>
      </c>
      <c r="F168" s="96">
        <f>IFERROR(__xludf.DUMMYFUNCTION("""COMPUTED_VALUE"""),32.0)</f>
        <v>32</v>
      </c>
      <c r="G168" s="96"/>
      <c r="H168" s="96">
        <f>IFERROR(__xludf.DUMMYFUNCTION("""COMPUTED_VALUE"""),4.0)</f>
        <v>4</v>
      </c>
      <c r="I168" s="96">
        <f>IFERROR(__xludf.DUMMYFUNCTION("""COMPUTED_VALUE"""),4.0)</f>
        <v>4</v>
      </c>
      <c r="J168" s="96">
        <f>IFERROR(__xludf.DUMMYFUNCTION("""COMPUTED_VALUE"""),800.0)</f>
        <v>800</v>
      </c>
      <c r="K168" s="96">
        <f>IFERROR(__xludf.DUMMYFUNCTION("""COMPUTED_VALUE"""),8.0)</f>
        <v>8</v>
      </c>
      <c r="L168" s="96">
        <f>IFERROR(__xludf.DUMMYFUNCTION("""COMPUTED_VALUE"""),0.0)</f>
        <v>0</v>
      </c>
      <c r="M168" s="96">
        <f>IFERROR(__xludf.DUMMYFUNCTION("""COMPUTED_VALUE"""),3.0)</f>
        <v>3</v>
      </c>
      <c r="N168" s="96">
        <f>IFERROR(__xludf.DUMMYFUNCTION("""COMPUTED_VALUE"""),39.0)</f>
        <v>39</v>
      </c>
      <c r="O168" s="96"/>
      <c r="P168" s="129">
        <f>IFERROR(__xludf.DUMMYFUNCTION("""COMPUTED_VALUE"""),228.0)</f>
        <v>228</v>
      </c>
      <c r="Q168" s="99">
        <f>IFERROR(__xludf.DUMMYFUNCTION("""COMPUTED_VALUE"""),182400.0)</f>
        <v>182400</v>
      </c>
      <c r="R168" s="99">
        <f>IFERROR(__xludf.DUMMYFUNCTION("""COMPUTED_VALUE"""),3094560.0)</f>
        <v>3094560</v>
      </c>
    </row>
    <row r="169">
      <c r="B169" s="96">
        <f>IFERROR(__xludf.DUMMYFUNCTION("""COMPUTED_VALUE"""),2.0)</f>
        <v>2</v>
      </c>
      <c r="C169" s="98">
        <f>IFERROR(__xludf.DUMMYFUNCTION("""COMPUTED_VALUE"""),44078.0)</f>
        <v>44078</v>
      </c>
      <c r="D169" s="96" t="str">
        <f>IFERROR(__xludf.DUMMYFUNCTION("""COMPUTED_VALUE"""),"EUGENE")</f>
        <v>EUGENE</v>
      </c>
      <c r="E169" s="96">
        <f>IFERROR(__xludf.DUMMYFUNCTION("""COMPUTED_VALUE"""),384.0)</f>
        <v>384</v>
      </c>
      <c r="F169" s="96">
        <f>IFERROR(__xludf.DUMMYFUNCTION("""COMPUTED_VALUE"""),18.0)</f>
        <v>18</v>
      </c>
      <c r="G169" s="96"/>
      <c r="H169" s="96">
        <f>IFERROR(__xludf.DUMMYFUNCTION("""COMPUTED_VALUE"""),2.0)</f>
        <v>2</v>
      </c>
      <c r="I169" s="96">
        <f>IFERROR(__xludf.DUMMYFUNCTION("""COMPUTED_VALUE"""),0.0)</f>
        <v>0</v>
      </c>
      <c r="J169" s="96">
        <f>IFERROR(__xludf.DUMMYFUNCTION("""COMPUTED_VALUE"""),800.0)</f>
        <v>800</v>
      </c>
      <c r="K169" s="96">
        <f>IFERROR(__xludf.DUMMYFUNCTION("""COMPUTED_VALUE"""),9.0)</f>
        <v>9</v>
      </c>
      <c r="L169" s="96">
        <f>IFERROR(__xludf.DUMMYFUNCTION("""COMPUTED_VALUE"""),4.0)</f>
        <v>4</v>
      </c>
      <c r="M169" s="96">
        <f>IFERROR(__xludf.DUMMYFUNCTION("""COMPUTED_VALUE"""),6.0)</f>
        <v>6</v>
      </c>
      <c r="N169" s="96">
        <f>IFERROR(__xludf.DUMMYFUNCTION("""COMPUTED_VALUE"""),0.0)</f>
        <v>0</v>
      </c>
      <c r="O169" s="96"/>
      <c r="P169" s="129">
        <f>IFERROR(__xludf.DUMMYFUNCTION("""COMPUTED_VALUE"""),378.0)</f>
        <v>378</v>
      </c>
      <c r="Q169" s="99">
        <f>IFERROR(__xludf.DUMMYFUNCTION("""COMPUTED_VALUE"""),302400.0)</f>
        <v>302400</v>
      </c>
      <c r="R169" s="99">
        <f>IFERROR(__xludf.DUMMYFUNCTION("""COMPUTED_VALUE"""),197600.0)</f>
        <v>197600</v>
      </c>
    </row>
    <row r="170">
      <c r="B170" s="96">
        <f>IFERROR(__xludf.DUMMYFUNCTION("""COMPUTED_VALUE"""),2.0)</f>
        <v>2</v>
      </c>
      <c r="C170" s="98">
        <f>IFERROR(__xludf.DUMMYFUNCTION("""COMPUTED_VALUE"""),44079.0)</f>
        <v>44079</v>
      </c>
      <c r="D170" s="96" t="str">
        <f>IFERROR(__xludf.DUMMYFUNCTION("""COMPUTED_VALUE"""),"EMMANUEL OKO ")</f>
        <v>EMMANUEL OKO </v>
      </c>
      <c r="E170" s="96">
        <f>IFERROR(__xludf.DUMMYFUNCTION("""COMPUTED_VALUE"""),189.0)</f>
        <v>189</v>
      </c>
      <c r="F170" s="96">
        <f>IFERROR(__xludf.DUMMYFUNCTION("""COMPUTED_VALUE"""),24.0)</f>
        <v>24</v>
      </c>
      <c r="G170" s="96"/>
      <c r="H170" s="96">
        <f>IFERROR(__xludf.DUMMYFUNCTION("""COMPUTED_VALUE"""),3.0)</f>
        <v>3</v>
      </c>
      <c r="I170" s="96">
        <f>IFERROR(__xludf.DUMMYFUNCTION("""COMPUTED_VALUE"""),3.0)</f>
        <v>3</v>
      </c>
      <c r="J170" s="96">
        <f>IFERROR(__xludf.DUMMYFUNCTION("""COMPUTED_VALUE"""),750.0)</f>
        <v>750</v>
      </c>
      <c r="K170" s="96">
        <f>IFERROR(__xludf.DUMMYFUNCTION("""COMPUTED_VALUE"""),8.0)</f>
        <v>8</v>
      </c>
      <c r="L170" s="96">
        <f>IFERROR(__xludf.DUMMYFUNCTION("""COMPUTED_VALUE"""),0.0)</f>
        <v>0</v>
      </c>
      <c r="M170" s="96">
        <f>IFERROR(__xludf.DUMMYFUNCTION("""COMPUTED_VALUE"""),3.0)</f>
        <v>3</v>
      </c>
      <c r="N170" s="96">
        <f>IFERROR(__xludf.DUMMYFUNCTION("""COMPUTED_VALUE"""),0.0)</f>
        <v>0</v>
      </c>
      <c r="O170" s="96"/>
      <c r="P170" s="129">
        <f>IFERROR(__xludf.DUMMYFUNCTION("""COMPUTED_VALUE"""),189.0)</f>
        <v>189</v>
      </c>
      <c r="Q170" s="99">
        <f>IFERROR(__xludf.DUMMYFUNCTION("""COMPUTED_VALUE"""),141750.0)</f>
        <v>141750</v>
      </c>
      <c r="R170" s="99">
        <f>IFERROR(__xludf.DUMMYFUNCTION("""COMPUTED_VALUE"""),93250.0)</f>
        <v>93250</v>
      </c>
    </row>
    <row r="171">
      <c r="B171" s="96">
        <f>IFERROR(__xludf.DUMMYFUNCTION("""COMPUTED_VALUE"""),7.0)</f>
        <v>7</v>
      </c>
      <c r="C171" s="98">
        <f>IFERROR(__xludf.DUMMYFUNCTION("""COMPUTED_VALUE"""),44039.0)</f>
        <v>44039</v>
      </c>
      <c r="D171" s="96" t="str">
        <f>IFERROR(__xludf.DUMMYFUNCTION("""COMPUTED_VALUE"""),"CORNWELL")</f>
        <v>CORNWELL</v>
      </c>
      <c r="E171" s="96">
        <f>IFERROR(__xludf.DUMMYFUNCTION("""COMPUTED_VALUE"""),17903.0)</f>
        <v>17903</v>
      </c>
      <c r="F171" s="96">
        <f>IFERROR(__xludf.DUMMYFUNCTION("""COMPUTED_VALUE"""),1464.0)</f>
        <v>1464</v>
      </c>
      <c r="G171" s="96"/>
      <c r="H171" s="96">
        <f>IFERROR(__xludf.DUMMYFUNCTION("""COMPUTED_VALUE"""),183.0)</f>
        <v>183</v>
      </c>
      <c r="I171" s="96">
        <f>IFERROR(__xludf.DUMMYFUNCTION("""COMPUTED_VALUE"""),183.0)</f>
        <v>183</v>
      </c>
      <c r="J171" s="96">
        <f>IFERROR(__xludf.DUMMYFUNCTION("""COMPUTED_VALUE"""),762.44)</f>
        <v>762.44</v>
      </c>
      <c r="K171" s="96">
        <f>IFERROR(__xludf.DUMMYFUNCTION("""COMPUTED_VALUE"""),8.0)</f>
        <v>8</v>
      </c>
      <c r="L171" s="96">
        <f>IFERROR(__xludf.DUMMYFUNCTION("""COMPUTED_VALUE"""),0.0)</f>
        <v>0</v>
      </c>
      <c r="M171" s="96">
        <f>IFERROR(__xludf.DUMMYFUNCTION("""COMPUTED_VALUE"""),284.0)</f>
        <v>284</v>
      </c>
      <c r="N171" s="96">
        <f>IFERROR(__xludf.DUMMYFUNCTION("""COMPUTED_VALUE"""),11.0)</f>
        <v>11</v>
      </c>
      <c r="O171" s="96"/>
      <c r="P171" s="129">
        <f>IFERROR(__xludf.DUMMYFUNCTION("""COMPUTED_VALUE"""),17903.0)</f>
        <v>17903</v>
      </c>
      <c r="Q171" s="99">
        <f>IFERROR(__xludf.DUMMYFUNCTION("""COMPUTED_VALUE"""),1.365E7)</f>
        <v>13650000</v>
      </c>
      <c r="R171" s="99">
        <f>IFERROR(__xludf.DUMMYFUNCTION("""COMPUTED_VALUE"""),1754440.0)</f>
        <v>1754440</v>
      </c>
    </row>
    <row r="172">
      <c r="B172" s="96">
        <f>IFERROR(__xludf.DUMMYFUNCTION("""COMPUTED_VALUE"""),3.0)</f>
        <v>3</v>
      </c>
      <c r="C172" s="98">
        <f>IFERROR(__xludf.DUMMYFUNCTION("""COMPUTED_VALUE"""),44048.0)</f>
        <v>44048</v>
      </c>
      <c r="D172" s="96" t="str">
        <f>IFERROR(__xludf.DUMMYFUNCTION("""COMPUTED_VALUE"""),"ALFRED ALABI")</f>
        <v>ALFRED ALABI</v>
      </c>
      <c r="E172" s="96"/>
      <c r="F172" s="96"/>
      <c r="G172" s="96"/>
      <c r="H172" s="96"/>
      <c r="I172" s="96"/>
      <c r="J172" s="96"/>
      <c r="K172" s="96"/>
      <c r="L172" s="96">
        <f>IFERROR(__xludf.DUMMYFUNCTION("""COMPUTED_VALUE"""),0.0)</f>
        <v>0</v>
      </c>
      <c r="M172" s="96">
        <f>IFERROR(__xludf.DUMMYFUNCTION("""COMPUTED_VALUE"""),0.0)</f>
        <v>0</v>
      </c>
      <c r="N172" s="96">
        <f>IFERROR(__xludf.DUMMYFUNCTION("""COMPUTED_VALUE"""),0.0)</f>
        <v>0</v>
      </c>
      <c r="O172" s="96">
        <f>IFERROR(__xludf.DUMMYFUNCTION("""COMPUTED_VALUE"""),5000.0)</f>
        <v>5000</v>
      </c>
      <c r="P172" s="129">
        <f>IFERROR(__xludf.DUMMYFUNCTION("""COMPUTED_VALUE"""),0.0)</f>
        <v>0</v>
      </c>
      <c r="Q172" s="99"/>
      <c r="R172" s="99">
        <f>IFERROR(__xludf.DUMMYFUNCTION("""COMPUTED_VALUE"""),490000.0)</f>
        <v>490000</v>
      </c>
    </row>
    <row r="173">
      <c r="B173" s="96">
        <f>IFERROR(__xludf.DUMMYFUNCTION("""COMPUTED_VALUE"""),11.0)</f>
        <v>11</v>
      </c>
      <c r="C173" s="98">
        <f>IFERROR(__xludf.DUMMYFUNCTION("""COMPUTED_VALUE"""),44049.0)</f>
        <v>44049</v>
      </c>
      <c r="D173" s="96" t="str">
        <f>IFERROR(__xludf.DUMMYFUNCTION("""COMPUTED_VALUE"""),"CONNECT")</f>
        <v>CONNECT</v>
      </c>
      <c r="E173" s="96"/>
      <c r="F173" s="96"/>
      <c r="G173" s="96"/>
      <c r="H173" s="96"/>
      <c r="I173" s="96"/>
      <c r="J173" s="96"/>
      <c r="K173" s="96"/>
      <c r="L173" s="96">
        <f>IFERROR(__xludf.DUMMYFUNCTION("""COMPUTED_VALUE"""),0.0)</f>
        <v>0</v>
      </c>
      <c r="M173" s="96">
        <f>IFERROR(__xludf.DUMMYFUNCTION("""COMPUTED_VALUE"""),0.0)</f>
        <v>0</v>
      </c>
      <c r="N173" s="96">
        <f>IFERROR(__xludf.DUMMYFUNCTION("""COMPUTED_VALUE"""),0.0)</f>
        <v>0</v>
      </c>
      <c r="O173" s="96">
        <f>IFERROR(__xludf.DUMMYFUNCTION("""COMPUTED_VALUE"""),500000.0)</f>
        <v>500000</v>
      </c>
      <c r="P173" s="129">
        <f>IFERROR(__xludf.DUMMYFUNCTION("""COMPUTED_VALUE"""),0.0)</f>
        <v>0</v>
      </c>
      <c r="Q173" s="99"/>
      <c r="R173" s="99">
        <f>IFERROR(__xludf.DUMMYFUNCTION("""COMPUTED_VALUE"""),2162400.0)</f>
        <v>2162400</v>
      </c>
    </row>
    <row r="174">
      <c r="B174" s="96">
        <f>IFERROR(__xludf.DUMMYFUNCTION("""COMPUTED_VALUE"""),12.0)</f>
        <v>12</v>
      </c>
      <c r="C174" s="98">
        <f>IFERROR(__xludf.DUMMYFUNCTION("""COMPUTED_VALUE"""),44049.0)</f>
        <v>44049</v>
      </c>
      <c r="D174" s="96" t="str">
        <f>IFERROR(__xludf.DUMMYFUNCTION("""COMPUTED_VALUE"""),"CONNECT")</f>
        <v>CONNECT</v>
      </c>
      <c r="E174" s="96"/>
      <c r="F174" s="96"/>
      <c r="G174" s="96"/>
      <c r="H174" s="96"/>
      <c r="I174" s="96"/>
      <c r="J174" s="96"/>
      <c r="K174" s="96"/>
      <c r="L174" s="96">
        <f>IFERROR(__xludf.DUMMYFUNCTION("""COMPUTED_VALUE"""),0.0)</f>
        <v>0</v>
      </c>
      <c r="M174" s="96">
        <f>IFERROR(__xludf.DUMMYFUNCTION("""COMPUTED_VALUE"""),0.0)</f>
        <v>0</v>
      </c>
      <c r="N174" s="96">
        <f>IFERROR(__xludf.DUMMYFUNCTION("""COMPUTED_VALUE"""),0.0)</f>
        <v>0</v>
      </c>
      <c r="O174" s="96">
        <f>IFERROR(__xludf.DUMMYFUNCTION("""COMPUTED_VALUE"""),5000.0)</f>
        <v>5000</v>
      </c>
      <c r="P174" s="129">
        <f>IFERROR(__xludf.DUMMYFUNCTION("""COMPUTED_VALUE"""),0.0)</f>
        <v>0</v>
      </c>
      <c r="Q174" s="99"/>
      <c r="R174" s="99">
        <f>IFERROR(__xludf.DUMMYFUNCTION("""COMPUTED_VALUE"""),2167400.0)</f>
        <v>2167400</v>
      </c>
    </row>
    <row r="175">
      <c r="B175" s="96">
        <f>IFERROR(__xludf.DUMMYFUNCTION("""COMPUTED_VALUE"""),11.0)</f>
        <v>11</v>
      </c>
      <c r="C175" s="98">
        <f>IFERROR(__xludf.DUMMYFUNCTION("""COMPUTED_VALUE"""),44049.0)</f>
        <v>44049</v>
      </c>
      <c r="D175" s="96" t="str">
        <f>IFERROR(__xludf.DUMMYFUNCTION("""COMPUTED_VALUE"""),"RECTOR W.")</f>
        <v>RECTOR W.</v>
      </c>
      <c r="E175" s="96"/>
      <c r="F175" s="96"/>
      <c r="G175" s="96"/>
      <c r="H175" s="96"/>
      <c r="I175" s="96"/>
      <c r="J175" s="96"/>
      <c r="K175" s="96"/>
      <c r="L175" s="96">
        <f>IFERROR(__xludf.DUMMYFUNCTION("""COMPUTED_VALUE"""),0.0)</f>
        <v>0</v>
      </c>
      <c r="M175" s="96">
        <f>IFERROR(__xludf.DUMMYFUNCTION("""COMPUTED_VALUE"""),0.0)</f>
        <v>0</v>
      </c>
      <c r="N175" s="96">
        <f>IFERROR(__xludf.DUMMYFUNCTION("""COMPUTED_VALUE"""),0.0)</f>
        <v>0</v>
      </c>
      <c r="O175" s="96">
        <f>IFERROR(__xludf.DUMMYFUNCTION("""COMPUTED_VALUE"""),111800.0)</f>
        <v>111800</v>
      </c>
      <c r="P175" s="129">
        <f>IFERROR(__xludf.DUMMYFUNCTION("""COMPUTED_VALUE"""),0.0)</f>
        <v>0</v>
      </c>
      <c r="Q175" s="99"/>
      <c r="R175" s="99">
        <f>IFERROR(__xludf.DUMMYFUNCTION("""COMPUTED_VALUE"""),1259780.0)</f>
        <v>1259780</v>
      </c>
    </row>
    <row r="176">
      <c r="B176" s="96">
        <f>IFERROR(__xludf.DUMMYFUNCTION("""COMPUTED_VALUE"""),8.0)</f>
        <v>8</v>
      </c>
      <c r="C176" s="98">
        <f>IFERROR(__xludf.DUMMYFUNCTION("""COMPUTED_VALUE"""),44049.0)</f>
        <v>44049</v>
      </c>
      <c r="D176" s="96" t="str">
        <f>IFERROR(__xludf.DUMMYFUNCTION("""COMPUTED_VALUE""")," MAXWELL AGRO")</f>
        <v> MAXWELL AGRO</v>
      </c>
      <c r="E176" s="96"/>
      <c r="F176" s="96"/>
      <c r="G176" s="96"/>
      <c r="H176" s="96"/>
      <c r="I176" s="96"/>
      <c r="J176" s="96"/>
      <c r="K176" s="96"/>
      <c r="L176" s="96">
        <f>IFERROR(__xludf.DUMMYFUNCTION("""COMPUTED_VALUE"""),0.0)</f>
        <v>0</v>
      </c>
      <c r="M176" s="96">
        <f>IFERROR(__xludf.DUMMYFUNCTION("""COMPUTED_VALUE"""),0.0)</f>
        <v>0</v>
      </c>
      <c r="N176" s="96">
        <f>IFERROR(__xludf.DUMMYFUNCTION("""COMPUTED_VALUE"""),0.0)</f>
        <v>0</v>
      </c>
      <c r="O176" s="96">
        <f>IFERROR(__xludf.DUMMYFUNCTION("""COMPUTED_VALUE"""),2000.0)</f>
        <v>2000</v>
      </c>
      <c r="P176" s="129">
        <f>IFERROR(__xludf.DUMMYFUNCTION("""COMPUTED_VALUE"""),0.0)</f>
        <v>0</v>
      </c>
      <c r="Q176" s="99"/>
      <c r="R176" s="99">
        <f>IFERROR(__xludf.DUMMYFUNCTION("""COMPUTED_VALUE"""),530320.0)</f>
        <v>530320</v>
      </c>
    </row>
    <row r="177">
      <c r="B177" s="96">
        <f>IFERROR(__xludf.DUMMYFUNCTION("""COMPUTED_VALUE"""),1.0)</f>
        <v>1</v>
      </c>
      <c r="C177" s="98">
        <f>IFERROR(__xludf.DUMMYFUNCTION("""COMPUTED_VALUE"""),44049.0)</f>
        <v>44049</v>
      </c>
      <c r="D177" s="96" t="str">
        <f>IFERROR(__xludf.DUMMYFUNCTION("""COMPUTED_VALUE"""),"OBIM TIWA HNSON")</f>
        <v>OBIM TIWA HNSON</v>
      </c>
      <c r="E177" s="96"/>
      <c r="F177" s="96"/>
      <c r="G177" s="96"/>
      <c r="H177" s="96"/>
      <c r="I177" s="96"/>
      <c r="J177" s="96"/>
      <c r="K177" s="96"/>
      <c r="L177" s="96">
        <f>IFERROR(__xludf.DUMMYFUNCTION("""COMPUTED_VALUE"""),0.0)</f>
        <v>0</v>
      </c>
      <c r="M177" s="96">
        <f>IFERROR(__xludf.DUMMYFUNCTION("""COMPUTED_VALUE"""),0.0)</f>
        <v>0</v>
      </c>
      <c r="N177" s="96">
        <f>IFERROR(__xludf.DUMMYFUNCTION("""COMPUTED_VALUE"""),0.0)</f>
        <v>0</v>
      </c>
      <c r="O177" s="96">
        <f>IFERROR(__xludf.DUMMYFUNCTION("""COMPUTED_VALUE"""),90000.0)</f>
        <v>90000</v>
      </c>
      <c r="P177" s="129">
        <f>IFERROR(__xludf.DUMMYFUNCTION("""COMPUTED_VALUE"""),0.0)</f>
        <v>0</v>
      </c>
      <c r="Q177" s="99"/>
      <c r="R177" s="99">
        <f>IFERROR(__xludf.DUMMYFUNCTION("""COMPUTED_VALUE"""),90000.0)</f>
        <v>90000</v>
      </c>
    </row>
    <row r="178">
      <c r="B178" s="96">
        <f>IFERROR(__xludf.DUMMYFUNCTION("""COMPUTED_VALUE"""),1.0)</f>
        <v>1</v>
      </c>
      <c r="C178" s="98">
        <f>IFERROR(__xludf.DUMMYFUNCTION("""COMPUTED_VALUE"""),44049.0)</f>
        <v>44049</v>
      </c>
      <c r="D178" s="96" t="str">
        <f>IFERROR(__xludf.DUMMYFUNCTION("""COMPUTED_VALUE"""),"DUN SUNDAY NDOMA (NATION)")</f>
        <v>DUN SUNDAY NDOMA (NATION)</v>
      </c>
      <c r="E178" s="96"/>
      <c r="F178" s="96"/>
      <c r="G178" s="96"/>
      <c r="H178" s="96"/>
      <c r="I178" s="96"/>
      <c r="J178" s="96"/>
      <c r="K178" s="96"/>
      <c r="L178" s="96">
        <f>IFERROR(__xludf.DUMMYFUNCTION("""COMPUTED_VALUE"""),0.0)</f>
        <v>0</v>
      </c>
      <c r="M178" s="96">
        <f>IFERROR(__xludf.DUMMYFUNCTION("""COMPUTED_VALUE"""),0.0)</f>
        <v>0</v>
      </c>
      <c r="N178" s="96">
        <f>IFERROR(__xludf.DUMMYFUNCTION("""COMPUTED_VALUE"""),0.0)</f>
        <v>0</v>
      </c>
      <c r="O178" s="96">
        <f>IFERROR(__xludf.DUMMYFUNCTION("""COMPUTED_VALUE"""),100000.0)</f>
        <v>100000</v>
      </c>
      <c r="P178" s="129">
        <f>IFERROR(__xludf.DUMMYFUNCTION("""COMPUTED_VALUE"""),0.0)</f>
        <v>0</v>
      </c>
      <c r="Q178" s="99"/>
      <c r="R178" s="99">
        <f>IFERROR(__xludf.DUMMYFUNCTION("""COMPUTED_VALUE"""),100000.0)</f>
        <v>100000</v>
      </c>
    </row>
    <row r="179">
      <c r="B179" s="96">
        <f>IFERROR(__xludf.DUMMYFUNCTION("""COMPUTED_VALUE"""),4.0)</f>
        <v>4</v>
      </c>
      <c r="C179" s="98">
        <f>IFERROR(__xludf.DUMMYFUNCTION("""COMPUTED_VALUE"""),44049.0)</f>
        <v>44049</v>
      </c>
      <c r="D179" s="96" t="str">
        <f>IFERROR(__xludf.DUMMYFUNCTION("""COMPUTED_VALUE"""),"ALFRED ALABI")</f>
        <v>ALFRED ALABI</v>
      </c>
      <c r="E179" s="96"/>
      <c r="F179" s="96"/>
      <c r="G179" s="96"/>
      <c r="H179" s="96"/>
      <c r="I179" s="96"/>
      <c r="J179" s="96"/>
      <c r="K179" s="96"/>
      <c r="L179" s="96">
        <f>IFERROR(__xludf.DUMMYFUNCTION("""COMPUTED_VALUE"""),0.0)</f>
        <v>0</v>
      </c>
      <c r="M179" s="96">
        <f>IFERROR(__xludf.DUMMYFUNCTION("""COMPUTED_VALUE"""),0.0)</f>
        <v>0</v>
      </c>
      <c r="N179" s="96">
        <f>IFERROR(__xludf.DUMMYFUNCTION("""COMPUTED_VALUE"""),0.0)</f>
        <v>0</v>
      </c>
      <c r="O179" s="96">
        <f>IFERROR(__xludf.DUMMYFUNCTION("""COMPUTED_VALUE"""),1000000.0)</f>
        <v>1000000</v>
      </c>
      <c r="P179" s="129">
        <f>IFERROR(__xludf.DUMMYFUNCTION("""COMPUTED_VALUE"""),0.0)</f>
        <v>0</v>
      </c>
      <c r="Q179" s="99"/>
      <c r="R179" s="99">
        <f>IFERROR(__xludf.DUMMYFUNCTION("""COMPUTED_VALUE"""),1490000.0)</f>
        <v>1490000</v>
      </c>
    </row>
    <row r="180">
      <c r="B180" s="96">
        <f>IFERROR(__xludf.DUMMYFUNCTION("""COMPUTED_VALUE"""),1.0)</f>
        <v>1</v>
      </c>
      <c r="C180" s="98">
        <f>IFERROR(__xludf.DUMMYFUNCTION("""COMPUTED_VALUE"""),44049.0)</f>
        <v>44049</v>
      </c>
      <c r="D180" s="96" t="str">
        <f>IFERROR(__xludf.DUMMYFUNCTION("""COMPUTED_VALUE"""),"A. D. FREDERICK")</f>
        <v>A. D. FREDERICK</v>
      </c>
      <c r="E180" s="96"/>
      <c r="F180" s="96"/>
      <c r="G180" s="96"/>
      <c r="H180" s="96"/>
      <c r="I180" s="96"/>
      <c r="J180" s="96"/>
      <c r="K180" s="96"/>
      <c r="L180" s="96">
        <f>IFERROR(__xludf.DUMMYFUNCTION("""COMPUTED_VALUE"""),0.0)</f>
        <v>0</v>
      </c>
      <c r="M180" s="96">
        <f>IFERROR(__xludf.DUMMYFUNCTION("""COMPUTED_VALUE"""),0.0)</f>
        <v>0</v>
      </c>
      <c r="N180" s="96">
        <f>IFERROR(__xludf.DUMMYFUNCTION("""COMPUTED_VALUE"""),0.0)</f>
        <v>0</v>
      </c>
      <c r="O180" s="96">
        <f>IFERROR(__xludf.DUMMYFUNCTION("""COMPUTED_VALUE"""),250000.0)</f>
        <v>250000</v>
      </c>
      <c r="P180" s="129">
        <f>IFERROR(__xludf.DUMMYFUNCTION("""COMPUTED_VALUE"""),0.0)</f>
        <v>0</v>
      </c>
      <c r="Q180" s="99"/>
      <c r="R180" s="99">
        <f>IFERROR(__xludf.DUMMYFUNCTION("""COMPUTED_VALUE"""),250000.0)</f>
        <v>250000</v>
      </c>
    </row>
    <row r="181">
      <c r="B181" s="96">
        <f>IFERROR(__xludf.DUMMYFUNCTION("""COMPUTED_VALUE"""),3.0)</f>
        <v>3</v>
      </c>
      <c r="C181" s="98">
        <f>IFERROR(__xludf.DUMMYFUNCTION("""COMPUTED_VALUE"""),44049.0)</f>
        <v>44049</v>
      </c>
      <c r="D181" s="96" t="str">
        <f>IFERROR(__xludf.DUMMYFUNCTION("""COMPUTED_VALUE"""),"EMMANUEL OKO ")</f>
        <v>EMMANUEL OKO </v>
      </c>
      <c r="E181" s="96"/>
      <c r="F181" s="96"/>
      <c r="G181" s="96"/>
      <c r="H181" s="96"/>
      <c r="I181" s="96"/>
      <c r="J181" s="96"/>
      <c r="K181" s="96"/>
      <c r="L181" s="96">
        <f>IFERROR(__xludf.DUMMYFUNCTION("""COMPUTED_VALUE"""),0.0)</f>
        <v>0</v>
      </c>
      <c r="M181" s="96">
        <f>IFERROR(__xludf.DUMMYFUNCTION("""COMPUTED_VALUE"""),0.0)</f>
        <v>0</v>
      </c>
      <c r="N181" s="96">
        <f>IFERROR(__xludf.DUMMYFUNCTION("""COMPUTED_VALUE"""),0.0)</f>
        <v>0</v>
      </c>
      <c r="O181" s="96">
        <f>IFERROR(__xludf.DUMMYFUNCTION("""COMPUTED_VALUE"""),245000.0)</f>
        <v>245000</v>
      </c>
      <c r="P181" s="129">
        <f>IFERROR(__xludf.DUMMYFUNCTION("""COMPUTED_VALUE"""),0.0)</f>
        <v>0</v>
      </c>
      <c r="Q181" s="99"/>
      <c r="R181" s="99">
        <f>IFERROR(__xludf.DUMMYFUNCTION("""COMPUTED_VALUE"""),338250.0)</f>
        <v>338250</v>
      </c>
    </row>
    <row r="182">
      <c r="B182" s="96">
        <f>IFERROR(__xludf.DUMMYFUNCTION("""COMPUTED_VALUE"""),12.0)</f>
        <v>12</v>
      </c>
      <c r="C182" s="98">
        <f>IFERROR(__xludf.DUMMYFUNCTION("""COMPUTED_VALUE"""),44049.0)</f>
        <v>44049</v>
      </c>
      <c r="D182" s="96" t="str">
        <f>IFERROR(__xludf.DUMMYFUNCTION("""COMPUTED_VALUE"""),"RECTOR W.")</f>
        <v>RECTOR W.</v>
      </c>
      <c r="E182" s="96"/>
      <c r="F182" s="96"/>
      <c r="G182" s="96"/>
      <c r="H182" s="96"/>
      <c r="I182" s="96"/>
      <c r="J182" s="96"/>
      <c r="K182" s="96"/>
      <c r="L182" s="96">
        <f>IFERROR(__xludf.DUMMYFUNCTION("""COMPUTED_VALUE"""),0.0)</f>
        <v>0</v>
      </c>
      <c r="M182" s="96">
        <f>IFERROR(__xludf.DUMMYFUNCTION("""COMPUTED_VALUE"""),0.0)</f>
        <v>0</v>
      </c>
      <c r="N182" s="96">
        <f>IFERROR(__xludf.DUMMYFUNCTION("""COMPUTED_VALUE"""),0.0)</f>
        <v>0</v>
      </c>
      <c r="O182" s="96">
        <f>IFERROR(__xludf.DUMMYFUNCTION("""COMPUTED_VALUE"""),3000.0)</f>
        <v>3000</v>
      </c>
      <c r="P182" s="129">
        <f>IFERROR(__xludf.DUMMYFUNCTION("""COMPUTED_VALUE"""),0.0)</f>
        <v>0</v>
      </c>
      <c r="Q182" s="99"/>
      <c r="R182" s="99">
        <f>IFERROR(__xludf.DUMMYFUNCTION("""COMPUTED_VALUE"""),1262780.0)</f>
        <v>1262780</v>
      </c>
    </row>
    <row r="183">
      <c r="B183" s="96">
        <f>IFERROR(__xludf.DUMMYFUNCTION("""COMPUTED_VALUE"""),8.0)</f>
        <v>8</v>
      </c>
      <c r="C183" s="98">
        <f>IFERROR(__xludf.DUMMYFUNCTION("""COMPUTED_VALUE"""),44049.0)</f>
        <v>44049</v>
      </c>
      <c r="D183" s="96" t="str">
        <f>IFERROR(__xludf.DUMMYFUNCTION("""COMPUTED_VALUE"""),"CORNWELL")</f>
        <v>CORNWELL</v>
      </c>
      <c r="E183" s="96"/>
      <c r="F183" s="96"/>
      <c r="G183" s="96"/>
      <c r="H183" s="96"/>
      <c r="I183" s="96"/>
      <c r="J183" s="96"/>
      <c r="K183" s="96"/>
      <c r="L183" s="96">
        <f>IFERROR(__xludf.DUMMYFUNCTION("""COMPUTED_VALUE"""),0.0)</f>
        <v>0</v>
      </c>
      <c r="M183" s="96">
        <f>IFERROR(__xludf.DUMMYFUNCTION("""COMPUTED_VALUE"""),0.0)</f>
        <v>0</v>
      </c>
      <c r="N183" s="96">
        <f>IFERROR(__xludf.DUMMYFUNCTION("""COMPUTED_VALUE"""),0.0)</f>
        <v>0</v>
      </c>
      <c r="O183" s="96">
        <f>IFERROR(__xludf.DUMMYFUNCTION("""COMPUTED_VALUE"""),3.642825E7)</f>
        <v>36428250</v>
      </c>
      <c r="P183" s="129">
        <f>IFERROR(__xludf.DUMMYFUNCTION("""COMPUTED_VALUE"""),0.0)</f>
        <v>0</v>
      </c>
      <c r="Q183" s="99"/>
      <c r="R183" s="99">
        <f>IFERROR(__xludf.DUMMYFUNCTION("""COMPUTED_VALUE"""),3.818269E7)</f>
        <v>38182690</v>
      </c>
    </row>
    <row r="184">
      <c r="B184" s="96">
        <f>IFERROR(__xludf.DUMMYFUNCTION("""COMPUTED_VALUE"""),13.0)</f>
        <v>13</v>
      </c>
      <c r="C184" s="98">
        <f>IFERROR(__xludf.DUMMYFUNCTION("""COMPUTED_VALUE"""),44050.0)</f>
        <v>44050</v>
      </c>
      <c r="D184" s="96" t="str">
        <f>IFERROR(__xludf.DUMMYFUNCTION("""COMPUTED_VALUE"""),"RECTOR W.")</f>
        <v>RECTOR W.</v>
      </c>
      <c r="E184" s="96"/>
      <c r="F184" s="96"/>
      <c r="G184" s="96"/>
      <c r="H184" s="96"/>
      <c r="I184" s="96"/>
      <c r="J184" s="96"/>
      <c r="K184" s="96"/>
      <c r="L184" s="96">
        <f>IFERROR(__xludf.DUMMYFUNCTION("""COMPUTED_VALUE"""),0.0)</f>
        <v>0</v>
      </c>
      <c r="M184" s="96">
        <f>IFERROR(__xludf.DUMMYFUNCTION("""COMPUTED_VALUE"""),0.0)</f>
        <v>0</v>
      </c>
      <c r="N184" s="96">
        <f>IFERROR(__xludf.DUMMYFUNCTION("""COMPUTED_VALUE"""),0.0)</f>
        <v>0</v>
      </c>
      <c r="O184" s="96">
        <f>IFERROR(__xludf.DUMMYFUNCTION("""COMPUTED_VALUE"""),2500000.0)</f>
        <v>2500000</v>
      </c>
      <c r="P184" s="129">
        <f>IFERROR(__xludf.DUMMYFUNCTION("""COMPUTED_VALUE"""),0.0)</f>
        <v>0</v>
      </c>
      <c r="Q184" s="99"/>
      <c r="R184" s="99">
        <f>IFERROR(__xludf.DUMMYFUNCTION("""COMPUTED_VALUE"""),3762780.0)</f>
        <v>3762780</v>
      </c>
    </row>
    <row r="185">
      <c r="B185" s="96">
        <f>IFERROR(__xludf.DUMMYFUNCTION("""COMPUTED_VALUE"""),4.0)</f>
        <v>4</v>
      </c>
      <c r="C185" s="98">
        <f>IFERROR(__xludf.DUMMYFUNCTION("""COMPUTED_VALUE"""),44050.0)</f>
        <v>44050</v>
      </c>
      <c r="D185" s="96" t="str">
        <f>IFERROR(__xludf.DUMMYFUNCTION("""COMPUTED_VALUE"""),"ZULU &amp; NDOMA")</f>
        <v>ZULU &amp; NDOMA</v>
      </c>
      <c r="E185" s="96"/>
      <c r="F185" s="96"/>
      <c r="G185" s="96"/>
      <c r="H185" s="96"/>
      <c r="I185" s="96"/>
      <c r="J185" s="96"/>
      <c r="K185" s="96"/>
      <c r="L185" s="96">
        <f>IFERROR(__xludf.DUMMYFUNCTION("""COMPUTED_VALUE"""),0.0)</f>
        <v>0</v>
      </c>
      <c r="M185" s="96">
        <f>IFERROR(__xludf.DUMMYFUNCTION("""COMPUTED_VALUE"""),0.0)</f>
        <v>0</v>
      </c>
      <c r="N185" s="96">
        <f>IFERROR(__xludf.DUMMYFUNCTION("""COMPUTED_VALUE"""),0.0)</f>
        <v>0</v>
      </c>
      <c r="O185" s="96">
        <f>IFERROR(__xludf.DUMMYFUNCTION("""COMPUTED_VALUE"""),5000.0)</f>
        <v>5000</v>
      </c>
      <c r="P185" s="129">
        <f>IFERROR(__xludf.DUMMYFUNCTION("""COMPUTED_VALUE"""),0.0)</f>
        <v>0</v>
      </c>
      <c r="Q185" s="99"/>
      <c r="R185" s="99">
        <f>IFERROR(__xludf.DUMMYFUNCTION("""COMPUTED_VALUE"""),208400.0)</f>
        <v>208400</v>
      </c>
    </row>
    <row r="186">
      <c r="B186" s="96">
        <f>IFERROR(__xludf.DUMMYFUNCTION("""COMPUTED_VALUE"""),14.0)</f>
        <v>14</v>
      </c>
      <c r="C186" s="98">
        <f>IFERROR(__xludf.DUMMYFUNCTION("""COMPUTED_VALUE"""),44050.0)</f>
        <v>44050</v>
      </c>
      <c r="D186" s="96" t="str">
        <f>IFERROR(__xludf.DUMMYFUNCTION("""COMPUTED_VALUE"""),"RECTOR W.")</f>
        <v>RECTOR W.</v>
      </c>
      <c r="E186" s="96"/>
      <c r="F186" s="96"/>
      <c r="G186" s="96"/>
      <c r="H186" s="96"/>
      <c r="I186" s="96"/>
      <c r="J186" s="96"/>
      <c r="K186" s="96"/>
      <c r="L186" s="96">
        <f>IFERROR(__xludf.DUMMYFUNCTION("""COMPUTED_VALUE"""),0.0)</f>
        <v>0</v>
      </c>
      <c r="M186" s="96">
        <f>IFERROR(__xludf.DUMMYFUNCTION("""COMPUTED_VALUE"""),0.0)</f>
        <v>0</v>
      </c>
      <c r="N186" s="96">
        <f>IFERROR(__xludf.DUMMYFUNCTION("""COMPUTED_VALUE"""),0.0)</f>
        <v>0</v>
      </c>
      <c r="O186" s="96">
        <f>IFERROR(__xludf.DUMMYFUNCTION("""COMPUTED_VALUE"""),1530000.0)</f>
        <v>1530000</v>
      </c>
      <c r="P186" s="129">
        <f>IFERROR(__xludf.DUMMYFUNCTION("""COMPUTED_VALUE"""),0.0)</f>
        <v>0</v>
      </c>
      <c r="Q186" s="99"/>
      <c r="R186" s="99">
        <f>IFERROR(__xludf.DUMMYFUNCTION("""COMPUTED_VALUE"""),5292780.0)</f>
        <v>5292780</v>
      </c>
    </row>
    <row r="187">
      <c r="B187" s="96">
        <f>IFERROR(__xludf.DUMMYFUNCTION("""COMPUTED_VALUE"""),6.0)</f>
        <v>6</v>
      </c>
      <c r="C187" s="98">
        <f>IFERROR(__xludf.DUMMYFUNCTION("""COMPUTED_VALUE"""),44051.0)</f>
        <v>44051</v>
      </c>
      <c r="D187" s="96" t="str">
        <f>IFERROR(__xludf.DUMMYFUNCTION("""COMPUTED_VALUE"""),"ETUK EFFI")</f>
        <v>ETUK EFFI</v>
      </c>
      <c r="E187" s="96"/>
      <c r="F187" s="96"/>
      <c r="G187" s="96"/>
      <c r="H187" s="96"/>
      <c r="I187" s="96"/>
      <c r="J187" s="96"/>
      <c r="K187" s="96"/>
      <c r="L187" s="96">
        <f>IFERROR(__xludf.DUMMYFUNCTION("""COMPUTED_VALUE"""),0.0)</f>
        <v>0</v>
      </c>
      <c r="M187" s="96">
        <f>IFERROR(__xludf.DUMMYFUNCTION("""COMPUTED_VALUE"""),0.0)</f>
        <v>0</v>
      </c>
      <c r="N187" s="96">
        <f>IFERROR(__xludf.DUMMYFUNCTION("""COMPUTED_VALUE"""),0.0)</f>
        <v>0</v>
      </c>
      <c r="O187" s="96">
        <f>IFERROR(__xludf.DUMMYFUNCTION("""COMPUTED_VALUE"""),1379140.0)</f>
        <v>1379140</v>
      </c>
      <c r="P187" s="129">
        <f>IFERROR(__xludf.DUMMYFUNCTION("""COMPUTED_VALUE"""),0.0)</f>
        <v>0</v>
      </c>
      <c r="Q187" s="99"/>
      <c r="R187" s="99">
        <f>IFERROR(__xludf.DUMMYFUNCTION("""COMPUTED_VALUE"""),1436860.0)</f>
        <v>1436860</v>
      </c>
    </row>
    <row r="188">
      <c r="B188" s="96">
        <f>IFERROR(__xludf.DUMMYFUNCTION("""COMPUTED_VALUE"""),15.0)</f>
        <v>15</v>
      </c>
      <c r="C188" s="98">
        <f>IFERROR(__xludf.DUMMYFUNCTION("""COMPUTED_VALUE"""),44051.0)</f>
        <v>44051</v>
      </c>
      <c r="D188" s="96" t="str">
        <f>IFERROR(__xludf.DUMMYFUNCTION("""COMPUTED_VALUE"""),"RECTOR W.")</f>
        <v>RECTOR W.</v>
      </c>
      <c r="E188" s="96"/>
      <c r="F188" s="96"/>
      <c r="G188" s="96"/>
      <c r="H188" s="96"/>
      <c r="I188" s="96"/>
      <c r="J188" s="96"/>
      <c r="K188" s="96"/>
      <c r="L188" s="96">
        <f>IFERROR(__xludf.DUMMYFUNCTION("""COMPUTED_VALUE"""),0.0)</f>
        <v>0</v>
      </c>
      <c r="M188" s="96">
        <f>IFERROR(__xludf.DUMMYFUNCTION("""COMPUTED_VALUE"""),0.0)</f>
        <v>0</v>
      </c>
      <c r="N188" s="96">
        <f>IFERROR(__xludf.DUMMYFUNCTION("""COMPUTED_VALUE"""),0.0)</f>
        <v>0</v>
      </c>
      <c r="O188" s="96">
        <f>IFERROR(__xludf.DUMMYFUNCTION("""COMPUTED_VALUE"""),75000.0)</f>
        <v>75000</v>
      </c>
      <c r="P188" s="129">
        <f>IFERROR(__xludf.DUMMYFUNCTION("""COMPUTED_VALUE"""),0.0)</f>
        <v>0</v>
      </c>
      <c r="Q188" s="99"/>
      <c r="R188" s="99">
        <f>IFERROR(__xludf.DUMMYFUNCTION("""COMPUTED_VALUE"""),5367780.0)</f>
        <v>5367780</v>
      </c>
    </row>
    <row r="189">
      <c r="B189" s="96">
        <f>IFERROR(__xludf.DUMMYFUNCTION("""COMPUTED_VALUE"""),4.0)</f>
        <v>4</v>
      </c>
      <c r="C189" s="98">
        <f>IFERROR(__xludf.DUMMYFUNCTION("""COMPUTED_VALUE"""),44051.0)</f>
        <v>44051</v>
      </c>
      <c r="D189" s="96" t="str">
        <f>IFERROR(__xludf.DUMMYFUNCTION("""COMPUTED_VALUE"""),"BOSURU  BOSURU")</f>
        <v>BOSURU  BOSURU</v>
      </c>
      <c r="E189" s="96"/>
      <c r="F189" s="96"/>
      <c r="G189" s="96"/>
      <c r="H189" s="96"/>
      <c r="I189" s="96"/>
      <c r="J189" s="96"/>
      <c r="K189" s="96"/>
      <c r="L189" s="96">
        <f>IFERROR(__xludf.DUMMYFUNCTION("""COMPUTED_VALUE"""),0.0)</f>
        <v>0</v>
      </c>
      <c r="M189" s="96">
        <f>IFERROR(__xludf.DUMMYFUNCTION("""COMPUTED_VALUE"""),0.0)</f>
        <v>0</v>
      </c>
      <c r="N189" s="96">
        <f>IFERROR(__xludf.DUMMYFUNCTION("""COMPUTED_VALUE"""),0.0)</f>
        <v>0</v>
      </c>
      <c r="O189" s="96">
        <f>IFERROR(__xludf.DUMMYFUNCTION("""COMPUTED_VALUE"""),200000.0)</f>
        <v>200000</v>
      </c>
      <c r="P189" s="129">
        <f>IFERROR(__xludf.DUMMYFUNCTION("""COMPUTED_VALUE"""),0.0)</f>
        <v>0</v>
      </c>
      <c r="Q189" s="99"/>
      <c r="R189" s="99">
        <f>IFERROR(__xludf.DUMMYFUNCTION("""COMPUTED_VALUE"""),1229180.0)</f>
        <v>1229180</v>
      </c>
    </row>
    <row r="190">
      <c r="B190" s="96">
        <f>IFERROR(__xludf.DUMMYFUNCTION("""COMPUTED_VALUE"""),10.0)</f>
        <v>10</v>
      </c>
      <c r="C190" s="98">
        <f>IFERROR(__xludf.DUMMYFUNCTION("""COMPUTED_VALUE"""),44052.0)</f>
        <v>44052</v>
      </c>
      <c r="D190" s="96" t="str">
        <f>IFERROR(__xludf.DUMMYFUNCTION("""COMPUTED_VALUE"""),"NDOMA BODE I.D")</f>
        <v>NDOMA BODE I.D</v>
      </c>
      <c r="E190" s="96">
        <f>IFERROR(__xludf.DUMMYFUNCTION("""COMPUTED_VALUE"""),908.0)</f>
        <v>908</v>
      </c>
      <c r="F190" s="96">
        <f>IFERROR(__xludf.DUMMYFUNCTION("""COMPUTED_VALUE"""),129.0)</f>
        <v>129</v>
      </c>
      <c r="G190" s="96"/>
      <c r="H190" s="96">
        <f>IFERROR(__xludf.DUMMYFUNCTION("""COMPUTED_VALUE"""),14.0)</f>
        <v>14</v>
      </c>
      <c r="I190" s="96">
        <f>IFERROR(__xludf.DUMMYFUNCTION("""COMPUTED_VALUE"""),0.0)</f>
        <v>0</v>
      </c>
      <c r="J190" s="96">
        <f>IFERROR(__xludf.DUMMYFUNCTION("""COMPUTED_VALUE"""),647.43)</f>
        <v>647.43</v>
      </c>
      <c r="K190" s="96">
        <f>IFERROR(__xludf.DUMMYFUNCTION("""COMPUTED_VALUE"""),9.21)</f>
        <v>9.21</v>
      </c>
      <c r="L190" s="96">
        <f>IFERROR(__xludf.DUMMYFUNCTION("""COMPUTED_VALUE"""),11.0)</f>
        <v>11</v>
      </c>
      <c r="M190" s="96">
        <f>IFERROR(__xludf.DUMMYFUNCTION("""COMPUTED_VALUE"""),14.0)</f>
        <v>14</v>
      </c>
      <c r="N190" s="96">
        <f>IFERROR(__xludf.DUMMYFUNCTION("""COMPUTED_VALUE"""),0.0)</f>
        <v>0</v>
      </c>
      <c r="O190" s="96"/>
      <c r="P190" s="129">
        <f>IFERROR(__xludf.DUMMYFUNCTION("""COMPUTED_VALUE"""),883.0)</f>
        <v>883</v>
      </c>
      <c r="Q190" s="99">
        <f>IFERROR(__xludf.DUMMYFUNCTION("""COMPUTED_VALUE"""),571680.0)</f>
        <v>571680</v>
      </c>
      <c r="R190" s="99">
        <f>IFERROR(__xludf.DUMMYFUNCTION("""COMPUTED_VALUE"""),-14400.0)</f>
        <v>-14400</v>
      </c>
    </row>
    <row r="191">
      <c r="B191" s="96">
        <f>IFERROR(__xludf.DUMMYFUNCTION("""COMPUTED_VALUE"""),3.0)</f>
        <v>3</v>
      </c>
      <c r="C191" s="98">
        <f>IFERROR(__xludf.DUMMYFUNCTION("""COMPUTED_VALUE"""),44053.0)</f>
        <v>44053</v>
      </c>
      <c r="D191" s="96" t="str">
        <f>IFERROR(__xludf.DUMMYFUNCTION("""COMPUTED_VALUE"""),"NDOMA PETER")</f>
        <v>NDOMA PETER</v>
      </c>
      <c r="E191" s="96">
        <f>IFERROR(__xludf.DUMMYFUNCTION("""COMPUTED_VALUE"""),1397.0)</f>
        <v>1397</v>
      </c>
      <c r="F191" s="96">
        <f>IFERROR(__xludf.DUMMYFUNCTION("""COMPUTED_VALUE"""),198.0)</f>
        <v>198</v>
      </c>
      <c r="G191" s="96"/>
      <c r="H191" s="96">
        <f>IFERROR(__xludf.DUMMYFUNCTION("""COMPUTED_VALUE"""),21.0)</f>
        <v>21</v>
      </c>
      <c r="I191" s="96"/>
      <c r="J191" s="96">
        <f>IFERROR(__xludf.DUMMYFUNCTION("""COMPUTED_VALUE"""),800.0)</f>
        <v>800</v>
      </c>
      <c r="K191" s="96">
        <f>IFERROR(__xludf.DUMMYFUNCTION("""COMPUTED_VALUE"""),9.43)</f>
        <v>9.43</v>
      </c>
      <c r="L191" s="96">
        <f>IFERROR(__xludf.DUMMYFUNCTION("""COMPUTED_VALUE"""),20.0)</f>
        <v>20</v>
      </c>
      <c r="M191" s="96">
        <f>IFERROR(__xludf.DUMMYFUNCTION("""COMPUTED_VALUE"""),21.0)</f>
        <v>21</v>
      </c>
      <c r="N191" s="96">
        <f>IFERROR(__xludf.DUMMYFUNCTION("""COMPUTED_VALUE"""),33.0)</f>
        <v>33</v>
      </c>
      <c r="O191" s="96"/>
      <c r="P191" s="129">
        <f>IFERROR(__xludf.DUMMYFUNCTION("""COMPUTED_VALUE"""),1356.0)</f>
        <v>1356</v>
      </c>
      <c r="Q191" s="99">
        <f>IFERROR(__xludf.DUMMYFUNCTION("""COMPUTED_VALUE"""),1084800.0)</f>
        <v>1084800</v>
      </c>
      <c r="R191" s="99">
        <f>IFERROR(__xludf.DUMMYFUNCTION("""COMPUTED_VALUE"""),-484800.0)</f>
        <v>-484800</v>
      </c>
    </row>
    <row r="192">
      <c r="B192" s="96">
        <f>IFERROR(__xludf.DUMMYFUNCTION("""COMPUTED_VALUE"""),6.0)</f>
        <v>6</v>
      </c>
      <c r="C192" s="98">
        <f>IFERROR(__xludf.DUMMYFUNCTION("""COMPUTED_VALUE"""),44051.0)</f>
        <v>44051</v>
      </c>
      <c r="D192" s="96" t="str">
        <f>IFERROR(__xludf.DUMMYFUNCTION("""COMPUTED_VALUE"""),"EDWARD OKO")</f>
        <v>EDWARD OKO</v>
      </c>
      <c r="E192" s="96">
        <f>IFERROR(__xludf.DUMMYFUNCTION("""COMPUTED_VALUE"""),1596.0)</f>
        <v>1596</v>
      </c>
      <c r="F192" s="96">
        <f>IFERROR(__xludf.DUMMYFUNCTION("""COMPUTED_VALUE"""),211.5)</f>
        <v>211.5</v>
      </c>
      <c r="G192" s="96"/>
      <c r="H192" s="96">
        <f>IFERROR(__xludf.DUMMYFUNCTION("""COMPUTED_VALUE"""),24.0)</f>
        <v>24</v>
      </c>
      <c r="I192" s="96"/>
      <c r="J192" s="96">
        <f>IFERROR(__xludf.DUMMYFUNCTION("""COMPUTED_VALUE"""),820.0)</f>
        <v>820</v>
      </c>
      <c r="K192" s="96">
        <f>IFERROR(__xludf.DUMMYFUNCTION("""COMPUTED_VALUE"""),8.81)</f>
        <v>8.81</v>
      </c>
      <c r="L192" s="96">
        <f>IFERROR(__xludf.DUMMYFUNCTION("""COMPUTED_VALUE"""),13.0)</f>
        <v>13</v>
      </c>
      <c r="M192" s="96">
        <f>IFERROR(__xludf.DUMMYFUNCTION("""COMPUTED_VALUE"""),24.0)</f>
        <v>24</v>
      </c>
      <c r="N192" s="96">
        <f>IFERROR(__xludf.DUMMYFUNCTION("""COMPUTED_VALUE"""),47.0)</f>
        <v>47</v>
      </c>
      <c r="O192" s="96"/>
      <c r="P192" s="129">
        <f>IFERROR(__xludf.DUMMYFUNCTION("""COMPUTED_VALUE"""),1559.0)</f>
        <v>1559</v>
      </c>
      <c r="Q192" s="99">
        <f>IFERROR(__xludf.DUMMYFUNCTION("""COMPUTED_VALUE"""),1278380.0)</f>
        <v>1278380</v>
      </c>
      <c r="R192" s="99">
        <f>IFERROR(__xludf.DUMMYFUNCTION("""COMPUTED_VALUE"""),372220.0)</f>
        <v>372220</v>
      </c>
    </row>
    <row r="193">
      <c r="B193" s="96">
        <f>IFERROR(__xludf.DUMMYFUNCTION("""COMPUTED_VALUE"""),5.0)</f>
        <v>5</v>
      </c>
      <c r="C193" s="98">
        <f>IFERROR(__xludf.DUMMYFUNCTION("""COMPUTED_VALUE"""),44048.0)</f>
        <v>44048</v>
      </c>
      <c r="D193" s="96" t="str">
        <f>IFERROR(__xludf.DUMMYFUNCTION("""COMPUTED_VALUE"""),"ALFRED ALABI")</f>
        <v>ALFRED ALABI</v>
      </c>
      <c r="E193" s="96">
        <f>IFERROR(__xludf.DUMMYFUNCTION("""COMPUTED_VALUE"""),1040.0)</f>
        <v>1040</v>
      </c>
      <c r="F193" s="96">
        <f>IFERROR(__xludf.DUMMYFUNCTION("""COMPUTED_VALUE"""),120.0)</f>
        <v>120</v>
      </c>
      <c r="G193" s="96"/>
      <c r="H193" s="96">
        <f>IFERROR(__xludf.DUMMYFUNCTION("""COMPUTED_VALUE"""),15.0)</f>
        <v>15</v>
      </c>
      <c r="I193" s="96"/>
      <c r="J193" s="96">
        <f>IFERROR(__xludf.DUMMYFUNCTION("""COMPUTED_VALUE"""),790.0)</f>
        <v>790</v>
      </c>
      <c r="K193" s="96">
        <f>IFERROR(__xludf.DUMMYFUNCTION("""COMPUTED_VALUE"""),8.0)</f>
        <v>8</v>
      </c>
      <c r="L193" s="96">
        <f>IFERROR(__xludf.DUMMYFUNCTION("""COMPUTED_VALUE"""),0.0)</f>
        <v>0</v>
      </c>
      <c r="M193" s="96">
        <f>IFERROR(__xludf.DUMMYFUNCTION("""COMPUTED_VALUE"""),16.0)</f>
        <v>16</v>
      </c>
      <c r="N193" s="96">
        <f>IFERROR(__xludf.DUMMYFUNCTION("""COMPUTED_VALUE"""),16.0)</f>
        <v>16</v>
      </c>
      <c r="O193" s="96"/>
      <c r="P193" s="129">
        <f>IFERROR(__xludf.DUMMYFUNCTION("""COMPUTED_VALUE"""),1025.0)</f>
        <v>1025</v>
      </c>
      <c r="Q193" s="99">
        <f>IFERROR(__xludf.DUMMYFUNCTION("""COMPUTED_VALUE"""),809750.0)</f>
        <v>809750</v>
      </c>
      <c r="R193" s="99">
        <f>IFERROR(__xludf.DUMMYFUNCTION("""COMPUTED_VALUE"""),680250.0)</f>
        <v>680250</v>
      </c>
    </row>
    <row r="194">
      <c r="B194" s="96">
        <f>IFERROR(__xludf.DUMMYFUNCTION("""COMPUTED_VALUE"""),16.0)</f>
        <v>16</v>
      </c>
      <c r="C194" s="98">
        <f>IFERROR(__xludf.DUMMYFUNCTION("""COMPUTED_VALUE"""),44053.0)</f>
        <v>44053</v>
      </c>
      <c r="D194" s="96" t="str">
        <f>IFERROR(__xludf.DUMMYFUNCTION("""COMPUTED_VALUE"""),"RECTOR W.")</f>
        <v>RECTOR W.</v>
      </c>
      <c r="E194" s="96">
        <f>IFERROR(__xludf.DUMMYFUNCTION("""COMPUTED_VALUE"""),1420.0)</f>
        <v>1420</v>
      </c>
      <c r="F194" s="96">
        <f>IFERROR(__xludf.DUMMYFUNCTION("""COMPUTED_VALUE"""),176.0)</f>
        <v>176</v>
      </c>
      <c r="G194" s="96"/>
      <c r="H194" s="96">
        <f>IFERROR(__xludf.DUMMYFUNCTION("""COMPUTED_VALUE"""),22.0)</f>
        <v>22</v>
      </c>
      <c r="I194" s="96"/>
      <c r="J194" s="96">
        <f>IFERROR(__xludf.DUMMYFUNCTION("""COMPUTED_VALUE"""),780.0)</f>
        <v>780</v>
      </c>
      <c r="K194" s="96">
        <f>IFERROR(__xludf.DUMMYFUNCTION("""COMPUTED_VALUE"""),8.0)</f>
        <v>8</v>
      </c>
      <c r="L194" s="96">
        <f>IFERROR(__xludf.DUMMYFUNCTION("""COMPUTED_VALUE"""),0.0)</f>
        <v>0</v>
      </c>
      <c r="M194" s="96">
        <f>IFERROR(__xludf.DUMMYFUNCTION("""COMPUTED_VALUE"""),22.0)</f>
        <v>22</v>
      </c>
      <c r="N194" s="96">
        <f>IFERROR(__xludf.DUMMYFUNCTION("""COMPUTED_VALUE"""),12.0)</f>
        <v>12</v>
      </c>
      <c r="O194" s="96"/>
      <c r="P194" s="129">
        <f>IFERROR(__xludf.DUMMYFUNCTION("""COMPUTED_VALUE"""),1398.0)</f>
        <v>1398</v>
      </c>
      <c r="Q194" s="99">
        <f>IFERROR(__xludf.DUMMYFUNCTION("""COMPUTED_VALUE"""),1090440.0)</f>
        <v>1090440</v>
      </c>
      <c r="R194" s="99">
        <f>IFERROR(__xludf.DUMMYFUNCTION("""COMPUTED_VALUE"""),4277340.0)</f>
        <v>4277340</v>
      </c>
    </row>
    <row r="195">
      <c r="B195" s="96">
        <f>IFERROR(__xludf.DUMMYFUNCTION("""COMPUTED_VALUE"""),5.0)</f>
        <v>5</v>
      </c>
      <c r="C195" s="98">
        <f>IFERROR(__xludf.DUMMYFUNCTION("""COMPUTED_VALUE"""),44053.0)</f>
        <v>44053</v>
      </c>
      <c r="D195" s="96" t="str">
        <f>IFERROR(__xludf.DUMMYFUNCTION("""COMPUTED_VALUE"""),"ZULU &amp; NDOMA")</f>
        <v>ZULU &amp; NDOMA</v>
      </c>
      <c r="E195" s="96">
        <f>IFERROR(__xludf.DUMMYFUNCTION("""COMPUTED_VALUE"""),129.0)</f>
        <v>129</v>
      </c>
      <c r="F195" s="96">
        <f>IFERROR(__xludf.DUMMYFUNCTION("""COMPUTED_VALUE"""),16.0)</f>
        <v>16</v>
      </c>
      <c r="G195" s="96"/>
      <c r="H195" s="96">
        <f>IFERROR(__xludf.DUMMYFUNCTION("""COMPUTED_VALUE"""),2.0)</f>
        <v>2</v>
      </c>
      <c r="I195" s="96"/>
      <c r="J195" s="96">
        <f>IFERROR(__xludf.DUMMYFUNCTION("""COMPUTED_VALUE"""),800.0)</f>
        <v>800</v>
      </c>
      <c r="K195" s="96">
        <f>IFERROR(__xludf.DUMMYFUNCTION("""COMPUTED_VALUE"""),8.0)</f>
        <v>8</v>
      </c>
      <c r="L195" s="96">
        <f>IFERROR(__xludf.DUMMYFUNCTION("""COMPUTED_VALUE"""),0.0)</f>
        <v>0</v>
      </c>
      <c r="M195" s="96">
        <f>IFERROR(__xludf.DUMMYFUNCTION("""COMPUTED_VALUE"""),2.0)</f>
        <v>2</v>
      </c>
      <c r="N195" s="96">
        <f>IFERROR(__xludf.DUMMYFUNCTION("""COMPUTED_VALUE"""),0.0)</f>
        <v>0</v>
      </c>
      <c r="O195" s="96"/>
      <c r="P195" s="129">
        <f>IFERROR(__xludf.DUMMYFUNCTION("""COMPUTED_VALUE"""),127.0)</f>
        <v>127</v>
      </c>
      <c r="Q195" s="99">
        <f>IFERROR(__xludf.DUMMYFUNCTION("""COMPUTED_VALUE"""),101600.0)</f>
        <v>101600</v>
      </c>
      <c r="R195" s="99">
        <f>IFERROR(__xludf.DUMMYFUNCTION("""COMPUTED_VALUE"""),106800.0)</f>
        <v>106800</v>
      </c>
    </row>
    <row r="196">
      <c r="B196" s="96">
        <f>IFERROR(__xludf.DUMMYFUNCTION("""COMPUTED_VALUE"""),5.0)</f>
        <v>5</v>
      </c>
      <c r="C196" s="98">
        <f>IFERROR(__xludf.DUMMYFUNCTION("""COMPUTED_VALUE"""),44051.0)</f>
        <v>44051</v>
      </c>
      <c r="D196" s="96" t="str">
        <f>IFERROR(__xludf.DUMMYFUNCTION("""COMPUTED_VALUE"""),"BOSURU  BOSURU")</f>
        <v>BOSURU  BOSURU</v>
      </c>
      <c r="E196" s="96">
        <f>IFERROR(__xludf.DUMMYFUNCTION("""COMPUTED_VALUE"""),232.0)</f>
        <v>232</v>
      </c>
      <c r="F196" s="96">
        <f>IFERROR(__xludf.DUMMYFUNCTION("""COMPUTED_VALUE"""),23.66)</f>
        <v>23.66</v>
      </c>
      <c r="G196" s="96"/>
      <c r="H196" s="96">
        <f>IFERROR(__xludf.DUMMYFUNCTION("""COMPUTED_VALUE"""),2.0)</f>
        <v>2</v>
      </c>
      <c r="I196" s="96"/>
      <c r="J196" s="96">
        <f>IFERROR(__xludf.DUMMYFUNCTION("""COMPUTED_VALUE"""),800.0)</f>
        <v>800</v>
      </c>
      <c r="K196" s="96">
        <f>IFERROR(__xludf.DUMMYFUNCTION("""COMPUTED_VALUE"""),11.83)</f>
        <v>11.83</v>
      </c>
      <c r="L196" s="96">
        <f>IFERROR(__xludf.DUMMYFUNCTION("""COMPUTED_VALUE"""),9.0)</f>
        <v>9</v>
      </c>
      <c r="M196" s="96">
        <f>IFERROR(__xludf.DUMMYFUNCTION("""COMPUTED_VALUE"""),3.0)</f>
        <v>3</v>
      </c>
      <c r="N196" s="96">
        <f>IFERROR(__xludf.DUMMYFUNCTION("""COMPUTED_VALUE"""),32.0)</f>
        <v>32</v>
      </c>
      <c r="O196" s="96"/>
      <c r="P196" s="129">
        <f>IFERROR(__xludf.DUMMYFUNCTION("""COMPUTED_VALUE"""),221.0)</f>
        <v>221</v>
      </c>
      <c r="Q196" s="99">
        <f>IFERROR(__xludf.DUMMYFUNCTION("""COMPUTED_VALUE"""),176800.0)</f>
        <v>176800</v>
      </c>
      <c r="R196" s="99">
        <f>IFERROR(__xludf.DUMMYFUNCTION("""COMPUTED_VALUE"""),1052380.0)</f>
        <v>1052380</v>
      </c>
    </row>
    <row r="197">
      <c r="B197" s="96">
        <f>IFERROR(__xludf.DUMMYFUNCTION("""COMPUTED_VALUE"""),3.0)</f>
        <v>3</v>
      </c>
      <c r="C197" s="98">
        <f>IFERROR(__xludf.DUMMYFUNCTION("""COMPUTED_VALUE"""),44052.0)</f>
        <v>44052</v>
      </c>
      <c r="D197" s="96" t="str">
        <f>IFERROR(__xludf.DUMMYFUNCTION("""COMPUTED_VALUE"""),"EUGENE")</f>
        <v>EUGENE</v>
      </c>
      <c r="E197" s="96">
        <f>IFERROR(__xludf.DUMMYFUNCTION("""COMPUTED_VALUE"""),212.0)</f>
        <v>212</v>
      </c>
      <c r="F197" s="96">
        <f>IFERROR(__xludf.DUMMYFUNCTION("""COMPUTED_VALUE"""),25.5)</f>
        <v>25.5</v>
      </c>
      <c r="G197" s="96"/>
      <c r="H197" s="96">
        <f>IFERROR(__xludf.DUMMYFUNCTION("""COMPUTED_VALUE"""),3.0)</f>
        <v>3</v>
      </c>
      <c r="I197" s="96"/>
      <c r="J197" s="96">
        <f>IFERROR(__xludf.DUMMYFUNCTION("""COMPUTED_VALUE"""),800.0)</f>
        <v>800</v>
      </c>
      <c r="K197" s="96">
        <f>IFERROR(__xludf.DUMMYFUNCTION("""COMPUTED_VALUE"""),8.5)</f>
        <v>8.5</v>
      </c>
      <c r="L197" s="96">
        <f>IFERROR(__xludf.DUMMYFUNCTION("""COMPUTED_VALUE"""),1.0)</f>
        <v>1</v>
      </c>
      <c r="M197" s="96">
        <f>IFERROR(__xludf.DUMMYFUNCTION("""COMPUTED_VALUE"""),3.0)</f>
        <v>3</v>
      </c>
      <c r="N197" s="96">
        <f>IFERROR(__xludf.DUMMYFUNCTION("""COMPUTED_VALUE"""),19.0)</f>
        <v>19</v>
      </c>
      <c r="O197" s="96"/>
      <c r="P197" s="129">
        <f>IFERROR(__xludf.DUMMYFUNCTION("""COMPUTED_VALUE"""),208.0)</f>
        <v>208</v>
      </c>
      <c r="Q197" s="99">
        <f>IFERROR(__xludf.DUMMYFUNCTION("""COMPUTED_VALUE"""),166400.0)</f>
        <v>166400</v>
      </c>
      <c r="R197" s="99">
        <f>IFERROR(__xludf.DUMMYFUNCTION("""COMPUTED_VALUE"""),31200.0)</f>
        <v>31200</v>
      </c>
    </row>
    <row r="198">
      <c r="B198" s="96">
        <f>IFERROR(__xludf.DUMMYFUNCTION("""COMPUTED_VALUE"""),4.0)</f>
        <v>4</v>
      </c>
      <c r="C198" s="98">
        <f>IFERROR(__xludf.DUMMYFUNCTION("""COMPUTED_VALUE"""),44054.0)</f>
        <v>44054</v>
      </c>
      <c r="D198" s="96" t="str">
        <f>IFERROR(__xludf.DUMMYFUNCTION("""COMPUTED_VALUE"""),"EMMANUEL OKO ")</f>
        <v>EMMANUEL OKO </v>
      </c>
      <c r="E198" s="96">
        <f>IFERROR(__xludf.DUMMYFUNCTION("""COMPUTED_VALUE"""),133.0)</f>
        <v>133</v>
      </c>
      <c r="F198" s="96">
        <f>IFERROR(__xludf.DUMMYFUNCTION("""COMPUTED_VALUE"""),24.0)</f>
        <v>24</v>
      </c>
      <c r="G198" s="96"/>
      <c r="H198" s="96">
        <f>IFERROR(__xludf.DUMMYFUNCTION("""COMPUTED_VALUE"""),3.0)</f>
        <v>3</v>
      </c>
      <c r="I198" s="96"/>
      <c r="J198" s="96">
        <f>IFERROR(__xludf.DUMMYFUNCTION("""COMPUTED_VALUE"""),750.0)</f>
        <v>750</v>
      </c>
      <c r="K198" s="96">
        <f>IFERROR(__xludf.DUMMYFUNCTION("""COMPUTED_VALUE"""),8.0)</f>
        <v>8</v>
      </c>
      <c r="L198" s="96">
        <f>IFERROR(__xludf.DUMMYFUNCTION("""COMPUTED_VALUE"""),0.0)</f>
        <v>0</v>
      </c>
      <c r="M198" s="96">
        <f>IFERROR(__xludf.DUMMYFUNCTION("""COMPUTED_VALUE"""),2.0)</f>
        <v>2</v>
      </c>
      <c r="N198" s="96">
        <f>IFERROR(__xludf.DUMMYFUNCTION("""COMPUTED_VALUE"""),4.0)</f>
        <v>4</v>
      </c>
      <c r="O198" s="96"/>
      <c r="P198" s="129">
        <f>IFERROR(__xludf.DUMMYFUNCTION("""COMPUTED_VALUE"""),130.0)</f>
        <v>130</v>
      </c>
      <c r="Q198" s="99">
        <f>IFERROR(__xludf.DUMMYFUNCTION("""COMPUTED_VALUE"""),97500.0)</f>
        <v>97500</v>
      </c>
      <c r="R198" s="99">
        <f>IFERROR(__xludf.DUMMYFUNCTION("""COMPUTED_VALUE"""),240750.0)</f>
        <v>240750</v>
      </c>
    </row>
    <row r="199">
      <c r="B199" s="96">
        <f>IFERROR(__xludf.DUMMYFUNCTION("""COMPUTED_VALUE"""),4.0)</f>
        <v>4</v>
      </c>
      <c r="C199" s="98">
        <f>IFERROR(__xludf.DUMMYFUNCTION("""COMPUTED_VALUE"""),44054.0)</f>
        <v>44054</v>
      </c>
      <c r="D199" s="96" t="str">
        <f>IFERROR(__xludf.DUMMYFUNCTION("""COMPUTED_VALUE"""),"NDOMA PETER")</f>
        <v>NDOMA PETER</v>
      </c>
      <c r="E199" s="96"/>
      <c r="F199" s="96"/>
      <c r="G199" s="96"/>
      <c r="H199" s="96"/>
      <c r="I199" s="96"/>
      <c r="J199" s="96"/>
      <c r="K199" s="96"/>
      <c r="L199" s="96">
        <f>IFERROR(__xludf.DUMMYFUNCTION("""COMPUTED_VALUE"""),0.0)</f>
        <v>0</v>
      </c>
      <c r="M199" s="96">
        <f>IFERROR(__xludf.DUMMYFUNCTION("""COMPUTED_VALUE"""),0.0)</f>
        <v>0</v>
      </c>
      <c r="N199" s="96">
        <f>IFERROR(__xludf.DUMMYFUNCTION("""COMPUTED_VALUE"""),0.0)</f>
        <v>0</v>
      </c>
      <c r="O199" s="96">
        <f>IFERROR(__xludf.DUMMYFUNCTION("""COMPUTED_VALUE"""),484800.0)</f>
        <v>484800</v>
      </c>
      <c r="P199" s="129">
        <f>IFERROR(__xludf.DUMMYFUNCTION("""COMPUTED_VALUE"""),0.0)</f>
        <v>0</v>
      </c>
      <c r="Q199" s="99"/>
      <c r="R199" s="99">
        <f>IFERROR(__xludf.DUMMYFUNCTION("""COMPUTED_VALUE"""),0.0)</f>
        <v>0</v>
      </c>
    </row>
    <row r="200">
      <c r="B200" s="96">
        <f>IFERROR(__xludf.DUMMYFUNCTION("""COMPUTED_VALUE"""),11.0)</f>
        <v>11</v>
      </c>
      <c r="C200" s="98">
        <f>IFERROR(__xludf.DUMMYFUNCTION("""COMPUTED_VALUE"""),44054.0)</f>
        <v>44054</v>
      </c>
      <c r="D200" s="96" t="str">
        <f>IFERROR(__xludf.DUMMYFUNCTION("""COMPUTED_VALUE"""),"NDOMA BODE I.D")</f>
        <v>NDOMA BODE I.D</v>
      </c>
      <c r="E200" s="96"/>
      <c r="F200" s="96"/>
      <c r="G200" s="96"/>
      <c r="H200" s="96"/>
      <c r="I200" s="96"/>
      <c r="J200" s="96"/>
      <c r="K200" s="96"/>
      <c r="L200" s="96">
        <f>IFERROR(__xludf.DUMMYFUNCTION("""COMPUTED_VALUE"""),0.0)</f>
        <v>0</v>
      </c>
      <c r="M200" s="96">
        <f>IFERROR(__xludf.DUMMYFUNCTION("""COMPUTED_VALUE"""),0.0)</f>
        <v>0</v>
      </c>
      <c r="N200" s="96">
        <f>IFERROR(__xludf.DUMMYFUNCTION("""COMPUTED_VALUE"""),0.0)</f>
        <v>0</v>
      </c>
      <c r="O200" s="96">
        <f>IFERROR(__xludf.DUMMYFUNCTION("""COMPUTED_VALUE"""),14400.0)</f>
        <v>14400</v>
      </c>
      <c r="P200" s="129">
        <f>IFERROR(__xludf.DUMMYFUNCTION("""COMPUTED_VALUE"""),0.0)</f>
        <v>0</v>
      </c>
      <c r="Q200" s="99"/>
      <c r="R200" s="99">
        <f>IFERROR(__xludf.DUMMYFUNCTION("""COMPUTED_VALUE"""),0.0)</f>
        <v>0</v>
      </c>
    </row>
    <row r="201">
      <c r="B201" s="96">
        <f>IFERROR(__xludf.DUMMYFUNCTION("""COMPUTED_VALUE"""),13.0)</f>
        <v>13</v>
      </c>
      <c r="C201" s="98">
        <f>IFERROR(__xludf.DUMMYFUNCTION("""COMPUTED_VALUE"""),44054.0)</f>
        <v>44054</v>
      </c>
      <c r="D201" s="96" t="str">
        <f>IFERROR(__xludf.DUMMYFUNCTION("""COMPUTED_VALUE"""),"CONNECT")</f>
        <v>CONNECT</v>
      </c>
      <c r="E201" s="96"/>
      <c r="F201" s="96"/>
      <c r="G201" s="96"/>
      <c r="H201" s="96"/>
      <c r="I201" s="96"/>
      <c r="J201" s="96"/>
      <c r="K201" s="96"/>
      <c r="L201" s="96">
        <f>IFERROR(__xludf.DUMMYFUNCTION("""COMPUTED_VALUE"""),0.0)</f>
        <v>0</v>
      </c>
      <c r="M201" s="96">
        <f>IFERROR(__xludf.DUMMYFUNCTION("""COMPUTED_VALUE"""),0.0)</f>
        <v>0</v>
      </c>
      <c r="N201" s="96">
        <f>IFERROR(__xludf.DUMMYFUNCTION("""COMPUTED_VALUE"""),0.0)</f>
        <v>0</v>
      </c>
      <c r="O201" s="96">
        <f>IFERROR(__xludf.DUMMYFUNCTION("""COMPUTED_VALUE"""),3000000.0)</f>
        <v>3000000</v>
      </c>
      <c r="P201" s="129">
        <f>IFERROR(__xludf.DUMMYFUNCTION("""COMPUTED_VALUE"""),0.0)</f>
        <v>0</v>
      </c>
      <c r="Q201" s="99"/>
      <c r="R201" s="99">
        <f>IFERROR(__xludf.DUMMYFUNCTION("""COMPUTED_VALUE"""),5167400.0)</f>
        <v>5167400</v>
      </c>
    </row>
    <row r="202">
      <c r="B202" s="96">
        <f>IFERROR(__xludf.DUMMYFUNCTION("""COMPUTED_VALUE"""),14.0)</f>
        <v>14</v>
      </c>
      <c r="C202" s="98">
        <f>IFERROR(__xludf.DUMMYFUNCTION("""COMPUTED_VALUE"""),44054.0)</f>
        <v>44054</v>
      </c>
      <c r="D202" s="96" t="str">
        <f>IFERROR(__xludf.DUMMYFUNCTION("""COMPUTED_VALUE"""),"CONNECT")</f>
        <v>CONNECT</v>
      </c>
      <c r="E202" s="96"/>
      <c r="F202" s="96"/>
      <c r="G202" s="96"/>
      <c r="H202" s="96"/>
      <c r="I202" s="96"/>
      <c r="J202" s="96"/>
      <c r="K202" s="96"/>
      <c r="L202" s="96">
        <f>IFERROR(__xludf.DUMMYFUNCTION("""COMPUTED_VALUE"""),0.0)</f>
        <v>0</v>
      </c>
      <c r="M202" s="96">
        <f>IFERROR(__xludf.DUMMYFUNCTION("""COMPUTED_VALUE"""),0.0)</f>
        <v>0</v>
      </c>
      <c r="N202" s="96">
        <f>IFERROR(__xludf.DUMMYFUNCTION("""COMPUTED_VALUE"""),0.0)</f>
        <v>0</v>
      </c>
      <c r="O202" s="96">
        <f>IFERROR(__xludf.DUMMYFUNCTION("""COMPUTED_VALUE"""),100000.0)</f>
        <v>100000</v>
      </c>
      <c r="P202" s="129">
        <f>IFERROR(__xludf.DUMMYFUNCTION("""COMPUTED_VALUE"""),0.0)</f>
        <v>0</v>
      </c>
      <c r="Q202" s="99"/>
      <c r="R202" s="99">
        <f>IFERROR(__xludf.DUMMYFUNCTION("""COMPUTED_VALUE"""),5267400.0)</f>
        <v>5267400</v>
      </c>
    </row>
    <row r="203">
      <c r="B203" s="96">
        <f>IFERROR(__xludf.DUMMYFUNCTION("""COMPUTED_VALUE"""),12.0)</f>
        <v>12</v>
      </c>
      <c r="C203" s="98">
        <f>IFERROR(__xludf.DUMMYFUNCTION("""COMPUTED_VALUE"""),44054.0)</f>
        <v>44054</v>
      </c>
      <c r="D203" s="96" t="str">
        <f>IFERROR(__xludf.DUMMYFUNCTION("""COMPUTED_VALUE"""),"NDOMA BODE I.D")</f>
        <v>NDOMA BODE I.D</v>
      </c>
      <c r="E203" s="96"/>
      <c r="F203" s="96"/>
      <c r="G203" s="96"/>
      <c r="H203" s="96"/>
      <c r="I203" s="96"/>
      <c r="J203" s="96"/>
      <c r="K203" s="96"/>
      <c r="L203" s="96">
        <f>IFERROR(__xludf.DUMMYFUNCTION("""COMPUTED_VALUE"""),0.0)</f>
        <v>0</v>
      </c>
      <c r="M203" s="96">
        <f>IFERROR(__xludf.DUMMYFUNCTION("""COMPUTED_VALUE"""),0.0)</f>
        <v>0</v>
      </c>
      <c r="N203" s="96">
        <f>IFERROR(__xludf.DUMMYFUNCTION("""COMPUTED_VALUE"""),0.0)</f>
        <v>0</v>
      </c>
      <c r="O203" s="96">
        <f>IFERROR(__xludf.DUMMYFUNCTION("""COMPUTED_VALUE"""),1000000.0)</f>
        <v>1000000</v>
      </c>
      <c r="P203" s="129">
        <f>IFERROR(__xludf.DUMMYFUNCTION("""COMPUTED_VALUE"""),0.0)</f>
        <v>0</v>
      </c>
      <c r="Q203" s="99"/>
      <c r="R203" s="99">
        <f>IFERROR(__xludf.DUMMYFUNCTION("""COMPUTED_VALUE"""),1000000.0)</f>
        <v>1000000</v>
      </c>
    </row>
    <row r="204">
      <c r="B204" s="96">
        <f>IFERROR(__xludf.DUMMYFUNCTION("""COMPUTED_VALUE"""),11.0)</f>
        <v>11</v>
      </c>
      <c r="C204" s="98">
        <f>IFERROR(__xludf.DUMMYFUNCTION("""COMPUTED_VALUE"""),44054.0)</f>
        <v>44054</v>
      </c>
      <c r="D204" s="96" t="str">
        <f>IFERROR(__xludf.DUMMYFUNCTION("""COMPUTED_VALUE"""),"LIVINUS")</f>
        <v>LIVINUS</v>
      </c>
      <c r="E204" s="96"/>
      <c r="F204" s="96"/>
      <c r="G204" s="96"/>
      <c r="H204" s="96"/>
      <c r="I204" s="96"/>
      <c r="J204" s="96"/>
      <c r="K204" s="96"/>
      <c r="L204" s="96">
        <f>IFERROR(__xludf.DUMMYFUNCTION("""COMPUTED_VALUE"""),0.0)</f>
        <v>0</v>
      </c>
      <c r="M204" s="96">
        <f>IFERROR(__xludf.DUMMYFUNCTION("""COMPUTED_VALUE"""),0.0)</f>
        <v>0</v>
      </c>
      <c r="N204" s="96">
        <f>IFERROR(__xludf.DUMMYFUNCTION("""COMPUTED_VALUE"""),0.0)</f>
        <v>0</v>
      </c>
      <c r="O204" s="96">
        <f>IFERROR(__xludf.DUMMYFUNCTION("""COMPUTED_VALUE"""),512000.0)</f>
        <v>512000</v>
      </c>
      <c r="P204" s="129">
        <f>IFERROR(__xludf.DUMMYFUNCTION("""COMPUTED_VALUE"""),0.0)</f>
        <v>0</v>
      </c>
      <c r="Q204" s="99"/>
      <c r="R204" s="99">
        <f>IFERROR(__xludf.DUMMYFUNCTION("""COMPUTED_VALUE"""),4427000.0)</f>
        <v>4427000</v>
      </c>
    </row>
    <row r="205">
      <c r="B205" s="96">
        <f>IFERROR(__xludf.DUMMYFUNCTION("""COMPUTED_VALUE"""),7.0)</f>
        <v>7</v>
      </c>
      <c r="C205" s="98">
        <f>IFERROR(__xludf.DUMMYFUNCTION("""COMPUTED_VALUE"""),44054.0)</f>
        <v>44054</v>
      </c>
      <c r="D205" s="96" t="str">
        <f>IFERROR(__xludf.DUMMYFUNCTION("""COMPUTED_VALUE"""),"ETUK EFFI")</f>
        <v>ETUK EFFI</v>
      </c>
      <c r="E205" s="96"/>
      <c r="F205" s="96"/>
      <c r="G205" s="96"/>
      <c r="H205" s="96"/>
      <c r="I205" s="96"/>
      <c r="J205" s="96"/>
      <c r="K205" s="96"/>
      <c r="L205" s="96">
        <f>IFERROR(__xludf.DUMMYFUNCTION("""COMPUTED_VALUE"""),0.0)</f>
        <v>0</v>
      </c>
      <c r="M205" s="96">
        <f>IFERROR(__xludf.DUMMYFUNCTION("""COMPUTED_VALUE"""),0.0)</f>
        <v>0</v>
      </c>
      <c r="N205" s="96">
        <f>IFERROR(__xludf.DUMMYFUNCTION("""COMPUTED_VALUE"""),0.0)</f>
        <v>0</v>
      </c>
      <c r="O205" s="96">
        <f>IFERROR(__xludf.DUMMYFUNCTION("""COMPUTED_VALUE"""),1500000.0)</f>
        <v>1500000</v>
      </c>
      <c r="P205" s="129">
        <f>IFERROR(__xludf.DUMMYFUNCTION("""COMPUTED_VALUE"""),0.0)</f>
        <v>0</v>
      </c>
      <c r="Q205" s="99"/>
      <c r="R205" s="99">
        <f>IFERROR(__xludf.DUMMYFUNCTION("""COMPUTED_VALUE"""),2936860.0)</f>
        <v>2936860</v>
      </c>
    </row>
    <row r="206">
      <c r="B206" s="96">
        <f>IFERROR(__xludf.DUMMYFUNCTION("""COMPUTED_VALUE"""),2.0)</f>
        <v>2</v>
      </c>
      <c r="C206" s="98">
        <f>IFERROR(__xludf.DUMMYFUNCTION("""COMPUTED_VALUE"""),44054.0)</f>
        <v>44054</v>
      </c>
      <c r="D206" s="96" t="str">
        <f>IFERROR(__xludf.DUMMYFUNCTION("""COMPUTED_VALUE"""),"NAOMI")</f>
        <v>NAOMI</v>
      </c>
      <c r="E206" s="96"/>
      <c r="F206" s="96"/>
      <c r="G206" s="96"/>
      <c r="H206" s="96"/>
      <c r="I206" s="96"/>
      <c r="J206" s="96"/>
      <c r="K206" s="96"/>
      <c r="L206" s="96">
        <f>IFERROR(__xludf.DUMMYFUNCTION("""COMPUTED_VALUE"""),0.0)</f>
        <v>0</v>
      </c>
      <c r="M206" s="96">
        <f>IFERROR(__xludf.DUMMYFUNCTION("""COMPUTED_VALUE"""),0.0)</f>
        <v>0</v>
      </c>
      <c r="N206" s="96">
        <f>IFERROR(__xludf.DUMMYFUNCTION("""COMPUTED_VALUE"""),0.0)</f>
        <v>0</v>
      </c>
      <c r="O206" s="96">
        <f>IFERROR(__xludf.DUMMYFUNCTION("""COMPUTED_VALUE"""),10000.0)</f>
        <v>10000</v>
      </c>
      <c r="P206" s="129">
        <f>IFERROR(__xludf.DUMMYFUNCTION("""COMPUTED_VALUE"""),0.0)</f>
        <v>0</v>
      </c>
      <c r="Q206" s="99"/>
      <c r="R206" s="99">
        <f>IFERROR(__xludf.DUMMYFUNCTION("""COMPUTED_VALUE"""),1.3100265E7)</f>
        <v>13100265</v>
      </c>
    </row>
    <row r="207">
      <c r="B207" s="96">
        <f>IFERROR(__xludf.DUMMYFUNCTION("""COMPUTED_VALUE"""),2.0)</f>
        <v>2</v>
      </c>
      <c r="C207" s="98">
        <f>IFERROR(__xludf.DUMMYFUNCTION("""COMPUTED_VALUE"""),44054.0)</f>
        <v>44054</v>
      </c>
      <c r="D207" s="96" t="str">
        <f>IFERROR(__xludf.DUMMYFUNCTION("""COMPUTED_VALUE"""),"RI SAMP")</f>
        <v>RI SAMP</v>
      </c>
      <c r="E207" s="96"/>
      <c r="F207" s="96"/>
      <c r="G207" s="96"/>
      <c r="H207" s="96"/>
      <c r="I207" s="96"/>
      <c r="J207" s="96"/>
      <c r="K207" s="96"/>
      <c r="L207" s="96">
        <f>IFERROR(__xludf.DUMMYFUNCTION("""COMPUTED_VALUE"""),0.0)</f>
        <v>0</v>
      </c>
      <c r="M207" s="96">
        <f>IFERROR(__xludf.DUMMYFUNCTION("""COMPUTED_VALUE"""),0.0)</f>
        <v>0</v>
      </c>
      <c r="N207" s="96">
        <f>IFERROR(__xludf.DUMMYFUNCTION("""COMPUTED_VALUE"""),0.0)</f>
        <v>0</v>
      </c>
      <c r="O207" s="96">
        <f>IFERROR(__xludf.DUMMYFUNCTION("""COMPUTED_VALUE"""),429600.0)</f>
        <v>429600</v>
      </c>
      <c r="P207" s="129">
        <f>IFERROR(__xludf.DUMMYFUNCTION("""COMPUTED_VALUE"""),0.0)</f>
        <v>0</v>
      </c>
      <c r="Q207" s="99"/>
      <c r="R207" s="99">
        <f>IFERROR(__xludf.DUMMYFUNCTION("""COMPUTED_VALUE"""),1429600.0)</f>
        <v>1429600</v>
      </c>
    </row>
    <row r="208">
      <c r="B208" s="96">
        <f>IFERROR(__xludf.DUMMYFUNCTION("""COMPUTED_VALUE"""),8.0)</f>
        <v>8</v>
      </c>
      <c r="C208" s="98">
        <f>IFERROR(__xludf.DUMMYFUNCTION("""COMPUTED_VALUE"""),44054.0)</f>
        <v>44054</v>
      </c>
      <c r="D208" s="96" t="str">
        <f>IFERROR(__xludf.DUMMYFUNCTION("""COMPUTED_VALUE"""),"JAMES AKAN")</f>
        <v>JAMES AKAN</v>
      </c>
      <c r="E208" s="96"/>
      <c r="F208" s="96"/>
      <c r="G208" s="96"/>
      <c r="H208" s="96"/>
      <c r="I208" s="96"/>
      <c r="J208" s="96"/>
      <c r="K208" s="96"/>
      <c r="L208" s="96">
        <f>IFERROR(__xludf.DUMMYFUNCTION("""COMPUTED_VALUE"""),0.0)</f>
        <v>0</v>
      </c>
      <c r="M208" s="96">
        <f>IFERROR(__xludf.DUMMYFUNCTION("""COMPUTED_VALUE"""),0.0)</f>
        <v>0</v>
      </c>
      <c r="N208" s="96">
        <f>IFERROR(__xludf.DUMMYFUNCTION("""COMPUTED_VALUE"""),0.0)</f>
        <v>0</v>
      </c>
      <c r="O208" s="96">
        <f>IFERROR(__xludf.DUMMYFUNCTION("""COMPUTED_VALUE"""),670000.0)</f>
        <v>670000</v>
      </c>
      <c r="P208" s="129">
        <f>IFERROR(__xludf.DUMMYFUNCTION("""COMPUTED_VALUE"""),0.0)</f>
        <v>0</v>
      </c>
      <c r="Q208" s="99"/>
      <c r="R208" s="99">
        <f>IFERROR(__xludf.DUMMYFUNCTION("""COMPUTED_VALUE"""),848500.0)</f>
        <v>848500</v>
      </c>
    </row>
    <row r="209">
      <c r="B209" s="96">
        <f>IFERROR(__xludf.DUMMYFUNCTION("""COMPUTED_VALUE"""),5.0)</f>
        <v>5</v>
      </c>
      <c r="C209" s="98">
        <f>IFERROR(__xludf.DUMMYFUNCTION("""COMPUTED_VALUE"""),44054.0)</f>
        <v>44054</v>
      </c>
      <c r="D209" s="96" t="str">
        <f>IFERROR(__xludf.DUMMYFUNCTION("""COMPUTED_VALUE"""),"EMMANUEL OKO ")</f>
        <v>EMMANUEL OKO </v>
      </c>
      <c r="E209" s="96"/>
      <c r="F209" s="96"/>
      <c r="G209" s="96"/>
      <c r="H209" s="96"/>
      <c r="I209" s="96"/>
      <c r="J209" s="96"/>
      <c r="K209" s="96"/>
      <c r="L209" s="96">
        <f>IFERROR(__xludf.DUMMYFUNCTION("""COMPUTED_VALUE"""),0.0)</f>
        <v>0</v>
      </c>
      <c r="M209" s="96">
        <f>IFERROR(__xludf.DUMMYFUNCTION("""COMPUTED_VALUE"""),0.0)</f>
        <v>0</v>
      </c>
      <c r="N209" s="96">
        <f>IFERROR(__xludf.DUMMYFUNCTION("""COMPUTED_VALUE"""),0.0)</f>
        <v>0</v>
      </c>
      <c r="O209" s="96">
        <f>IFERROR(__xludf.DUMMYFUNCTION("""COMPUTED_VALUE"""),500000.0)</f>
        <v>500000</v>
      </c>
      <c r="P209" s="129">
        <f>IFERROR(__xludf.DUMMYFUNCTION("""COMPUTED_VALUE"""),0.0)</f>
        <v>0</v>
      </c>
      <c r="Q209" s="99"/>
      <c r="R209" s="99">
        <f>IFERROR(__xludf.DUMMYFUNCTION("""COMPUTED_VALUE"""),740750.0)</f>
        <v>740750</v>
      </c>
    </row>
    <row r="210">
      <c r="B210" s="96">
        <f>IFERROR(__xludf.DUMMYFUNCTION("""COMPUTED_VALUE"""),4.0)</f>
        <v>4</v>
      </c>
      <c r="C210" s="98">
        <f>IFERROR(__xludf.DUMMYFUNCTION("""COMPUTED_VALUE"""),44054.0)</f>
        <v>44054</v>
      </c>
      <c r="D210" s="96" t="str">
        <f>IFERROR(__xludf.DUMMYFUNCTION("""COMPUTED_VALUE"""),"EUGENE")</f>
        <v>EUGENE</v>
      </c>
      <c r="E210" s="96"/>
      <c r="F210" s="96"/>
      <c r="G210" s="96"/>
      <c r="H210" s="96"/>
      <c r="I210" s="96"/>
      <c r="J210" s="96"/>
      <c r="K210" s="96"/>
      <c r="L210" s="96">
        <f>IFERROR(__xludf.DUMMYFUNCTION("""COMPUTED_VALUE"""),0.0)</f>
        <v>0</v>
      </c>
      <c r="M210" s="96">
        <f>IFERROR(__xludf.DUMMYFUNCTION("""COMPUTED_VALUE"""),0.0)</f>
        <v>0</v>
      </c>
      <c r="N210" s="96">
        <f>IFERROR(__xludf.DUMMYFUNCTION("""COMPUTED_VALUE"""),0.0)</f>
        <v>0</v>
      </c>
      <c r="O210" s="96">
        <f>IFERROR(__xludf.DUMMYFUNCTION("""COMPUTED_VALUE"""),300000.0)</f>
        <v>300000</v>
      </c>
      <c r="P210" s="129">
        <f>IFERROR(__xludf.DUMMYFUNCTION("""COMPUTED_VALUE"""),0.0)</f>
        <v>0</v>
      </c>
      <c r="Q210" s="99"/>
      <c r="R210" s="99">
        <f>IFERROR(__xludf.DUMMYFUNCTION("""COMPUTED_VALUE"""),331200.0)</f>
        <v>331200</v>
      </c>
    </row>
    <row r="211">
      <c r="B211" s="96">
        <f>IFERROR(__xludf.DUMMYFUNCTION("""COMPUTED_VALUE"""),6.0)</f>
        <v>6</v>
      </c>
      <c r="C211" s="98">
        <f>IFERROR(__xludf.DUMMYFUNCTION("""COMPUTED_VALUE"""),44054.0)</f>
        <v>44054</v>
      </c>
      <c r="D211" s="96" t="str">
        <f>IFERROR(__xludf.DUMMYFUNCTION("""COMPUTED_VALUE"""),"BOSURU  BOSURU")</f>
        <v>BOSURU  BOSURU</v>
      </c>
      <c r="E211" s="96"/>
      <c r="F211" s="96"/>
      <c r="G211" s="96"/>
      <c r="H211" s="96"/>
      <c r="I211" s="96"/>
      <c r="J211" s="96"/>
      <c r="K211" s="96"/>
      <c r="L211" s="96">
        <f>IFERROR(__xludf.DUMMYFUNCTION("""COMPUTED_VALUE"""),0.0)</f>
        <v>0</v>
      </c>
      <c r="M211" s="96">
        <f>IFERROR(__xludf.DUMMYFUNCTION("""COMPUTED_VALUE"""),0.0)</f>
        <v>0</v>
      </c>
      <c r="N211" s="96">
        <f>IFERROR(__xludf.DUMMYFUNCTION("""COMPUTED_VALUE"""),0.0)</f>
        <v>0</v>
      </c>
      <c r="O211" s="96">
        <f>IFERROR(__xludf.DUMMYFUNCTION("""COMPUTED_VALUE"""),200000.0)</f>
        <v>200000</v>
      </c>
      <c r="P211" s="129">
        <f>IFERROR(__xludf.DUMMYFUNCTION("""COMPUTED_VALUE"""),0.0)</f>
        <v>0</v>
      </c>
      <c r="Q211" s="99"/>
      <c r="R211" s="99">
        <f>IFERROR(__xludf.DUMMYFUNCTION("""COMPUTED_VALUE"""),1252380.0)</f>
        <v>1252380</v>
      </c>
    </row>
    <row r="212">
      <c r="B212" s="96">
        <f>IFERROR(__xludf.DUMMYFUNCTION("""COMPUTED_VALUE"""),2.0)</f>
        <v>2</v>
      </c>
      <c r="C212" s="98">
        <f>IFERROR(__xludf.DUMMYFUNCTION("""COMPUTED_VALUE"""),44054.0)</f>
        <v>44054</v>
      </c>
      <c r="D212" s="96" t="str">
        <f>IFERROR(__xludf.DUMMYFUNCTION("""COMPUTED_VALUE"""),"A. D. FREDERICK")</f>
        <v>A. D. FREDERICK</v>
      </c>
      <c r="E212" s="96"/>
      <c r="F212" s="96"/>
      <c r="G212" s="96"/>
      <c r="H212" s="96"/>
      <c r="I212" s="96"/>
      <c r="J212" s="96"/>
      <c r="K212" s="96"/>
      <c r="L212" s="96">
        <f>IFERROR(__xludf.DUMMYFUNCTION("""COMPUTED_VALUE"""),0.0)</f>
        <v>0</v>
      </c>
      <c r="M212" s="96">
        <f>IFERROR(__xludf.DUMMYFUNCTION("""COMPUTED_VALUE"""),0.0)</f>
        <v>0</v>
      </c>
      <c r="N212" s="96">
        <f>IFERROR(__xludf.DUMMYFUNCTION("""COMPUTED_VALUE"""),0.0)</f>
        <v>0</v>
      </c>
      <c r="O212" s="96">
        <f>IFERROR(__xludf.DUMMYFUNCTION("""COMPUTED_VALUE"""),200000.0)</f>
        <v>200000</v>
      </c>
      <c r="P212" s="129">
        <f>IFERROR(__xludf.DUMMYFUNCTION("""COMPUTED_VALUE"""),0.0)</f>
        <v>0</v>
      </c>
      <c r="Q212" s="99"/>
      <c r="R212" s="99">
        <f>IFERROR(__xludf.DUMMYFUNCTION("""COMPUTED_VALUE"""),450000.0)</f>
        <v>450000</v>
      </c>
    </row>
    <row r="213">
      <c r="B213" s="96">
        <f>IFERROR(__xludf.DUMMYFUNCTION("""COMPUTED_VALUE"""),3.0)</f>
        <v>3</v>
      </c>
      <c r="C213" s="98">
        <f>IFERROR(__xludf.DUMMYFUNCTION("""COMPUTED_VALUE"""),44054.0)</f>
        <v>44054</v>
      </c>
      <c r="D213" s="96" t="str">
        <f>IFERROR(__xludf.DUMMYFUNCTION("""COMPUTED_VALUE"""),"A. D. FREDERICK")</f>
        <v>A. D. FREDERICK</v>
      </c>
      <c r="E213" s="96"/>
      <c r="F213" s="96"/>
      <c r="G213" s="96"/>
      <c r="H213" s="96"/>
      <c r="I213" s="96"/>
      <c r="J213" s="96"/>
      <c r="K213" s="96"/>
      <c r="L213" s="96">
        <f>IFERROR(__xludf.DUMMYFUNCTION("""COMPUTED_VALUE"""),0.0)</f>
        <v>0</v>
      </c>
      <c r="M213" s="96">
        <f>IFERROR(__xludf.DUMMYFUNCTION("""COMPUTED_VALUE"""),0.0)</f>
        <v>0</v>
      </c>
      <c r="N213" s="96">
        <f>IFERROR(__xludf.DUMMYFUNCTION("""COMPUTED_VALUE"""),0.0)</f>
        <v>0</v>
      </c>
      <c r="O213" s="96">
        <f>IFERROR(__xludf.DUMMYFUNCTION("""COMPUTED_VALUE"""),300000.0)</f>
        <v>300000</v>
      </c>
      <c r="P213" s="129">
        <f>IFERROR(__xludf.DUMMYFUNCTION("""COMPUTED_VALUE"""),0.0)</f>
        <v>0</v>
      </c>
      <c r="Q213" s="99"/>
      <c r="R213" s="99">
        <f>IFERROR(__xludf.DUMMYFUNCTION("""COMPUTED_VALUE"""),750000.0)</f>
        <v>750000</v>
      </c>
    </row>
    <row r="214">
      <c r="B214" s="96">
        <f>IFERROR(__xludf.DUMMYFUNCTION("""COMPUTED_VALUE"""),5.0)</f>
        <v>5</v>
      </c>
      <c r="C214" s="98">
        <f>IFERROR(__xludf.DUMMYFUNCTION("""COMPUTED_VALUE"""),44054.0)</f>
        <v>44054</v>
      </c>
      <c r="D214" s="96" t="str">
        <f>IFERROR(__xludf.DUMMYFUNCTION("""COMPUTED_VALUE"""),"NDOMA PETER")</f>
        <v>NDOMA PETER</v>
      </c>
      <c r="E214" s="96"/>
      <c r="F214" s="96"/>
      <c r="G214" s="96"/>
      <c r="H214" s="96"/>
      <c r="I214" s="96"/>
      <c r="J214" s="96"/>
      <c r="K214" s="96"/>
      <c r="L214" s="96">
        <f>IFERROR(__xludf.DUMMYFUNCTION("""COMPUTED_VALUE"""),0.0)</f>
        <v>0</v>
      </c>
      <c r="M214" s="96">
        <f>IFERROR(__xludf.DUMMYFUNCTION("""COMPUTED_VALUE"""),0.0)</f>
        <v>0</v>
      </c>
      <c r="N214" s="96">
        <f>IFERROR(__xludf.DUMMYFUNCTION("""COMPUTED_VALUE"""),0.0)</f>
        <v>0</v>
      </c>
      <c r="O214" s="96">
        <f>IFERROR(__xludf.DUMMYFUNCTION("""COMPUTED_VALUE"""),600000.0)</f>
        <v>600000</v>
      </c>
      <c r="P214" s="129">
        <f>IFERROR(__xludf.DUMMYFUNCTION("""COMPUTED_VALUE"""),0.0)</f>
        <v>0</v>
      </c>
      <c r="Q214" s="99"/>
      <c r="R214" s="99">
        <f>IFERROR(__xludf.DUMMYFUNCTION("""COMPUTED_VALUE"""),600000.0)</f>
        <v>600000</v>
      </c>
    </row>
    <row r="215">
      <c r="B215" s="96">
        <f>IFERROR(__xludf.DUMMYFUNCTION("""COMPUTED_VALUE"""),1.0)</f>
        <v>1</v>
      </c>
      <c r="C215" s="98">
        <f>IFERROR(__xludf.DUMMYFUNCTION("""COMPUTED_VALUE"""),44054.0)</f>
        <v>44054</v>
      </c>
      <c r="D215" s="96" t="str">
        <f>IFERROR(__xludf.DUMMYFUNCTION("""COMPUTED_VALUE"""),"NDOMA NDOMA")</f>
        <v>NDOMA NDOMA</v>
      </c>
      <c r="E215" s="96"/>
      <c r="F215" s="96"/>
      <c r="G215" s="96"/>
      <c r="H215" s="96"/>
      <c r="I215" s="96"/>
      <c r="J215" s="96"/>
      <c r="K215" s="96"/>
      <c r="L215" s="96">
        <f>IFERROR(__xludf.DUMMYFUNCTION("""COMPUTED_VALUE"""),0.0)</f>
        <v>0</v>
      </c>
      <c r="M215" s="96">
        <f>IFERROR(__xludf.DUMMYFUNCTION("""COMPUTED_VALUE"""),0.0)</f>
        <v>0</v>
      </c>
      <c r="N215" s="96">
        <f>IFERROR(__xludf.DUMMYFUNCTION("""COMPUTED_VALUE"""),0.0)</f>
        <v>0</v>
      </c>
      <c r="O215" s="96">
        <f>IFERROR(__xludf.DUMMYFUNCTION("""COMPUTED_VALUE"""),200000.0)</f>
        <v>200000</v>
      </c>
      <c r="P215" s="129">
        <f>IFERROR(__xludf.DUMMYFUNCTION("""COMPUTED_VALUE"""),0.0)</f>
        <v>0</v>
      </c>
      <c r="Q215" s="99"/>
      <c r="R215" s="99">
        <f>IFERROR(__xludf.DUMMYFUNCTION("""COMPUTED_VALUE"""),200000.0)</f>
        <v>200000</v>
      </c>
    </row>
    <row r="216">
      <c r="B216" s="96">
        <f>IFERROR(__xludf.DUMMYFUNCTION("""COMPUTED_VALUE"""),5.0)</f>
        <v>5</v>
      </c>
      <c r="C216" s="98">
        <f>IFERROR(__xludf.DUMMYFUNCTION("""COMPUTED_VALUE"""),44054.0)</f>
        <v>44054</v>
      </c>
      <c r="D216" s="96" t="str">
        <f>IFERROR(__xludf.DUMMYFUNCTION("""COMPUTED_VALUE"""),"REMMY BODES")</f>
        <v>REMMY BODES</v>
      </c>
      <c r="E216" s="96"/>
      <c r="F216" s="96"/>
      <c r="G216" s="96"/>
      <c r="H216" s="96"/>
      <c r="I216" s="96"/>
      <c r="J216" s="96"/>
      <c r="K216" s="96"/>
      <c r="L216" s="96">
        <f>IFERROR(__xludf.DUMMYFUNCTION("""COMPUTED_VALUE"""),0.0)</f>
        <v>0</v>
      </c>
      <c r="M216" s="96">
        <f>IFERROR(__xludf.DUMMYFUNCTION("""COMPUTED_VALUE"""),0.0)</f>
        <v>0</v>
      </c>
      <c r="N216" s="96">
        <f>IFERROR(__xludf.DUMMYFUNCTION("""COMPUTED_VALUE"""),0.0)</f>
        <v>0</v>
      </c>
      <c r="O216" s="96">
        <f>IFERROR(__xludf.DUMMYFUNCTION("""COMPUTED_VALUE"""),500000.0)</f>
        <v>500000</v>
      </c>
      <c r="P216" s="129">
        <f>IFERROR(__xludf.DUMMYFUNCTION("""COMPUTED_VALUE"""),0.0)</f>
        <v>0</v>
      </c>
      <c r="Q216" s="99"/>
      <c r="R216" s="99">
        <f>IFERROR(__xludf.DUMMYFUNCTION("""COMPUTED_VALUE"""),1424060.0)</f>
        <v>1424060</v>
      </c>
    </row>
    <row r="217">
      <c r="B217" s="96">
        <f>IFERROR(__xludf.DUMMYFUNCTION("""COMPUTED_VALUE"""),6.0)</f>
        <v>6</v>
      </c>
      <c r="C217" s="98">
        <f>IFERROR(__xludf.DUMMYFUNCTION("""COMPUTED_VALUE"""),44055.0)</f>
        <v>44055</v>
      </c>
      <c r="D217" s="96" t="str">
        <f>IFERROR(__xludf.DUMMYFUNCTION("""COMPUTED_VALUE"""),"ZULU &amp; NDOMA")</f>
        <v>ZULU &amp; NDOMA</v>
      </c>
      <c r="E217" s="96"/>
      <c r="F217" s="96"/>
      <c r="G217" s="96"/>
      <c r="H217" s="96"/>
      <c r="I217" s="96"/>
      <c r="J217" s="96"/>
      <c r="K217" s="96"/>
      <c r="L217" s="96">
        <f>IFERROR(__xludf.DUMMYFUNCTION("""COMPUTED_VALUE"""),0.0)</f>
        <v>0</v>
      </c>
      <c r="M217" s="96">
        <f>IFERROR(__xludf.DUMMYFUNCTION("""COMPUTED_VALUE"""),0.0)</f>
        <v>0</v>
      </c>
      <c r="N217" s="96">
        <f>IFERROR(__xludf.DUMMYFUNCTION("""COMPUTED_VALUE"""),0.0)</f>
        <v>0</v>
      </c>
      <c r="O217" s="96">
        <f>IFERROR(__xludf.DUMMYFUNCTION("""COMPUTED_VALUE"""),100000.0)</f>
        <v>100000</v>
      </c>
      <c r="P217" s="129">
        <f>IFERROR(__xludf.DUMMYFUNCTION("""COMPUTED_VALUE"""),0.0)</f>
        <v>0</v>
      </c>
      <c r="Q217" s="99"/>
      <c r="R217" s="99">
        <f>IFERROR(__xludf.DUMMYFUNCTION("""COMPUTED_VALUE"""),206800.0)</f>
        <v>206800</v>
      </c>
    </row>
    <row r="218">
      <c r="B218" s="96">
        <f>IFERROR(__xludf.DUMMYFUNCTION("""COMPUTED_VALUE"""),12.0)</f>
        <v>12</v>
      </c>
      <c r="C218" s="98">
        <f>IFERROR(__xludf.DUMMYFUNCTION("""COMPUTED_VALUE"""),44055.0)</f>
        <v>44055</v>
      </c>
      <c r="D218" s="96" t="str">
        <f>IFERROR(__xludf.DUMMYFUNCTION("""COMPUTED_VALUE"""),"LIVINUS")</f>
        <v>LIVINUS</v>
      </c>
      <c r="E218" s="96"/>
      <c r="F218" s="96"/>
      <c r="G218" s="96"/>
      <c r="H218" s="96"/>
      <c r="I218" s="96"/>
      <c r="J218" s="96"/>
      <c r="K218" s="96"/>
      <c r="L218" s="96">
        <f>IFERROR(__xludf.DUMMYFUNCTION("""COMPUTED_VALUE"""),0.0)</f>
        <v>0</v>
      </c>
      <c r="M218" s="96">
        <f>IFERROR(__xludf.DUMMYFUNCTION("""COMPUTED_VALUE"""),0.0)</f>
        <v>0</v>
      </c>
      <c r="N218" s="96">
        <f>IFERROR(__xludf.DUMMYFUNCTION("""COMPUTED_VALUE"""),0.0)</f>
        <v>0</v>
      </c>
      <c r="O218" s="96">
        <f>IFERROR(__xludf.DUMMYFUNCTION("""COMPUTED_VALUE"""),1250000.0)</f>
        <v>1250000</v>
      </c>
      <c r="P218" s="129">
        <f>IFERROR(__xludf.DUMMYFUNCTION("""COMPUTED_VALUE"""),0.0)</f>
        <v>0</v>
      </c>
      <c r="Q218" s="99"/>
      <c r="R218" s="99">
        <f>IFERROR(__xludf.DUMMYFUNCTION("""COMPUTED_VALUE"""),5677000.0)</f>
        <v>5677000</v>
      </c>
    </row>
    <row r="219">
      <c r="B219" s="96">
        <f>IFERROR(__xludf.DUMMYFUNCTION("""COMPUTED_VALUE"""),1.0)</f>
        <v>1</v>
      </c>
      <c r="C219" s="98">
        <f>IFERROR(__xludf.DUMMYFUNCTION("""COMPUTED_VALUE"""),44055.0)</f>
        <v>44055</v>
      </c>
      <c r="D219" s="96" t="str">
        <f>IFERROR(__xludf.DUMMYFUNCTION("""COMPUTED_VALUE"""),"OMODION")</f>
        <v>OMODION</v>
      </c>
      <c r="E219" s="96"/>
      <c r="F219" s="96"/>
      <c r="G219" s="96"/>
      <c r="H219" s="96"/>
      <c r="I219" s="96"/>
      <c r="J219" s="96"/>
      <c r="K219" s="96"/>
      <c r="L219" s="96">
        <f>IFERROR(__xludf.DUMMYFUNCTION("""COMPUTED_VALUE"""),0.0)</f>
        <v>0</v>
      </c>
      <c r="M219" s="96">
        <f>IFERROR(__xludf.DUMMYFUNCTION("""COMPUTED_VALUE"""),0.0)</f>
        <v>0</v>
      </c>
      <c r="N219" s="96">
        <f>IFERROR(__xludf.DUMMYFUNCTION("""COMPUTED_VALUE"""),0.0)</f>
        <v>0</v>
      </c>
      <c r="O219" s="96">
        <f>IFERROR(__xludf.DUMMYFUNCTION("""COMPUTED_VALUE"""),500000.0)</f>
        <v>500000</v>
      </c>
      <c r="P219" s="129">
        <f>IFERROR(__xludf.DUMMYFUNCTION("""COMPUTED_VALUE"""),0.0)</f>
        <v>0</v>
      </c>
      <c r="Q219" s="99"/>
      <c r="R219" s="99">
        <f>IFERROR(__xludf.DUMMYFUNCTION("""COMPUTED_VALUE"""),500000.0)</f>
        <v>500000</v>
      </c>
    </row>
    <row r="220">
      <c r="B220" s="96">
        <f>IFERROR(__xludf.DUMMYFUNCTION("""COMPUTED_VALUE"""),2.0)</f>
        <v>2</v>
      </c>
      <c r="C220" s="98">
        <f>IFERROR(__xludf.DUMMYFUNCTION("""COMPUTED_VALUE"""),44056.0)</f>
        <v>44056</v>
      </c>
      <c r="D220" s="96" t="str">
        <f>IFERROR(__xludf.DUMMYFUNCTION("""COMPUTED_VALUE"""),"AUGUSTINE IGBA")</f>
        <v>AUGUSTINE IGBA</v>
      </c>
      <c r="E220" s="96"/>
      <c r="F220" s="96"/>
      <c r="G220" s="96"/>
      <c r="H220" s="96"/>
      <c r="I220" s="96"/>
      <c r="J220" s="96"/>
      <c r="K220" s="96"/>
      <c r="L220" s="96">
        <f>IFERROR(__xludf.DUMMYFUNCTION("""COMPUTED_VALUE"""),0.0)</f>
        <v>0</v>
      </c>
      <c r="M220" s="96">
        <f>IFERROR(__xludf.DUMMYFUNCTION("""COMPUTED_VALUE"""),0.0)</f>
        <v>0</v>
      </c>
      <c r="N220" s="96">
        <f>IFERROR(__xludf.DUMMYFUNCTION("""COMPUTED_VALUE"""),0.0)</f>
        <v>0</v>
      </c>
      <c r="O220" s="96">
        <f>IFERROR(__xludf.DUMMYFUNCTION("""COMPUTED_VALUE"""),1000000.0)</f>
        <v>1000000</v>
      </c>
      <c r="P220" s="129">
        <f>IFERROR(__xludf.DUMMYFUNCTION("""COMPUTED_VALUE"""),0.0)</f>
        <v>0</v>
      </c>
      <c r="Q220" s="99"/>
      <c r="R220" s="99">
        <f>IFERROR(__xludf.DUMMYFUNCTION("""COMPUTED_VALUE"""),2.125962E7)</f>
        <v>21259620</v>
      </c>
    </row>
    <row r="221">
      <c r="B221" s="96">
        <f>IFERROR(__xludf.DUMMYFUNCTION("""COMPUTED_VALUE"""),8.0)</f>
        <v>8</v>
      </c>
      <c r="C221" s="98">
        <f>IFERROR(__xludf.DUMMYFUNCTION("""COMPUTED_VALUE"""),44056.0)</f>
        <v>44056</v>
      </c>
      <c r="D221" s="96" t="str">
        <f>IFERROR(__xludf.DUMMYFUNCTION("""COMPUTED_VALUE"""),"ETUK EFFI")</f>
        <v>ETUK EFFI</v>
      </c>
      <c r="E221" s="96"/>
      <c r="F221" s="96"/>
      <c r="G221" s="96"/>
      <c r="H221" s="96"/>
      <c r="I221" s="96"/>
      <c r="J221" s="96"/>
      <c r="K221" s="96"/>
      <c r="L221" s="96">
        <f>IFERROR(__xludf.DUMMYFUNCTION("""COMPUTED_VALUE"""),0.0)</f>
        <v>0</v>
      </c>
      <c r="M221" s="96">
        <f>IFERROR(__xludf.DUMMYFUNCTION("""COMPUTED_VALUE"""),0.0)</f>
        <v>0</v>
      </c>
      <c r="N221" s="96">
        <f>IFERROR(__xludf.DUMMYFUNCTION("""COMPUTED_VALUE"""),0.0)</f>
        <v>0</v>
      </c>
      <c r="O221" s="96">
        <f>IFERROR(__xludf.DUMMYFUNCTION("""COMPUTED_VALUE"""),500000.0)</f>
        <v>500000</v>
      </c>
      <c r="P221" s="129">
        <f>IFERROR(__xludf.DUMMYFUNCTION("""COMPUTED_VALUE"""),0.0)</f>
        <v>0</v>
      </c>
      <c r="Q221" s="99"/>
      <c r="R221" s="99">
        <f>IFERROR(__xludf.DUMMYFUNCTION("""COMPUTED_VALUE"""),3436860.0)</f>
        <v>3436860</v>
      </c>
    </row>
    <row r="222">
      <c r="B222" s="96">
        <f>IFERROR(__xludf.DUMMYFUNCTION("""COMPUTED_VALUE"""),14.0)</f>
        <v>14</v>
      </c>
      <c r="C222" s="98">
        <f>IFERROR(__xludf.DUMMYFUNCTION("""COMPUTED_VALUE"""),44055.0)</f>
        <v>44055</v>
      </c>
      <c r="D222" s="96" t="str">
        <f>IFERROR(__xludf.DUMMYFUNCTION("""COMPUTED_VALUE"""),"LYDIA HNSON ")</f>
        <v>LYDIA HNSON </v>
      </c>
      <c r="E222" s="96">
        <f>IFERROR(__xludf.DUMMYFUNCTION("""COMPUTED_VALUE"""),798.0)</f>
        <v>798</v>
      </c>
      <c r="F222" s="96">
        <f>IFERROR(__xludf.DUMMYFUNCTION("""COMPUTED_VALUE"""),104.0)</f>
        <v>104</v>
      </c>
      <c r="G222" s="96"/>
      <c r="H222" s="96">
        <f>IFERROR(__xludf.DUMMYFUNCTION("""COMPUTED_VALUE"""),13.0)</f>
        <v>13</v>
      </c>
      <c r="I222" s="96"/>
      <c r="J222" s="96">
        <f>IFERROR(__xludf.DUMMYFUNCTION("""COMPUTED_VALUE"""),800.0)</f>
        <v>800</v>
      </c>
      <c r="K222" s="96">
        <f>IFERROR(__xludf.DUMMYFUNCTION("""COMPUTED_VALUE"""),8.0)</f>
        <v>8</v>
      </c>
      <c r="L222" s="96">
        <f>IFERROR(__xludf.DUMMYFUNCTION("""COMPUTED_VALUE"""),0.0)</f>
        <v>0</v>
      </c>
      <c r="M222" s="96">
        <f>IFERROR(__xludf.DUMMYFUNCTION("""COMPUTED_VALUE"""),12.0)</f>
        <v>12</v>
      </c>
      <c r="N222" s="96">
        <f>IFERROR(__xludf.DUMMYFUNCTION("""COMPUTED_VALUE"""),29.0)</f>
        <v>29</v>
      </c>
      <c r="O222" s="96">
        <f>IFERROR(__xludf.DUMMYFUNCTION("""COMPUTED_VALUE"""),1000000.0)</f>
        <v>1000000</v>
      </c>
      <c r="P222" s="129">
        <f>IFERROR(__xludf.DUMMYFUNCTION("""COMPUTED_VALUE"""),785.0)</f>
        <v>785</v>
      </c>
      <c r="Q222" s="99">
        <f>IFERROR(__xludf.DUMMYFUNCTION("""COMPUTED_VALUE"""),628000.0)</f>
        <v>628000</v>
      </c>
      <c r="R222" s="99">
        <f>IFERROR(__xludf.DUMMYFUNCTION("""COMPUTED_VALUE"""),3466560.0)</f>
        <v>3466560</v>
      </c>
    </row>
    <row r="223">
      <c r="B223" s="96">
        <f>IFERROR(__xludf.DUMMYFUNCTION("""COMPUTED_VALUE"""),13.0)</f>
        <v>13</v>
      </c>
      <c r="C223" s="98">
        <f>IFERROR(__xludf.DUMMYFUNCTION("""COMPUTED_VALUE"""),44055.0)</f>
        <v>44055</v>
      </c>
      <c r="D223" s="96" t="str">
        <f>IFERROR(__xludf.DUMMYFUNCTION("""COMPUTED_VALUE"""),"LIVINUS")</f>
        <v>LIVINUS</v>
      </c>
      <c r="E223" s="96"/>
      <c r="F223" s="96"/>
      <c r="G223" s="96"/>
      <c r="H223" s="96"/>
      <c r="I223" s="96"/>
      <c r="J223" s="96"/>
      <c r="K223" s="96"/>
      <c r="L223" s="96">
        <f>IFERROR(__xludf.DUMMYFUNCTION("""COMPUTED_VALUE"""),0.0)</f>
        <v>0</v>
      </c>
      <c r="M223" s="96">
        <f>IFERROR(__xludf.DUMMYFUNCTION("""COMPUTED_VALUE"""),0.0)</f>
        <v>0</v>
      </c>
      <c r="N223" s="96">
        <f>IFERROR(__xludf.DUMMYFUNCTION("""COMPUTED_VALUE"""),0.0)</f>
        <v>0</v>
      </c>
      <c r="O223" s="96">
        <f>IFERROR(__xludf.DUMMYFUNCTION("""COMPUTED_VALUE"""),-1000000.0)</f>
        <v>-1000000</v>
      </c>
      <c r="P223" s="129">
        <f>IFERROR(__xludf.DUMMYFUNCTION("""COMPUTED_VALUE"""),0.0)</f>
        <v>0</v>
      </c>
      <c r="Q223" s="99"/>
      <c r="R223" s="99">
        <f>IFERROR(__xludf.DUMMYFUNCTION("""COMPUTED_VALUE"""),4677000.0)</f>
        <v>4677000</v>
      </c>
    </row>
    <row r="224">
      <c r="B224" s="96">
        <f>IFERROR(__xludf.DUMMYFUNCTION("""COMPUTED_VALUE"""),5.0)</f>
        <v>5</v>
      </c>
      <c r="C224" s="98">
        <f>IFERROR(__xludf.DUMMYFUNCTION("""COMPUTED_VALUE"""),44057.0)</f>
        <v>44057</v>
      </c>
      <c r="D224" s="96" t="str">
        <f>IFERROR(__xludf.DUMMYFUNCTION("""COMPUTED_VALUE"""),"ANDRDEW GREAT")</f>
        <v>ANDRDEW GREAT</v>
      </c>
      <c r="E224" s="96"/>
      <c r="F224" s="96"/>
      <c r="G224" s="96"/>
      <c r="H224" s="96"/>
      <c r="I224" s="96"/>
      <c r="J224" s="96"/>
      <c r="K224" s="96"/>
      <c r="L224" s="96">
        <f>IFERROR(__xludf.DUMMYFUNCTION("""COMPUTED_VALUE"""),0.0)</f>
        <v>0</v>
      </c>
      <c r="M224" s="96">
        <f>IFERROR(__xludf.DUMMYFUNCTION("""COMPUTED_VALUE"""),0.0)</f>
        <v>0</v>
      </c>
      <c r="N224" s="96">
        <f>IFERROR(__xludf.DUMMYFUNCTION("""COMPUTED_VALUE"""),0.0)</f>
        <v>0</v>
      </c>
      <c r="O224" s="96">
        <f>IFERROR(__xludf.DUMMYFUNCTION("""COMPUTED_VALUE"""),30000.0)</f>
        <v>30000</v>
      </c>
      <c r="P224" s="129">
        <f>IFERROR(__xludf.DUMMYFUNCTION("""COMPUTED_VALUE"""),0.0)</f>
        <v>0</v>
      </c>
      <c r="Q224" s="99"/>
      <c r="R224" s="99">
        <f>IFERROR(__xludf.DUMMYFUNCTION("""COMPUTED_VALUE"""),1556950.0)</f>
        <v>1556950</v>
      </c>
    </row>
    <row r="225">
      <c r="B225" s="96">
        <f>IFERROR(__xludf.DUMMYFUNCTION("""COMPUTED_VALUE"""),2.0)</f>
        <v>2</v>
      </c>
      <c r="C225" s="98">
        <f>IFERROR(__xludf.DUMMYFUNCTION("""COMPUTED_VALUE"""),44057.0)</f>
        <v>44057</v>
      </c>
      <c r="D225" s="96" t="str">
        <f>IFERROR(__xludf.DUMMYFUNCTION("""COMPUTED_VALUE"""),"OMODION")</f>
        <v>OMODION</v>
      </c>
      <c r="E225" s="96"/>
      <c r="F225" s="96"/>
      <c r="G225" s="96"/>
      <c r="H225" s="96"/>
      <c r="I225" s="96"/>
      <c r="J225" s="96"/>
      <c r="K225" s="96"/>
      <c r="L225" s="96">
        <f>IFERROR(__xludf.DUMMYFUNCTION("""COMPUTED_VALUE"""),0.0)</f>
        <v>0</v>
      </c>
      <c r="M225" s="96">
        <f>IFERROR(__xludf.DUMMYFUNCTION("""COMPUTED_VALUE"""),0.0)</f>
        <v>0</v>
      </c>
      <c r="N225" s="96">
        <f>IFERROR(__xludf.DUMMYFUNCTION("""COMPUTED_VALUE"""),0.0)</f>
        <v>0</v>
      </c>
      <c r="O225" s="96">
        <f>IFERROR(__xludf.DUMMYFUNCTION("""COMPUTED_VALUE"""),330000.0)</f>
        <v>330000</v>
      </c>
      <c r="P225" s="129">
        <f>IFERROR(__xludf.DUMMYFUNCTION("""COMPUTED_VALUE"""),0.0)</f>
        <v>0</v>
      </c>
      <c r="Q225" s="99"/>
      <c r="R225" s="99">
        <f>IFERROR(__xludf.DUMMYFUNCTION("""COMPUTED_VALUE"""),830000.0)</f>
        <v>830000</v>
      </c>
    </row>
    <row r="226">
      <c r="B226" s="96">
        <f>IFERROR(__xludf.DUMMYFUNCTION("""COMPUTED_VALUE"""),2.0)</f>
        <v>2</v>
      </c>
      <c r="C226" s="98">
        <f>IFERROR(__xludf.DUMMYFUNCTION("""COMPUTED_VALUE"""),44057.0)</f>
        <v>44057</v>
      </c>
      <c r="D226" s="96" t="str">
        <f>IFERROR(__xludf.DUMMYFUNCTION("""COMPUTED_VALUE"""),"OBIM TIWA HNSON")</f>
        <v>OBIM TIWA HNSON</v>
      </c>
      <c r="E226" s="96"/>
      <c r="F226" s="96"/>
      <c r="G226" s="96"/>
      <c r="H226" s="96"/>
      <c r="I226" s="96"/>
      <c r="J226" s="96"/>
      <c r="K226" s="96"/>
      <c r="L226" s="96">
        <f>IFERROR(__xludf.DUMMYFUNCTION("""COMPUTED_VALUE"""),0.0)</f>
        <v>0</v>
      </c>
      <c r="M226" s="96">
        <f>IFERROR(__xludf.DUMMYFUNCTION("""COMPUTED_VALUE"""),0.0)</f>
        <v>0</v>
      </c>
      <c r="N226" s="96">
        <f>IFERROR(__xludf.DUMMYFUNCTION("""COMPUTED_VALUE"""),0.0)</f>
        <v>0</v>
      </c>
      <c r="O226" s="96">
        <f>IFERROR(__xludf.DUMMYFUNCTION("""COMPUTED_VALUE"""),500000.0)</f>
        <v>500000</v>
      </c>
      <c r="P226" s="129">
        <f>IFERROR(__xludf.DUMMYFUNCTION("""COMPUTED_VALUE"""),0.0)</f>
        <v>0</v>
      </c>
      <c r="Q226" s="99"/>
      <c r="R226" s="99">
        <f>IFERROR(__xludf.DUMMYFUNCTION("""COMPUTED_VALUE"""),590000.0)</f>
        <v>590000</v>
      </c>
    </row>
    <row r="227">
      <c r="B227" s="96">
        <f>IFERROR(__xludf.DUMMYFUNCTION("""COMPUTED_VALUE"""),3.0)</f>
        <v>3</v>
      </c>
      <c r="C227" s="98">
        <f>IFERROR(__xludf.DUMMYFUNCTION("""COMPUTED_VALUE"""),44057.0)</f>
        <v>44057</v>
      </c>
      <c r="D227" s="96" t="str">
        <f>IFERROR(__xludf.DUMMYFUNCTION("""COMPUTED_VALUE"""),"OBIM TIWA HNSON")</f>
        <v>OBIM TIWA HNSON</v>
      </c>
      <c r="E227" s="96"/>
      <c r="F227" s="96"/>
      <c r="G227" s="96"/>
      <c r="H227" s="96"/>
      <c r="I227" s="96"/>
      <c r="J227" s="96"/>
      <c r="K227" s="96"/>
      <c r="L227" s="96">
        <f>IFERROR(__xludf.DUMMYFUNCTION("""COMPUTED_VALUE"""),0.0)</f>
        <v>0</v>
      </c>
      <c r="M227" s="96">
        <f>IFERROR(__xludf.DUMMYFUNCTION("""COMPUTED_VALUE"""),0.0)</f>
        <v>0</v>
      </c>
      <c r="N227" s="96">
        <f>IFERROR(__xludf.DUMMYFUNCTION("""COMPUTED_VALUE"""),0.0)</f>
        <v>0</v>
      </c>
      <c r="O227" s="96">
        <f>IFERROR(__xludf.DUMMYFUNCTION("""COMPUTED_VALUE"""),20000.0)</f>
        <v>20000</v>
      </c>
      <c r="P227" s="129">
        <f>IFERROR(__xludf.DUMMYFUNCTION("""COMPUTED_VALUE"""),0.0)</f>
        <v>0</v>
      </c>
      <c r="Q227" s="99"/>
      <c r="R227" s="99">
        <f>IFERROR(__xludf.DUMMYFUNCTION("""COMPUTED_VALUE"""),610000.0)</f>
        <v>610000</v>
      </c>
    </row>
    <row r="228">
      <c r="B228" s="96">
        <f>IFERROR(__xludf.DUMMYFUNCTION("""COMPUTED_VALUE"""),7.0)</f>
        <v>7</v>
      </c>
      <c r="C228" s="98">
        <f>IFERROR(__xludf.DUMMYFUNCTION("""COMPUTED_VALUE"""),44041.0)</f>
        <v>44041</v>
      </c>
      <c r="D228" s="96" t="str">
        <f>IFERROR(__xludf.DUMMYFUNCTION("""COMPUTED_VALUE"""),"EDWARD OKO")</f>
        <v>EDWARD OKO</v>
      </c>
      <c r="E228" s="96">
        <f>IFERROR(__xludf.DUMMYFUNCTION("""COMPUTED_VALUE"""),93.0)</f>
        <v>93</v>
      </c>
      <c r="F228" s="96">
        <f>IFERROR(__xludf.DUMMYFUNCTION("""COMPUTED_VALUE"""),8.0)</f>
        <v>8</v>
      </c>
      <c r="G228" s="96"/>
      <c r="H228" s="96">
        <f>IFERROR(__xludf.DUMMYFUNCTION("""COMPUTED_VALUE"""),1.0)</f>
        <v>1</v>
      </c>
      <c r="I228" s="96"/>
      <c r="J228" s="96">
        <f>IFERROR(__xludf.DUMMYFUNCTION("""COMPUTED_VALUE"""),552.07)</f>
        <v>552.07</v>
      </c>
      <c r="K228" s="96">
        <f>IFERROR(__xludf.DUMMYFUNCTION("""COMPUTED_VALUE"""),8.0)</f>
        <v>8</v>
      </c>
      <c r="L228" s="96">
        <f>IFERROR(__xludf.DUMMYFUNCTION("""COMPUTED_VALUE"""),0.0)</f>
        <v>0</v>
      </c>
      <c r="M228" s="96">
        <f>IFERROR(__xludf.DUMMYFUNCTION("""COMPUTED_VALUE"""),1.0)</f>
        <v>1</v>
      </c>
      <c r="N228" s="96">
        <f>IFERROR(__xludf.DUMMYFUNCTION("""COMPUTED_VALUE"""),29.0)</f>
        <v>29</v>
      </c>
      <c r="O228" s="96"/>
      <c r="P228" s="129">
        <f>IFERROR(__xludf.DUMMYFUNCTION("""COMPUTED_VALUE"""),92.0)</f>
        <v>92</v>
      </c>
      <c r="Q228" s="99">
        <f>IFERROR(__xludf.DUMMYFUNCTION("""COMPUTED_VALUE"""),50790.0)</f>
        <v>50790</v>
      </c>
      <c r="R228" s="99">
        <f>IFERROR(__xludf.DUMMYFUNCTION("""COMPUTED_VALUE"""),321430.0)</f>
        <v>321430</v>
      </c>
    </row>
    <row r="229">
      <c r="B229" s="96">
        <f>IFERROR(__xludf.DUMMYFUNCTION("""COMPUTED_VALUE"""),4.0)</f>
        <v>4</v>
      </c>
      <c r="C229" s="98">
        <f>IFERROR(__xludf.DUMMYFUNCTION("""COMPUTED_VALUE"""),44054.0)</f>
        <v>44054</v>
      </c>
      <c r="D229" s="96" t="str">
        <f>IFERROR(__xludf.DUMMYFUNCTION("""COMPUTED_VALUE"""),"A. D. FREDERICK")</f>
        <v>A. D. FREDERICK</v>
      </c>
      <c r="E229" s="96">
        <f>IFERROR(__xludf.DUMMYFUNCTION("""COMPUTED_VALUE"""),321.0)</f>
        <v>321</v>
      </c>
      <c r="F229" s="96">
        <f>IFERROR(__xludf.DUMMYFUNCTION("""COMPUTED_VALUE"""),40.0)</f>
        <v>40</v>
      </c>
      <c r="G229" s="96"/>
      <c r="H229" s="96">
        <f>IFERROR(__xludf.DUMMYFUNCTION("""COMPUTED_VALUE"""),5.0)</f>
        <v>5</v>
      </c>
      <c r="I229" s="96"/>
      <c r="J229" s="96">
        <f>IFERROR(__xludf.DUMMYFUNCTION("""COMPUTED_VALUE"""),800.0)</f>
        <v>800</v>
      </c>
      <c r="K229" s="96">
        <f>IFERROR(__xludf.DUMMYFUNCTION("""COMPUTED_VALUE"""),8.0)</f>
        <v>8</v>
      </c>
      <c r="L229" s="96">
        <f>IFERROR(__xludf.DUMMYFUNCTION("""COMPUTED_VALUE"""),0.0)</f>
        <v>0</v>
      </c>
      <c r="M229" s="96">
        <f>IFERROR(__xludf.DUMMYFUNCTION("""COMPUTED_VALUE"""),5.0)</f>
        <v>5</v>
      </c>
      <c r="N229" s="96">
        <f>IFERROR(__xludf.DUMMYFUNCTION("""COMPUTED_VALUE"""),0.0)</f>
        <v>0</v>
      </c>
      <c r="O229" s="96"/>
      <c r="P229" s="129">
        <f>IFERROR(__xludf.DUMMYFUNCTION("""COMPUTED_VALUE"""),316.0)</f>
        <v>316</v>
      </c>
      <c r="Q229" s="99">
        <f>IFERROR(__xludf.DUMMYFUNCTION("""COMPUTED_VALUE"""),252800.0)</f>
        <v>252800</v>
      </c>
      <c r="R229" s="99">
        <f>IFERROR(__xludf.DUMMYFUNCTION("""COMPUTED_VALUE"""),497200.0)</f>
        <v>497200</v>
      </c>
    </row>
    <row r="230">
      <c r="B230" s="96">
        <f>IFERROR(__xludf.DUMMYFUNCTION("""COMPUTED_VALUE"""),6.0)</f>
        <v>6</v>
      </c>
      <c r="C230" s="98">
        <f>IFERROR(__xludf.DUMMYFUNCTION("""COMPUTED_VALUE"""),44057.0)</f>
        <v>44057</v>
      </c>
      <c r="D230" s="96" t="str">
        <f>IFERROR(__xludf.DUMMYFUNCTION("""COMPUTED_VALUE"""),"ANDRDEW GREAT")</f>
        <v>ANDRDEW GREAT</v>
      </c>
      <c r="E230" s="96">
        <f>IFERROR(__xludf.DUMMYFUNCTION("""COMPUTED_VALUE"""),447.0)</f>
        <v>447</v>
      </c>
      <c r="F230" s="96">
        <f>IFERROR(__xludf.DUMMYFUNCTION("""COMPUTED_VALUE"""),67.5)</f>
        <v>67.5</v>
      </c>
      <c r="G230" s="96"/>
      <c r="H230" s="96">
        <f>IFERROR(__xludf.DUMMYFUNCTION("""COMPUTED_VALUE"""),7.0)</f>
        <v>7</v>
      </c>
      <c r="I230" s="96">
        <f>IFERROR(__xludf.DUMMYFUNCTION("""COMPUTED_VALUE"""),1.0)</f>
        <v>1</v>
      </c>
      <c r="J230" s="96">
        <f>IFERROR(__xludf.DUMMYFUNCTION("""COMPUTED_VALUE"""),820.0)</f>
        <v>820</v>
      </c>
      <c r="K230" s="96">
        <f>IFERROR(__xludf.DUMMYFUNCTION("""COMPUTED_VALUE"""),9.64)</f>
        <v>9.64</v>
      </c>
      <c r="L230" s="96">
        <f>IFERROR(__xludf.DUMMYFUNCTION("""COMPUTED_VALUE"""),7.0)</f>
        <v>7</v>
      </c>
      <c r="M230" s="96">
        <f>IFERROR(__xludf.DUMMYFUNCTION("""COMPUTED_VALUE"""),6.0)</f>
        <v>6</v>
      </c>
      <c r="N230" s="96">
        <f>IFERROR(__xludf.DUMMYFUNCTION("""COMPUTED_VALUE"""),56.0)</f>
        <v>56</v>
      </c>
      <c r="O230" s="96"/>
      <c r="P230" s="129">
        <f>IFERROR(__xludf.DUMMYFUNCTION("""COMPUTED_VALUE"""),434.0)</f>
        <v>434</v>
      </c>
      <c r="Q230" s="99">
        <f>IFERROR(__xludf.DUMMYFUNCTION("""COMPUTED_VALUE"""),355880.0)</f>
        <v>355880</v>
      </c>
      <c r="R230" s="99">
        <f>IFERROR(__xludf.DUMMYFUNCTION("""COMPUTED_VALUE"""),1201070.0)</f>
        <v>1201070</v>
      </c>
    </row>
    <row r="231">
      <c r="B231" s="96">
        <f>IFERROR(__xludf.DUMMYFUNCTION("""COMPUTED_VALUE"""),15.0)</f>
        <v>15</v>
      </c>
      <c r="C231" s="98">
        <f>IFERROR(__xludf.DUMMYFUNCTION("""COMPUTED_VALUE"""),44056.0)</f>
        <v>44056</v>
      </c>
      <c r="D231" s="96" t="str">
        <f>IFERROR(__xludf.DUMMYFUNCTION("""COMPUTED_VALUE"""),"CONNECT")</f>
        <v>CONNECT</v>
      </c>
      <c r="E231" s="96">
        <f>IFERROR(__xludf.DUMMYFUNCTION("""COMPUTED_VALUE"""),2652.0)</f>
        <v>2652</v>
      </c>
      <c r="F231" s="96">
        <f>IFERROR(__xludf.DUMMYFUNCTION("""COMPUTED_VALUE"""),328.0)</f>
        <v>328</v>
      </c>
      <c r="G231" s="96"/>
      <c r="H231" s="96">
        <f>IFERROR(__xludf.DUMMYFUNCTION("""COMPUTED_VALUE"""),41.0)</f>
        <v>41</v>
      </c>
      <c r="I231" s="96">
        <f>IFERROR(__xludf.DUMMYFUNCTION("""COMPUTED_VALUE"""),4.0)</f>
        <v>4</v>
      </c>
      <c r="J231" s="96">
        <f>IFERROR(__xludf.DUMMYFUNCTION("""COMPUTED_VALUE"""),820.0)</f>
        <v>820</v>
      </c>
      <c r="K231" s="96">
        <f>IFERROR(__xludf.DUMMYFUNCTION("""COMPUTED_VALUE"""),8.0)</f>
        <v>8</v>
      </c>
      <c r="L231" s="96">
        <f>IFERROR(__xludf.DUMMYFUNCTION("""COMPUTED_VALUE"""),0.0)</f>
        <v>0</v>
      </c>
      <c r="M231" s="96">
        <f>IFERROR(__xludf.DUMMYFUNCTION("""COMPUTED_VALUE"""),41.0)</f>
        <v>41</v>
      </c>
      <c r="N231" s="96">
        <f>IFERROR(__xludf.DUMMYFUNCTION("""COMPUTED_VALUE"""),31.0)</f>
        <v>31</v>
      </c>
      <c r="O231" s="96"/>
      <c r="P231" s="129">
        <f>IFERROR(__xludf.DUMMYFUNCTION("""COMPUTED_VALUE"""),2615.0)</f>
        <v>2615</v>
      </c>
      <c r="Q231" s="99">
        <f>IFERROR(__xludf.DUMMYFUNCTION("""COMPUTED_VALUE"""),2144300.0)</f>
        <v>2144300</v>
      </c>
      <c r="R231" s="99">
        <f>IFERROR(__xludf.DUMMYFUNCTION("""COMPUTED_VALUE"""),3123100.0)</f>
        <v>3123100</v>
      </c>
    </row>
    <row r="232">
      <c r="B232" s="96">
        <f>IFERROR(__xludf.DUMMYFUNCTION("""COMPUTED_VALUE"""),9.0)</f>
        <v>9</v>
      </c>
      <c r="C232" s="98">
        <f>IFERROR(__xludf.DUMMYFUNCTION("""COMPUTED_VALUE"""),44055.0)</f>
        <v>44055</v>
      </c>
      <c r="D232" s="96" t="str">
        <f>IFERROR(__xludf.DUMMYFUNCTION("""COMPUTED_VALUE"""),"ETUK EFFI")</f>
        <v>ETUK EFFI</v>
      </c>
      <c r="E232" s="96">
        <f>IFERROR(__xludf.DUMMYFUNCTION("""COMPUTED_VALUE"""),1686.0)</f>
        <v>1686</v>
      </c>
      <c r="F232" s="96">
        <f>IFERROR(__xludf.DUMMYFUNCTION("""COMPUTED_VALUE"""),208.0)</f>
        <v>208</v>
      </c>
      <c r="G232" s="96"/>
      <c r="H232" s="96">
        <f>IFERROR(__xludf.DUMMYFUNCTION("""COMPUTED_VALUE"""),26.0)</f>
        <v>26</v>
      </c>
      <c r="I232" s="96"/>
      <c r="J232" s="96">
        <f>IFERROR(__xludf.DUMMYFUNCTION("""COMPUTED_VALUE"""),810.0)</f>
        <v>810</v>
      </c>
      <c r="K232" s="96">
        <f>IFERROR(__xludf.DUMMYFUNCTION("""COMPUTED_VALUE"""),8.0)</f>
        <v>8</v>
      </c>
      <c r="L232" s="96">
        <f>IFERROR(__xludf.DUMMYFUNCTION("""COMPUTED_VALUE"""),0.0)</f>
        <v>0</v>
      </c>
      <c r="M232" s="96">
        <f>IFERROR(__xludf.DUMMYFUNCTION("""COMPUTED_VALUE"""),26.0)</f>
        <v>26</v>
      </c>
      <c r="N232" s="96">
        <f>IFERROR(__xludf.DUMMYFUNCTION("""COMPUTED_VALUE"""),21.0)</f>
        <v>21</v>
      </c>
      <c r="O232" s="96"/>
      <c r="P232" s="129">
        <f>IFERROR(__xludf.DUMMYFUNCTION("""COMPUTED_VALUE"""),1660.0)</f>
        <v>1660</v>
      </c>
      <c r="Q232" s="99">
        <f>IFERROR(__xludf.DUMMYFUNCTION("""COMPUTED_VALUE"""),1344600.0)</f>
        <v>1344600</v>
      </c>
      <c r="R232" s="99">
        <f>IFERROR(__xludf.DUMMYFUNCTION("""COMPUTED_VALUE"""),2092260.0)</f>
        <v>2092260</v>
      </c>
    </row>
    <row r="233">
      <c r="B233" s="96">
        <f>IFERROR(__xludf.DUMMYFUNCTION("""COMPUTED_VALUE"""),7.0)</f>
        <v>7</v>
      </c>
      <c r="C233" s="98">
        <f>IFERROR(__xludf.DUMMYFUNCTION("""COMPUTED_VALUE"""),44058.0)</f>
        <v>44058</v>
      </c>
      <c r="D233" s="96" t="str">
        <f>IFERROR(__xludf.DUMMYFUNCTION("""COMPUTED_VALUE"""),"ANDRDEW GREAT")</f>
        <v>ANDRDEW GREAT</v>
      </c>
      <c r="E233" s="96"/>
      <c r="F233" s="96"/>
      <c r="G233" s="96"/>
      <c r="H233" s="96"/>
      <c r="I233" s="96"/>
      <c r="J233" s="96"/>
      <c r="K233" s="96"/>
      <c r="L233" s="96">
        <f>IFERROR(__xludf.DUMMYFUNCTION("""COMPUTED_VALUE"""),0.0)</f>
        <v>0</v>
      </c>
      <c r="M233" s="96">
        <f>IFERROR(__xludf.DUMMYFUNCTION("""COMPUTED_VALUE"""),0.0)</f>
        <v>0</v>
      </c>
      <c r="N233" s="96">
        <f>IFERROR(__xludf.DUMMYFUNCTION("""COMPUTED_VALUE"""),0.0)</f>
        <v>0</v>
      </c>
      <c r="O233" s="96">
        <f>IFERROR(__xludf.DUMMYFUNCTION("""COMPUTED_VALUE"""),355880.0)</f>
        <v>355880</v>
      </c>
      <c r="P233" s="129">
        <f>IFERROR(__xludf.DUMMYFUNCTION("""COMPUTED_VALUE"""),0.0)</f>
        <v>0</v>
      </c>
      <c r="Q233" s="99"/>
      <c r="R233" s="99">
        <f>IFERROR(__xludf.DUMMYFUNCTION("""COMPUTED_VALUE"""),1556950.0)</f>
        <v>1556950</v>
      </c>
    </row>
    <row r="234">
      <c r="B234" s="96">
        <f>IFERROR(__xludf.DUMMYFUNCTION("""COMPUTED_VALUE"""),17.0)</f>
        <v>17</v>
      </c>
      <c r="C234" s="98">
        <f>IFERROR(__xludf.DUMMYFUNCTION("""COMPUTED_VALUE"""),44058.0)</f>
        <v>44058</v>
      </c>
      <c r="D234" s="96" t="str">
        <f>IFERROR(__xludf.DUMMYFUNCTION("""COMPUTED_VALUE"""),"RECTOR W.")</f>
        <v>RECTOR W.</v>
      </c>
      <c r="E234" s="96"/>
      <c r="F234" s="96"/>
      <c r="G234" s="96"/>
      <c r="H234" s="96"/>
      <c r="I234" s="96"/>
      <c r="J234" s="96"/>
      <c r="K234" s="96"/>
      <c r="L234" s="96">
        <f>IFERROR(__xludf.DUMMYFUNCTION("""COMPUTED_VALUE"""),0.0)</f>
        <v>0</v>
      </c>
      <c r="M234" s="96">
        <f>IFERROR(__xludf.DUMMYFUNCTION("""COMPUTED_VALUE"""),0.0)</f>
        <v>0</v>
      </c>
      <c r="N234" s="96">
        <f>IFERROR(__xludf.DUMMYFUNCTION("""COMPUTED_VALUE"""),0.0)</f>
        <v>0</v>
      </c>
      <c r="O234" s="96">
        <f>IFERROR(__xludf.DUMMYFUNCTION("""COMPUTED_VALUE"""),250000.0)</f>
        <v>250000</v>
      </c>
      <c r="P234" s="129">
        <f>IFERROR(__xludf.DUMMYFUNCTION("""COMPUTED_VALUE"""),0.0)</f>
        <v>0</v>
      </c>
      <c r="Q234" s="99"/>
      <c r="R234" s="99">
        <f>IFERROR(__xludf.DUMMYFUNCTION("""COMPUTED_VALUE"""),4527340.0)</f>
        <v>4527340</v>
      </c>
    </row>
    <row r="235">
      <c r="B235" s="96">
        <f>IFERROR(__xludf.DUMMYFUNCTION("""COMPUTED_VALUE"""),7.0)</f>
        <v>7</v>
      </c>
      <c r="C235" s="98">
        <f>IFERROR(__xludf.DUMMYFUNCTION("""COMPUTED_VALUE"""),44058.0)</f>
        <v>44058</v>
      </c>
      <c r="D235" s="96" t="str">
        <f>IFERROR(__xludf.DUMMYFUNCTION("""COMPUTED_VALUE"""),"ZULU &amp; NDOMA")</f>
        <v>ZULU &amp; NDOMA</v>
      </c>
      <c r="E235" s="96"/>
      <c r="F235" s="96"/>
      <c r="G235" s="96"/>
      <c r="H235" s="96"/>
      <c r="I235" s="96"/>
      <c r="J235" s="96"/>
      <c r="K235" s="96"/>
      <c r="L235" s="96">
        <f>IFERROR(__xludf.DUMMYFUNCTION("""COMPUTED_VALUE"""),0.0)</f>
        <v>0</v>
      </c>
      <c r="M235" s="96">
        <f>IFERROR(__xludf.DUMMYFUNCTION("""COMPUTED_VALUE"""),0.0)</f>
        <v>0</v>
      </c>
      <c r="N235" s="96">
        <f>IFERROR(__xludf.DUMMYFUNCTION("""COMPUTED_VALUE"""),0.0)</f>
        <v>0</v>
      </c>
      <c r="O235" s="96">
        <f>IFERROR(__xludf.DUMMYFUNCTION("""COMPUTED_VALUE"""),200000.0)</f>
        <v>200000</v>
      </c>
      <c r="P235" s="129">
        <f>IFERROR(__xludf.DUMMYFUNCTION("""COMPUTED_VALUE"""),0.0)</f>
        <v>0</v>
      </c>
      <c r="Q235" s="99"/>
      <c r="R235" s="99">
        <f>IFERROR(__xludf.DUMMYFUNCTION("""COMPUTED_VALUE"""),406800.0)</f>
        <v>406800</v>
      </c>
    </row>
    <row r="236">
      <c r="B236" s="96">
        <f>IFERROR(__xludf.DUMMYFUNCTION("""COMPUTED_VALUE"""),2.0)</f>
        <v>2</v>
      </c>
      <c r="C236" s="98">
        <f>IFERROR(__xludf.DUMMYFUNCTION("""COMPUTED_VALUE"""),44060.0)</f>
        <v>44060</v>
      </c>
      <c r="D236" s="96" t="str">
        <f>IFERROR(__xludf.DUMMYFUNCTION("""COMPUTED_VALUE"""),"MATIAT LOVE")</f>
        <v>MATIAT LOVE</v>
      </c>
      <c r="E236" s="96">
        <f>IFERROR(__xludf.DUMMYFUNCTION("""COMPUTED_VALUE"""),120.0)</f>
        <v>120</v>
      </c>
      <c r="F236" s="96">
        <f>IFERROR(__xludf.DUMMYFUNCTION("""COMPUTED_VALUE"""),16.0)</f>
        <v>16</v>
      </c>
      <c r="G236" s="96"/>
      <c r="H236" s="96">
        <f>IFERROR(__xludf.DUMMYFUNCTION("""COMPUTED_VALUE"""),2.0)</f>
        <v>2</v>
      </c>
      <c r="I236" s="96"/>
      <c r="J236" s="96">
        <f>IFERROR(__xludf.DUMMYFUNCTION("""COMPUTED_VALUE"""),810.0)</f>
        <v>810</v>
      </c>
      <c r="K236" s="96">
        <f>IFERROR(__xludf.DUMMYFUNCTION("""COMPUTED_VALUE"""),8.0)</f>
        <v>8</v>
      </c>
      <c r="L236" s="96">
        <f>IFERROR(__xludf.DUMMYFUNCTION("""COMPUTED_VALUE"""),0.0)</f>
        <v>0</v>
      </c>
      <c r="M236" s="96">
        <f>IFERROR(__xludf.DUMMYFUNCTION("""COMPUTED_VALUE"""),1.0)</f>
        <v>1</v>
      </c>
      <c r="N236" s="96">
        <f>IFERROR(__xludf.DUMMYFUNCTION("""COMPUTED_VALUE"""),55.0)</f>
        <v>55</v>
      </c>
      <c r="O236" s="96"/>
      <c r="P236" s="129">
        <f>IFERROR(__xludf.DUMMYFUNCTION("""COMPUTED_VALUE"""),118.0)</f>
        <v>118</v>
      </c>
      <c r="Q236" s="99">
        <f>IFERROR(__xludf.DUMMYFUNCTION("""COMPUTED_VALUE"""),95580.0)</f>
        <v>95580</v>
      </c>
      <c r="R236" s="99">
        <f>IFERROR(__xludf.DUMMYFUNCTION("""COMPUTED_VALUE"""),-45580.0)</f>
        <v>-45580</v>
      </c>
    </row>
    <row r="237">
      <c r="B237" s="96">
        <f>IFERROR(__xludf.DUMMYFUNCTION("""COMPUTED_VALUE"""),4.0)</f>
        <v>4</v>
      </c>
      <c r="C237" s="98">
        <f>IFERROR(__xludf.DUMMYFUNCTION("""COMPUTED_VALUE"""),44060.0)</f>
        <v>44060</v>
      </c>
      <c r="D237" s="96" t="str">
        <f>IFERROR(__xludf.DUMMYFUNCTION("""COMPUTED_VALUE"""),"KARIEN EBAN")</f>
        <v>KARIEN EBAN</v>
      </c>
      <c r="E237" s="96">
        <f>IFERROR(__xludf.DUMMYFUNCTION("""COMPUTED_VALUE"""),1643.0)</f>
        <v>1643</v>
      </c>
      <c r="F237" s="96">
        <f>IFERROR(__xludf.DUMMYFUNCTION("""COMPUTED_VALUE"""),246.5)</f>
        <v>246.5</v>
      </c>
      <c r="G237" s="96"/>
      <c r="H237" s="96">
        <f>IFERROR(__xludf.DUMMYFUNCTION("""COMPUTED_VALUE"""),26.0)</f>
        <v>26</v>
      </c>
      <c r="I237" s="96"/>
      <c r="J237" s="96">
        <f>IFERROR(__xludf.DUMMYFUNCTION("""COMPUTED_VALUE"""),830.0)</f>
        <v>830</v>
      </c>
      <c r="K237" s="96">
        <f>IFERROR(__xludf.DUMMYFUNCTION("""COMPUTED_VALUE"""),9.48)</f>
        <v>9.48</v>
      </c>
      <c r="L237" s="96">
        <f>IFERROR(__xludf.DUMMYFUNCTION("""COMPUTED_VALUE"""),24.0)</f>
        <v>24</v>
      </c>
      <c r="M237" s="96">
        <f>IFERROR(__xludf.DUMMYFUNCTION("""COMPUTED_VALUE"""),25.0)</f>
        <v>25</v>
      </c>
      <c r="N237" s="96">
        <f>IFERROR(__xludf.DUMMYFUNCTION("""COMPUTED_VALUE"""),17.0)</f>
        <v>17</v>
      </c>
      <c r="O237" s="96"/>
      <c r="P237" s="129">
        <f>IFERROR(__xludf.DUMMYFUNCTION("""COMPUTED_VALUE"""),1593.0)</f>
        <v>1593</v>
      </c>
      <c r="Q237" s="99">
        <f>IFERROR(__xludf.DUMMYFUNCTION("""COMPUTED_VALUE"""),1322190.0)</f>
        <v>1322190</v>
      </c>
      <c r="R237" s="99">
        <f>IFERROR(__xludf.DUMMYFUNCTION("""COMPUTED_VALUE"""),777810.0)</f>
        <v>777810</v>
      </c>
    </row>
    <row r="238">
      <c r="B238" s="96">
        <f>IFERROR(__xludf.DUMMYFUNCTION("""COMPUTED_VALUE"""),5.0)</f>
        <v>5</v>
      </c>
      <c r="C238" s="98">
        <f>IFERROR(__xludf.DUMMYFUNCTION("""COMPUTED_VALUE"""),44060.0)</f>
        <v>44060</v>
      </c>
      <c r="D238" s="96" t="str">
        <f>IFERROR(__xludf.DUMMYFUNCTION("""COMPUTED_VALUE"""),"A. D. FREDERICK")</f>
        <v>A. D. FREDERICK</v>
      </c>
      <c r="E238" s="96"/>
      <c r="F238" s="96"/>
      <c r="G238" s="96"/>
      <c r="H238" s="96"/>
      <c r="I238" s="96"/>
      <c r="J238" s="96"/>
      <c r="K238" s="96"/>
      <c r="L238" s="96">
        <f>IFERROR(__xludf.DUMMYFUNCTION("""COMPUTED_VALUE"""),0.0)</f>
        <v>0</v>
      </c>
      <c r="M238" s="96">
        <f>IFERROR(__xludf.DUMMYFUNCTION("""COMPUTED_VALUE"""),0.0)</f>
        <v>0</v>
      </c>
      <c r="N238" s="96">
        <f>IFERROR(__xludf.DUMMYFUNCTION("""COMPUTED_VALUE"""),0.0)</f>
        <v>0</v>
      </c>
      <c r="O238" s="96">
        <f>IFERROR(__xludf.DUMMYFUNCTION("""COMPUTED_VALUE"""),150000.0)</f>
        <v>150000</v>
      </c>
      <c r="P238" s="129">
        <f>IFERROR(__xludf.DUMMYFUNCTION("""COMPUTED_VALUE"""),0.0)</f>
        <v>0</v>
      </c>
      <c r="Q238" s="99"/>
      <c r="R238" s="99">
        <f>IFERROR(__xludf.DUMMYFUNCTION("""COMPUTED_VALUE"""),647200.0)</f>
        <v>647200</v>
      </c>
    </row>
    <row r="239">
      <c r="B239" s="96">
        <f>IFERROR(__xludf.DUMMYFUNCTION("""COMPUTED_VALUE"""),14.0)</f>
        <v>14</v>
      </c>
      <c r="C239" s="98">
        <f>IFERROR(__xludf.DUMMYFUNCTION("""COMPUTED_VALUE"""),44060.0)</f>
        <v>44060</v>
      </c>
      <c r="D239" s="96" t="str">
        <f>IFERROR(__xludf.DUMMYFUNCTION("""COMPUTED_VALUE"""),"LIVINUS")</f>
        <v>LIVINUS</v>
      </c>
      <c r="E239" s="96"/>
      <c r="F239" s="96"/>
      <c r="G239" s="96"/>
      <c r="H239" s="96"/>
      <c r="I239" s="96"/>
      <c r="J239" s="96"/>
      <c r="K239" s="96"/>
      <c r="L239" s="96">
        <f>IFERROR(__xludf.DUMMYFUNCTION("""COMPUTED_VALUE"""),0.0)</f>
        <v>0</v>
      </c>
      <c r="M239" s="96">
        <f>IFERROR(__xludf.DUMMYFUNCTION("""COMPUTED_VALUE"""),0.0)</f>
        <v>0</v>
      </c>
      <c r="N239" s="96">
        <f>IFERROR(__xludf.DUMMYFUNCTION("""COMPUTED_VALUE"""),0.0)</f>
        <v>0</v>
      </c>
      <c r="O239" s="96">
        <f>IFERROR(__xludf.DUMMYFUNCTION("""COMPUTED_VALUE"""),1427500.0)</f>
        <v>1427500</v>
      </c>
      <c r="P239" s="129">
        <f>IFERROR(__xludf.DUMMYFUNCTION("""COMPUTED_VALUE"""),0.0)</f>
        <v>0</v>
      </c>
      <c r="Q239" s="99"/>
      <c r="R239" s="99">
        <f>IFERROR(__xludf.DUMMYFUNCTION("""COMPUTED_VALUE"""),6104500.0)</f>
        <v>6104500</v>
      </c>
    </row>
    <row r="240">
      <c r="B240" s="96">
        <f>IFERROR(__xludf.DUMMYFUNCTION("""COMPUTED_VALUE"""),5.0)</f>
        <v>5</v>
      </c>
      <c r="C240" s="98">
        <f>IFERROR(__xludf.DUMMYFUNCTION("""COMPUTED_VALUE"""),44060.0)</f>
        <v>44060</v>
      </c>
      <c r="D240" s="96" t="str">
        <f>IFERROR(__xludf.DUMMYFUNCTION("""COMPUTED_VALUE"""),"KARIEN EBAN")</f>
        <v>KARIEN EBAN</v>
      </c>
      <c r="E240" s="96"/>
      <c r="F240" s="96"/>
      <c r="G240" s="96"/>
      <c r="H240" s="96"/>
      <c r="I240" s="96"/>
      <c r="J240" s="96"/>
      <c r="K240" s="96"/>
      <c r="L240" s="96">
        <f>IFERROR(__xludf.DUMMYFUNCTION("""COMPUTED_VALUE"""),0.0)</f>
        <v>0</v>
      </c>
      <c r="M240" s="96">
        <f>IFERROR(__xludf.DUMMYFUNCTION("""COMPUTED_VALUE"""),0.0)</f>
        <v>0</v>
      </c>
      <c r="N240" s="96">
        <f>IFERROR(__xludf.DUMMYFUNCTION("""COMPUTED_VALUE"""),0.0)</f>
        <v>0</v>
      </c>
      <c r="O240" s="96">
        <f>IFERROR(__xludf.DUMMYFUNCTION("""COMPUTED_VALUE"""),2000000.0)</f>
        <v>2000000</v>
      </c>
      <c r="P240" s="129">
        <f>IFERROR(__xludf.DUMMYFUNCTION("""COMPUTED_VALUE"""),0.0)</f>
        <v>0</v>
      </c>
      <c r="Q240" s="99"/>
      <c r="R240" s="99">
        <f>IFERROR(__xludf.DUMMYFUNCTION("""COMPUTED_VALUE"""),2777810.0)</f>
        <v>2777810</v>
      </c>
    </row>
    <row r="241">
      <c r="B241" s="96">
        <f>IFERROR(__xludf.DUMMYFUNCTION("""COMPUTED_VALUE"""),3.0)</f>
        <v>3</v>
      </c>
      <c r="C241" s="98">
        <f>IFERROR(__xludf.DUMMYFUNCTION("""COMPUTED_VALUE"""),44060.0)</f>
        <v>44060</v>
      </c>
      <c r="D241" s="96" t="str">
        <f>IFERROR(__xludf.DUMMYFUNCTION("""COMPUTED_VALUE"""),"MATIAT LOVE")</f>
        <v>MATIAT LOVE</v>
      </c>
      <c r="E241" s="96"/>
      <c r="F241" s="96"/>
      <c r="G241" s="96"/>
      <c r="H241" s="96"/>
      <c r="I241" s="96"/>
      <c r="J241" s="96"/>
      <c r="K241" s="96"/>
      <c r="L241" s="96">
        <f>IFERROR(__xludf.DUMMYFUNCTION("""COMPUTED_VALUE"""),0.0)</f>
        <v>0</v>
      </c>
      <c r="M241" s="96">
        <f>IFERROR(__xludf.DUMMYFUNCTION("""COMPUTED_VALUE"""),0.0)</f>
        <v>0</v>
      </c>
      <c r="N241" s="96">
        <f>IFERROR(__xludf.DUMMYFUNCTION("""COMPUTED_VALUE"""),0.0)</f>
        <v>0</v>
      </c>
      <c r="O241" s="96">
        <f>IFERROR(__xludf.DUMMYFUNCTION("""COMPUTED_VALUE"""),5000.0)</f>
        <v>5000</v>
      </c>
      <c r="P241" s="129">
        <f>IFERROR(__xludf.DUMMYFUNCTION("""COMPUTED_VALUE"""),0.0)</f>
        <v>0</v>
      </c>
      <c r="Q241" s="99"/>
      <c r="R241" s="99">
        <f>IFERROR(__xludf.DUMMYFUNCTION("""COMPUTED_VALUE"""),-40580.0)</f>
        <v>-40580</v>
      </c>
    </row>
    <row r="242">
      <c r="B242" s="96">
        <f>IFERROR(__xludf.DUMMYFUNCTION("""COMPUTED_VALUE"""),4.0)</f>
        <v>4</v>
      </c>
      <c r="C242" s="98">
        <f>IFERROR(__xludf.DUMMYFUNCTION("""COMPUTED_VALUE"""),44061.0)</f>
        <v>44061</v>
      </c>
      <c r="D242" s="96" t="str">
        <f>IFERROR(__xludf.DUMMYFUNCTION("""COMPUTED_VALUE"""),"MATIAT LOVE")</f>
        <v>MATIAT LOVE</v>
      </c>
      <c r="E242" s="96"/>
      <c r="F242" s="96"/>
      <c r="G242" s="96"/>
      <c r="H242" s="96"/>
      <c r="I242" s="96"/>
      <c r="J242" s="96"/>
      <c r="K242" s="96"/>
      <c r="L242" s="96">
        <f>IFERROR(__xludf.DUMMYFUNCTION("""COMPUTED_VALUE"""),0.0)</f>
        <v>0</v>
      </c>
      <c r="M242" s="96">
        <f>IFERROR(__xludf.DUMMYFUNCTION("""COMPUTED_VALUE"""),0.0)</f>
        <v>0</v>
      </c>
      <c r="N242" s="96">
        <f>IFERROR(__xludf.DUMMYFUNCTION("""COMPUTED_VALUE"""),0.0)</f>
        <v>0</v>
      </c>
      <c r="O242" s="96">
        <f>IFERROR(__xludf.DUMMYFUNCTION("""COMPUTED_VALUE"""),90500.0)</f>
        <v>90500</v>
      </c>
      <c r="P242" s="129">
        <f>IFERROR(__xludf.DUMMYFUNCTION("""COMPUTED_VALUE"""),0.0)</f>
        <v>0</v>
      </c>
      <c r="Q242" s="99"/>
      <c r="R242" s="99">
        <f>IFERROR(__xludf.DUMMYFUNCTION("""COMPUTED_VALUE"""),49920.0)</f>
        <v>49920</v>
      </c>
    </row>
    <row r="243">
      <c r="B243" s="96">
        <f>IFERROR(__xludf.DUMMYFUNCTION("""COMPUTED_VALUE"""),3.0)</f>
        <v>3</v>
      </c>
      <c r="C243" s="98">
        <f>IFERROR(__xludf.DUMMYFUNCTION("""COMPUTED_VALUE"""),44060.0)</f>
        <v>44060</v>
      </c>
      <c r="D243" s="96" t="str">
        <f>IFERROR(__xludf.DUMMYFUNCTION("""COMPUTED_VALUE"""),"AUGUSTINE IGBA")</f>
        <v>AUGUSTINE IGBA</v>
      </c>
      <c r="E243" s="96">
        <f>IFERROR(__xludf.DUMMYFUNCTION("""COMPUTED_VALUE"""),1396.0)</f>
        <v>1396</v>
      </c>
      <c r="F243" s="96">
        <f>IFERROR(__xludf.DUMMYFUNCTION("""COMPUTED_VALUE"""),194.5)</f>
        <v>194.5</v>
      </c>
      <c r="G243" s="96"/>
      <c r="H243" s="96">
        <f>IFERROR(__xludf.DUMMYFUNCTION("""COMPUTED_VALUE"""),20.0)</f>
        <v>20</v>
      </c>
      <c r="I243" s="96">
        <f>IFERROR(__xludf.DUMMYFUNCTION("""COMPUTED_VALUE"""),4.0)</f>
        <v>4</v>
      </c>
      <c r="J243" s="96">
        <f>IFERROR(__xludf.DUMMYFUNCTION("""COMPUTED_VALUE"""),830.0)</f>
        <v>830</v>
      </c>
      <c r="K243" s="96">
        <f>IFERROR(__xludf.DUMMYFUNCTION("""COMPUTED_VALUE"""),9.73)</f>
        <v>9.73</v>
      </c>
      <c r="L243" s="96">
        <f>IFERROR(__xludf.DUMMYFUNCTION("""COMPUTED_VALUE"""),24.0)</f>
        <v>24</v>
      </c>
      <c r="M243" s="96">
        <f>IFERROR(__xludf.DUMMYFUNCTION("""COMPUTED_VALUE"""),21.0)</f>
        <v>21</v>
      </c>
      <c r="N243" s="96">
        <f>IFERROR(__xludf.DUMMYFUNCTION("""COMPUTED_VALUE"""),33.0)</f>
        <v>33</v>
      </c>
      <c r="O243" s="96"/>
      <c r="P243" s="129">
        <f>IFERROR(__xludf.DUMMYFUNCTION("""COMPUTED_VALUE"""),1356.0)</f>
        <v>1356</v>
      </c>
      <c r="Q243" s="99">
        <f>IFERROR(__xludf.DUMMYFUNCTION("""COMPUTED_VALUE"""),1125480.0)</f>
        <v>1125480</v>
      </c>
      <c r="R243" s="99">
        <f>IFERROR(__xludf.DUMMYFUNCTION("""COMPUTED_VALUE"""),2.013414E7)</f>
        <v>20134140</v>
      </c>
    </row>
    <row r="244">
      <c r="B244" s="96">
        <f>IFERROR(__xludf.DUMMYFUNCTION("""COMPUTED_VALUE"""),8.0)</f>
        <v>8</v>
      </c>
      <c r="C244" s="98">
        <f>IFERROR(__xludf.DUMMYFUNCTION("""COMPUTED_VALUE"""),44060.0)</f>
        <v>44060</v>
      </c>
      <c r="D244" s="96" t="str">
        <f>IFERROR(__xludf.DUMMYFUNCTION("""COMPUTED_VALUE"""),"EDWARD OKO")</f>
        <v>EDWARD OKO</v>
      </c>
      <c r="E244" s="96">
        <f>IFERROR(__xludf.DUMMYFUNCTION("""COMPUTED_VALUE"""),390.0)</f>
        <v>390</v>
      </c>
      <c r="F244" s="96">
        <f>IFERROR(__xludf.DUMMYFUNCTION("""COMPUTED_VALUE"""),57.5)</f>
        <v>57.5</v>
      </c>
      <c r="G244" s="96"/>
      <c r="H244" s="96">
        <f>IFERROR(__xludf.DUMMYFUNCTION("""COMPUTED_VALUE"""),6.0)</f>
        <v>6</v>
      </c>
      <c r="I244" s="96"/>
      <c r="J244" s="96">
        <f>IFERROR(__xludf.DUMMYFUNCTION("""COMPUTED_VALUE"""),830.0)</f>
        <v>830</v>
      </c>
      <c r="K244" s="96">
        <f>IFERROR(__xludf.DUMMYFUNCTION("""COMPUTED_VALUE"""),9.58)</f>
        <v>9.58</v>
      </c>
      <c r="L244" s="96">
        <f>IFERROR(__xludf.DUMMYFUNCTION("""COMPUTED_VALUE"""),6.0)</f>
        <v>6</v>
      </c>
      <c r="M244" s="96">
        <f>IFERROR(__xludf.DUMMYFUNCTION("""COMPUTED_VALUE"""),6.0)</f>
        <v>6</v>
      </c>
      <c r="N244" s="96">
        <f>IFERROR(__xludf.DUMMYFUNCTION("""COMPUTED_VALUE"""),0.0)</f>
        <v>0</v>
      </c>
      <c r="O244" s="96"/>
      <c r="P244" s="129">
        <f>IFERROR(__xludf.DUMMYFUNCTION("""COMPUTED_VALUE"""),378.0)</f>
        <v>378</v>
      </c>
      <c r="Q244" s="99">
        <f>IFERROR(__xludf.DUMMYFUNCTION("""COMPUTED_VALUE"""),313740.0)</f>
        <v>313740</v>
      </c>
      <c r="R244" s="99">
        <f>IFERROR(__xludf.DUMMYFUNCTION("""COMPUTED_VALUE"""),7690.0)</f>
        <v>7690</v>
      </c>
    </row>
    <row r="245">
      <c r="B245" s="96">
        <f>IFERROR(__xludf.DUMMYFUNCTION("""COMPUTED_VALUE"""),6.0)</f>
        <v>6</v>
      </c>
      <c r="C245" s="98">
        <f>IFERROR(__xludf.DUMMYFUNCTION("""COMPUTED_VALUE"""),44063.0)</f>
        <v>44063</v>
      </c>
      <c r="D245" s="96" t="str">
        <f>IFERROR(__xludf.DUMMYFUNCTION("""COMPUTED_VALUE"""),"ALFRED ALABI")</f>
        <v>ALFRED ALABI</v>
      </c>
      <c r="E245" s="96">
        <f>IFERROR(__xludf.DUMMYFUNCTION("""COMPUTED_VALUE"""),1764.0)</f>
        <v>1764</v>
      </c>
      <c r="F245" s="96">
        <f>IFERROR(__xludf.DUMMYFUNCTION("""COMPUTED_VALUE"""),256.0)</f>
        <v>256</v>
      </c>
      <c r="G245" s="96"/>
      <c r="H245" s="96">
        <f>IFERROR(__xludf.DUMMYFUNCTION("""COMPUTED_VALUE"""),26.0)</f>
        <v>26</v>
      </c>
      <c r="I245" s="96"/>
      <c r="J245" s="96">
        <f>IFERROR(__xludf.DUMMYFUNCTION("""COMPUTED_VALUE"""),537.65)</f>
        <v>537.65</v>
      </c>
      <c r="K245" s="96">
        <f>IFERROR(__xludf.DUMMYFUNCTION("""COMPUTED_VALUE"""),9.85)</f>
        <v>9.85</v>
      </c>
      <c r="L245" s="96">
        <f>IFERROR(__xludf.DUMMYFUNCTION("""COMPUTED_VALUE"""),32.0)</f>
        <v>32</v>
      </c>
      <c r="M245" s="96">
        <f>IFERROR(__xludf.DUMMYFUNCTION("""COMPUTED_VALUE"""),27.0)</f>
        <v>27</v>
      </c>
      <c r="N245" s="96">
        <f>IFERROR(__xludf.DUMMYFUNCTION("""COMPUTED_VALUE"""),4.0)</f>
        <v>4</v>
      </c>
      <c r="O245" s="96"/>
      <c r="P245" s="129">
        <f>IFERROR(__xludf.DUMMYFUNCTION("""COMPUTED_VALUE"""),1706.0)</f>
        <v>1706</v>
      </c>
      <c r="Q245" s="99">
        <f>IFERROR(__xludf.DUMMYFUNCTION("""COMPUTED_VALUE"""),917230.0)</f>
        <v>917230</v>
      </c>
      <c r="R245" s="99">
        <f>IFERROR(__xludf.DUMMYFUNCTION("""COMPUTED_VALUE"""),-236980.0)</f>
        <v>-236980</v>
      </c>
    </row>
    <row r="246">
      <c r="B246" s="96">
        <f>IFERROR(__xludf.DUMMYFUNCTION("""COMPUTED_VALUE"""),7.0)</f>
        <v>7</v>
      </c>
      <c r="C246" s="98">
        <f>IFERROR(__xludf.DUMMYFUNCTION("""COMPUTED_VALUE"""),44063.0)</f>
        <v>44063</v>
      </c>
      <c r="D246" s="96" t="str">
        <f>IFERROR(__xludf.DUMMYFUNCTION("""COMPUTED_VALUE"""),"ALFRED ALABI")</f>
        <v>ALFRED ALABI</v>
      </c>
      <c r="E246" s="96"/>
      <c r="F246" s="96"/>
      <c r="G246" s="96"/>
      <c r="H246" s="96"/>
      <c r="I246" s="96"/>
      <c r="J246" s="96"/>
      <c r="K246" s="96"/>
      <c r="L246" s="96">
        <f>IFERROR(__xludf.DUMMYFUNCTION("""COMPUTED_VALUE"""),0.0)</f>
        <v>0</v>
      </c>
      <c r="M246" s="96">
        <f>IFERROR(__xludf.DUMMYFUNCTION("""COMPUTED_VALUE"""),0.0)</f>
        <v>0</v>
      </c>
      <c r="N246" s="96">
        <f>IFERROR(__xludf.DUMMYFUNCTION("""COMPUTED_VALUE"""),0.0)</f>
        <v>0</v>
      </c>
      <c r="O246" s="96">
        <f>IFERROR(__xludf.DUMMYFUNCTION("""COMPUTED_VALUE"""),600000.0)</f>
        <v>600000</v>
      </c>
      <c r="P246" s="129">
        <f>IFERROR(__xludf.DUMMYFUNCTION("""COMPUTED_VALUE"""),0.0)</f>
        <v>0</v>
      </c>
      <c r="Q246" s="99"/>
      <c r="R246" s="99">
        <f>IFERROR(__xludf.DUMMYFUNCTION("""COMPUTED_VALUE"""),363020.0)</f>
        <v>363020</v>
      </c>
    </row>
    <row r="247">
      <c r="B247" s="96">
        <f>IFERROR(__xludf.DUMMYFUNCTION("""COMPUTED_VALUE"""),4.0)</f>
        <v>4</v>
      </c>
      <c r="C247" s="98">
        <f>IFERROR(__xludf.DUMMYFUNCTION("""COMPUTED_VALUE"""),44063.0)</f>
        <v>44063</v>
      </c>
      <c r="D247" s="96" t="str">
        <f>IFERROR(__xludf.DUMMYFUNCTION("""COMPUTED_VALUE"""),"AUGUSTINE IGBA")</f>
        <v>AUGUSTINE IGBA</v>
      </c>
      <c r="E247" s="96"/>
      <c r="F247" s="96"/>
      <c r="G247" s="96"/>
      <c r="H247" s="96"/>
      <c r="I247" s="96"/>
      <c r="J247" s="96"/>
      <c r="K247" s="96"/>
      <c r="L247" s="96">
        <f>IFERROR(__xludf.DUMMYFUNCTION("""COMPUTED_VALUE"""),0.0)</f>
        <v>0</v>
      </c>
      <c r="M247" s="96">
        <f>IFERROR(__xludf.DUMMYFUNCTION("""COMPUTED_VALUE"""),0.0)</f>
        <v>0</v>
      </c>
      <c r="N247" s="96">
        <f>IFERROR(__xludf.DUMMYFUNCTION("""COMPUTED_VALUE"""),0.0)</f>
        <v>0</v>
      </c>
      <c r="O247" s="96">
        <f>IFERROR(__xludf.DUMMYFUNCTION("""COMPUTED_VALUE"""),2000000.0)</f>
        <v>2000000</v>
      </c>
      <c r="P247" s="129">
        <f>IFERROR(__xludf.DUMMYFUNCTION("""COMPUTED_VALUE"""),0.0)</f>
        <v>0</v>
      </c>
      <c r="Q247" s="99"/>
      <c r="R247" s="99">
        <f>IFERROR(__xludf.DUMMYFUNCTION("""COMPUTED_VALUE"""),2.213414E7)</f>
        <v>22134140</v>
      </c>
    </row>
    <row r="248">
      <c r="B248" s="96">
        <f>IFERROR(__xludf.DUMMYFUNCTION("""COMPUTED_VALUE"""),8.0)</f>
        <v>8</v>
      </c>
      <c r="C248" s="98">
        <f>IFERROR(__xludf.DUMMYFUNCTION("""COMPUTED_VALUE"""),44063.0)</f>
        <v>44063</v>
      </c>
      <c r="D248" s="96" t="str">
        <f>IFERROR(__xludf.DUMMYFUNCTION("""COMPUTED_VALUE"""),"ALFRED ALABI")</f>
        <v>ALFRED ALABI</v>
      </c>
      <c r="E248" s="96"/>
      <c r="F248" s="96"/>
      <c r="G248" s="96"/>
      <c r="H248" s="96"/>
      <c r="I248" s="96"/>
      <c r="J248" s="96"/>
      <c r="K248" s="96"/>
      <c r="L248" s="96">
        <f>IFERROR(__xludf.DUMMYFUNCTION("""COMPUTED_VALUE"""),0.0)</f>
        <v>0</v>
      </c>
      <c r="M248" s="96">
        <f>IFERROR(__xludf.DUMMYFUNCTION("""COMPUTED_VALUE"""),0.0)</f>
        <v>0</v>
      </c>
      <c r="N248" s="96">
        <f>IFERROR(__xludf.DUMMYFUNCTION("""COMPUTED_VALUE"""),0.0)</f>
        <v>0</v>
      </c>
      <c r="O248" s="96">
        <f>IFERROR(__xludf.DUMMYFUNCTION("""COMPUTED_VALUE"""),700000.0)</f>
        <v>700000</v>
      </c>
      <c r="P248" s="129">
        <f>IFERROR(__xludf.DUMMYFUNCTION("""COMPUTED_VALUE"""),0.0)</f>
        <v>0</v>
      </c>
      <c r="Q248" s="99"/>
      <c r="R248" s="99">
        <f>IFERROR(__xludf.DUMMYFUNCTION("""COMPUTED_VALUE"""),1063020.0)</f>
        <v>1063020</v>
      </c>
    </row>
    <row r="249">
      <c r="B249" s="96">
        <f>IFERROR(__xludf.DUMMYFUNCTION("""COMPUTED_VALUE"""),9.0)</f>
        <v>9</v>
      </c>
      <c r="C249" s="98">
        <f>IFERROR(__xludf.DUMMYFUNCTION("""COMPUTED_VALUE"""),44063.0)</f>
        <v>44063</v>
      </c>
      <c r="D249" s="96" t="str">
        <f>IFERROR(__xludf.DUMMYFUNCTION("""COMPUTED_VALUE"""),"ALFRED ALABI")</f>
        <v>ALFRED ALABI</v>
      </c>
      <c r="E249" s="96"/>
      <c r="F249" s="96"/>
      <c r="G249" s="96"/>
      <c r="H249" s="96"/>
      <c r="I249" s="96"/>
      <c r="J249" s="96"/>
      <c r="K249" s="96"/>
      <c r="L249" s="96">
        <f>IFERROR(__xludf.DUMMYFUNCTION("""COMPUTED_VALUE"""),0.0)</f>
        <v>0</v>
      </c>
      <c r="M249" s="96">
        <f>IFERROR(__xludf.DUMMYFUNCTION("""COMPUTED_VALUE"""),0.0)</f>
        <v>0</v>
      </c>
      <c r="N249" s="96">
        <f>IFERROR(__xludf.DUMMYFUNCTION("""COMPUTED_VALUE"""),0.0)</f>
        <v>0</v>
      </c>
      <c r="O249" s="96">
        <f>IFERROR(__xludf.DUMMYFUNCTION("""COMPUTED_VALUE"""),400000.0)</f>
        <v>400000</v>
      </c>
      <c r="P249" s="129">
        <f>IFERROR(__xludf.DUMMYFUNCTION("""COMPUTED_VALUE"""),0.0)</f>
        <v>0</v>
      </c>
      <c r="Q249" s="99"/>
      <c r="R249" s="99">
        <f>IFERROR(__xludf.DUMMYFUNCTION("""COMPUTED_VALUE"""),1463020.0)</f>
        <v>1463020</v>
      </c>
    </row>
    <row r="250">
      <c r="B250" s="96">
        <f>IFERROR(__xludf.DUMMYFUNCTION("""COMPUTED_VALUE"""),6.0)</f>
        <v>6</v>
      </c>
      <c r="C250" s="98">
        <f>IFERROR(__xludf.DUMMYFUNCTION("""COMPUTED_VALUE"""),44040.0)</f>
        <v>44040</v>
      </c>
      <c r="D250" s="96" t="str">
        <f>IFERROR(__xludf.DUMMYFUNCTION("""COMPUTED_VALUE"""),"KARIEN EBAN")</f>
        <v>KARIEN EBAN</v>
      </c>
      <c r="E250" s="96"/>
      <c r="F250" s="96"/>
      <c r="G250" s="96"/>
      <c r="H250" s="96"/>
      <c r="I250" s="96"/>
      <c r="J250" s="96"/>
      <c r="K250" s="96"/>
      <c r="L250" s="96">
        <f>IFERROR(__xludf.DUMMYFUNCTION("""COMPUTED_VALUE"""),0.0)</f>
        <v>0</v>
      </c>
      <c r="M250" s="96">
        <f>IFERROR(__xludf.DUMMYFUNCTION("""COMPUTED_VALUE"""),0.0)</f>
        <v>0</v>
      </c>
      <c r="N250" s="96">
        <f>IFERROR(__xludf.DUMMYFUNCTION("""COMPUTED_VALUE"""),0.0)</f>
        <v>0</v>
      </c>
      <c r="O250" s="96"/>
      <c r="P250" s="129">
        <f>IFERROR(__xludf.DUMMYFUNCTION("""COMPUTED_VALUE"""),0.0)</f>
        <v>0</v>
      </c>
      <c r="Q250" s="99">
        <f>IFERROR(__xludf.DUMMYFUNCTION("""COMPUTED_VALUE"""),500000.0)</f>
        <v>500000</v>
      </c>
      <c r="R250" s="99">
        <f>IFERROR(__xludf.DUMMYFUNCTION("""COMPUTED_VALUE"""),2277810.0)</f>
        <v>2277810</v>
      </c>
    </row>
    <row r="251">
      <c r="B251" s="96">
        <f>IFERROR(__xludf.DUMMYFUNCTION("""COMPUTED_VALUE"""),7.0)</f>
        <v>7</v>
      </c>
      <c r="C251" s="98">
        <f>IFERROR(__xludf.DUMMYFUNCTION("""COMPUTED_VALUE"""),44064.0)</f>
        <v>44064</v>
      </c>
      <c r="D251" s="96" t="str">
        <f>IFERROR(__xludf.DUMMYFUNCTION("""COMPUTED_VALUE"""),"KARIEN EBAN")</f>
        <v>KARIEN EBAN</v>
      </c>
      <c r="E251" s="96"/>
      <c r="F251" s="96"/>
      <c r="G251" s="96"/>
      <c r="H251" s="96"/>
      <c r="I251" s="96"/>
      <c r="J251" s="96"/>
      <c r="K251" s="96"/>
      <c r="L251" s="96">
        <f>IFERROR(__xludf.DUMMYFUNCTION("""COMPUTED_VALUE"""),0.0)</f>
        <v>0</v>
      </c>
      <c r="M251" s="96">
        <f>IFERROR(__xludf.DUMMYFUNCTION("""COMPUTED_VALUE"""),0.0)</f>
        <v>0</v>
      </c>
      <c r="N251" s="96">
        <f>IFERROR(__xludf.DUMMYFUNCTION("""COMPUTED_VALUE"""),0.0)</f>
        <v>0</v>
      </c>
      <c r="O251" s="96">
        <f>IFERROR(__xludf.DUMMYFUNCTION("""COMPUTED_VALUE"""),722000.0)</f>
        <v>722000</v>
      </c>
      <c r="P251" s="129">
        <f>IFERROR(__xludf.DUMMYFUNCTION("""COMPUTED_VALUE"""),0.0)</f>
        <v>0</v>
      </c>
      <c r="Q251" s="99"/>
      <c r="R251" s="99">
        <f>IFERROR(__xludf.DUMMYFUNCTION("""COMPUTED_VALUE"""),2999810.0)</f>
        <v>2999810</v>
      </c>
    </row>
    <row r="252">
      <c r="B252" s="96">
        <f>IFERROR(__xludf.DUMMYFUNCTION("""COMPUTED_VALUE"""),18.0)</f>
        <v>18</v>
      </c>
      <c r="C252" s="98">
        <f>IFERROR(__xludf.DUMMYFUNCTION("""COMPUTED_VALUE"""),44065.0)</f>
        <v>44065</v>
      </c>
      <c r="D252" s="96" t="str">
        <f>IFERROR(__xludf.DUMMYFUNCTION("""COMPUTED_VALUE"""),"RECTOR W.")</f>
        <v>RECTOR W.</v>
      </c>
      <c r="E252" s="96"/>
      <c r="F252" s="96"/>
      <c r="G252" s="96"/>
      <c r="H252" s="96"/>
      <c r="I252" s="96"/>
      <c r="J252" s="96"/>
      <c r="K252" s="96"/>
      <c r="L252" s="96">
        <f>IFERROR(__xludf.DUMMYFUNCTION("""COMPUTED_VALUE"""),0.0)</f>
        <v>0</v>
      </c>
      <c r="M252" s="96">
        <f>IFERROR(__xludf.DUMMYFUNCTION("""COMPUTED_VALUE"""),0.0)</f>
        <v>0</v>
      </c>
      <c r="N252" s="96">
        <f>IFERROR(__xludf.DUMMYFUNCTION("""COMPUTED_VALUE"""),0.0)</f>
        <v>0</v>
      </c>
      <c r="O252" s="96">
        <f>IFERROR(__xludf.DUMMYFUNCTION("""COMPUTED_VALUE"""),140000.0)</f>
        <v>140000</v>
      </c>
      <c r="P252" s="129">
        <f>IFERROR(__xludf.DUMMYFUNCTION("""COMPUTED_VALUE"""),0.0)</f>
        <v>0</v>
      </c>
      <c r="Q252" s="99"/>
      <c r="R252" s="99">
        <f>IFERROR(__xludf.DUMMYFUNCTION("""COMPUTED_VALUE"""),4667340.0)</f>
        <v>4667340</v>
      </c>
    </row>
    <row r="253">
      <c r="B253" s="96">
        <f>IFERROR(__xludf.DUMMYFUNCTION("""COMPUTED_VALUE"""),15.0)</f>
        <v>15</v>
      </c>
      <c r="C253" s="98">
        <f>IFERROR(__xludf.DUMMYFUNCTION("""COMPUTED_VALUE"""),44067.0)</f>
        <v>44067</v>
      </c>
      <c r="D253" s="96" t="str">
        <f>IFERROR(__xludf.DUMMYFUNCTION("""COMPUTED_VALUE"""),"LYDIA HNSON ")</f>
        <v>LYDIA HNSON </v>
      </c>
      <c r="E253" s="96"/>
      <c r="F253" s="96"/>
      <c r="G253" s="96"/>
      <c r="H253" s="96"/>
      <c r="I253" s="96"/>
      <c r="J253" s="96"/>
      <c r="K253" s="96"/>
      <c r="L253" s="96">
        <f>IFERROR(__xludf.DUMMYFUNCTION("""COMPUTED_VALUE"""),0.0)</f>
        <v>0</v>
      </c>
      <c r="M253" s="96">
        <f>IFERROR(__xludf.DUMMYFUNCTION("""COMPUTED_VALUE"""),0.0)</f>
        <v>0</v>
      </c>
      <c r="N253" s="96">
        <f>IFERROR(__xludf.DUMMYFUNCTION("""COMPUTED_VALUE"""),0.0)</f>
        <v>0</v>
      </c>
      <c r="O253" s="96">
        <f>IFERROR(__xludf.DUMMYFUNCTION("""COMPUTED_VALUE"""),100000.0)</f>
        <v>100000</v>
      </c>
      <c r="P253" s="129">
        <f>IFERROR(__xludf.DUMMYFUNCTION("""COMPUTED_VALUE"""),0.0)</f>
        <v>0</v>
      </c>
      <c r="Q253" s="99"/>
      <c r="R253" s="99">
        <f>IFERROR(__xludf.DUMMYFUNCTION("""COMPUTED_VALUE"""),3566560.0)</f>
        <v>3566560</v>
      </c>
    </row>
    <row r="254">
      <c r="B254" s="96">
        <f>IFERROR(__xludf.DUMMYFUNCTION("""COMPUTED_VALUE"""),7.0)</f>
        <v>7</v>
      </c>
      <c r="C254" s="98">
        <f>IFERROR(__xludf.DUMMYFUNCTION("""COMPUTED_VALUE"""),44067.0)</f>
        <v>44067</v>
      </c>
      <c r="D254" s="96" t="str">
        <f>IFERROR(__xludf.DUMMYFUNCTION("""COMPUTED_VALUE"""),"BOSURU  BOSURU")</f>
        <v>BOSURU  BOSURU</v>
      </c>
      <c r="E254" s="96"/>
      <c r="F254" s="96"/>
      <c r="G254" s="96"/>
      <c r="H254" s="96"/>
      <c r="I254" s="96"/>
      <c r="J254" s="96"/>
      <c r="K254" s="96"/>
      <c r="L254" s="96">
        <f>IFERROR(__xludf.DUMMYFUNCTION("""COMPUTED_VALUE"""),0.0)</f>
        <v>0</v>
      </c>
      <c r="M254" s="96">
        <f>IFERROR(__xludf.DUMMYFUNCTION("""COMPUTED_VALUE"""),0.0)</f>
        <v>0</v>
      </c>
      <c r="N254" s="96">
        <f>IFERROR(__xludf.DUMMYFUNCTION("""COMPUTED_VALUE"""),0.0)</f>
        <v>0</v>
      </c>
      <c r="O254" s="96">
        <f>IFERROR(__xludf.DUMMYFUNCTION("""COMPUTED_VALUE"""),100000.0)</f>
        <v>100000</v>
      </c>
      <c r="P254" s="129">
        <f>IFERROR(__xludf.DUMMYFUNCTION("""COMPUTED_VALUE"""),0.0)</f>
        <v>0</v>
      </c>
      <c r="Q254" s="99"/>
      <c r="R254" s="99">
        <f>IFERROR(__xludf.DUMMYFUNCTION("""COMPUTED_VALUE"""),1352380.0)</f>
        <v>1352380</v>
      </c>
    </row>
    <row r="255">
      <c r="B255" s="96">
        <f>IFERROR(__xludf.DUMMYFUNCTION("""COMPUTED_VALUE"""),2.0)</f>
        <v>2</v>
      </c>
      <c r="C255" s="98">
        <f>IFERROR(__xludf.DUMMYFUNCTION("""COMPUTED_VALUE"""),44067.0)</f>
        <v>44067</v>
      </c>
      <c r="D255" s="96" t="str">
        <f>IFERROR(__xludf.DUMMYFUNCTION("""COMPUTED_VALUE"""),"R.  MAXWELL AGRO")</f>
        <v>R.  MAXWELL AGRO</v>
      </c>
      <c r="E255" s="96"/>
      <c r="F255" s="96"/>
      <c r="G255" s="96"/>
      <c r="H255" s="96"/>
      <c r="I255" s="96"/>
      <c r="J255" s="96"/>
      <c r="K255" s="96"/>
      <c r="L255" s="96">
        <f>IFERROR(__xludf.DUMMYFUNCTION("""COMPUTED_VALUE"""),0.0)</f>
        <v>0</v>
      </c>
      <c r="M255" s="96">
        <f>IFERROR(__xludf.DUMMYFUNCTION("""COMPUTED_VALUE"""),0.0)</f>
        <v>0</v>
      </c>
      <c r="N255" s="96">
        <f>IFERROR(__xludf.DUMMYFUNCTION("""COMPUTED_VALUE"""),0.0)</f>
        <v>0</v>
      </c>
      <c r="O255" s="96">
        <f>IFERROR(__xludf.DUMMYFUNCTION("""COMPUTED_VALUE"""),50000.0)</f>
        <v>50000</v>
      </c>
      <c r="P255" s="129">
        <f>IFERROR(__xludf.DUMMYFUNCTION("""COMPUTED_VALUE"""),0.0)</f>
        <v>0</v>
      </c>
      <c r="Q255" s="99"/>
      <c r="R255" s="99">
        <f>IFERROR(__xludf.DUMMYFUNCTION("""COMPUTED_VALUE"""),890000.0)</f>
        <v>890000</v>
      </c>
    </row>
    <row r="256">
      <c r="B256" s="96">
        <f>IFERROR(__xludf.DUMMYFUNCTION("""COMPUTED_VALUE"""),9.0)</f>
        <v>9</v>
      </c>
      <c r="C256" s="98">
        <f>IFERROR(__xludf.DUMMYFUNCTION("""COMPUTED_VALUE"""),44067.0)</f>
        <v>44067</v>
      </c>
      <c r="D256" s="96" t="str">
        <f>IFERROR(__xludf.DUMMYFUNCTION("""COMPUTED_VALUE"""),"EDWARD OKO")</f>
        <v>EDWARD OKO</v>
      </c>
      <c r="E256" s="96"/>
      <c r="F256" s="96"/>
      <c r="G256" s="96"/>
      <c r="H256" s="96"/>
      <c r="I256" s="96"/>
      <c r="J256" s="96"/>
      <c r="K256" s="96"/>
      <c r="L256" s="96">
        <f>IFERROR(__xludf.DUMMYFUNCTION("""COMPUTED_VALUE"""),0.0)</f>
        <v>0</v>
      </c>
      <c r="M256" s="96">
        <f>IFERROR(__xludf.DUMMYFUNCTION("""COMPUTED_VALUE"""),0.0)</f>
        <v>0</v>
      </c>
      <c r="N256" s="96">
        <f>IFERROR(__xludf.DUMMYFUNCTION("""COMPUTED_VALUE"""),0.0)</f>
        <v>0</v>
      </c>
      <c r="O256" s="96">
        <f>IFERROR(__xludf.DUMMYFUNCTION("""COMPUTED_VALUE"""),85000.0)</f>
        <v>85000</v>
      </c>
      <c r="P256" s="129">
        <f>IFERROR(__xludf.DUMMYFUNCTION("""COMPUTED_VALUE"""),0.0)</f>
        <v>0</v>
      </c>
      <c r="Q256" s="99"/>
      <c r="R256" s="99">
        <f>IFERROR(__xludf.DUMMYFUNCTION("""COMPUTED_VALUE"""),92690.0)</f>
        <v>92690</v>
      </c>
    </row>
    <row r="257">
      <c r="B257" s="96">
        <f>IFERROR(__xludf.DUMMYFUNCTION("""COMPUTED_VALUE"""),2.0)</f>
        <v>2</v>
      </c>
      <c r="C257" s="98">
        <f>IFERROR(__xludf.DUMMYFUNCTION("""COMPUTED_VALUE"""),44067.0)</f>
        <v>44067</v>
      </c>
      <c r="D257" s="96" t="str">
        <f>IFERROR(__xludf.DUMMYFUNCTION("""COMPUTED_VALUE"""),"PAPA AJASCO BETTE")</f>
        <v>PAPA AJASCO BETTE</v>
      </c>
      <c r="E257" s="96"/>
      <c r="F257" s="96"/>
      <c r="G257" s="96"/>
      <c r="H257" s="96"/>
      <c r="I257" s="96"/>
      <c r="J257" s="96"/>
      <c r="K257" s="96"/>
      <c r="L257" s="96">
        <f>IFERROR(__xludf.DUMMYFUNCTION("""COMPUTED_VALUE"""),0.0)</f>
        <v>0</v>
      </c>
      <c r="M257" s="96">
        <f>IFERROR(__xludf.DUMMYFUNCTION("""COMPUTED_VALUE"""),0.0)</f>
        <v>0</v>
      </c>
      <c r="N257" s="96">
        <f>IFERROR(__xludf.DUMMYFUNCTION("""COMPUTED_VALUE"""),0.0)</f>
        <v>0</v>
      </c>
      <c r="O257" s="96">
        <f>IFERROR(__xludf.DUMMYFUNCTION("""COMPUTED_VALUE"""),20000.0)</f>
        <v>20000</v>
      </c>
      <c r="P257" s="129">
        <f>IFERROR(__xludf.DUMMYFUNCTION("""COMPUTED_VALUE"""),0.0)</f>
        <v>0</v>
      </c>
      <c r="Q257" s="99"/>
      <c r="R257" s="99">
        <f>IFERROR(__xludf.DUMMYFUNCTION("""COMPUTED_VALUE"""),220000.0)</f>
        <v>220000</v>
      </c>
    </row>
    <row r="258">
      <c r="B258" s="96">
        <f>IFERROR(__xludf.DUMMYFUNCTION("""COMPUTED_VALUE"""),9.0)</f>
        <v>9</v>
      </c>
      <c r="C258" s="98">
        <f>IFERROR(__xludf.DUMMYFUNCTION("""COMPUTED_VALUE"""),44068.0)</f>
        <v>44068</v>
      </c>
      <c r="D258" s="96" t="str">
        <f>IFERROR(__xludf.DUMMYFUNCTION("""COMPUTED_VALUE""")," MAXWELL AGRO")</f>
        <v> MAXWELL AGRO</v>
      </c>
      <c r="E258" s="96">
        <f>IFERROR(__xludf.DUMMYFUNCTION("""COMPUTED_VALUE"""),657.0)</f>
        <v>657</v>
      </c>
      <c r="F258" s="96">
        <f>IFERROR(__xludf.DUMMYFUNCTION("""COMPUTED_VALUE"""),93.0)</f>
        <v>93</v>
      </c>
      <c r="G258" s="96"/>
      <c r="H258" s="96">
        <f>IFERROR(__xludf.DUMMYFUNCTION("""COMPUTED_VALUE"""),10.0)</f>
        <v>10</v>
      </c>
      <c r="I258" s="96">
        <f>IFERROR(__xludf.DUMMYFUNCTION("""COMPUTED_VALUE"""),0.0)</f>
        <v>0</v>
      </c>
      <c r="J258" s="96">
        <f>IFERROR(__xludf.DUMMYFUNCTION("""COMPUTED_VALUE"""),825.35)</f>
        <v>825.35</v>
      </c>
      <c r="K258" s="96">
        <f>IFERROR(__xludf.DUMMYFUNCTION("""COMPUTED_VALUE"""),9.3)</f>
        <v>9.3</v>
      </c>
      <c r="L258" s="96">
        <f>IFERROR(__xludf.DUMMYFUNCTION("""COMPUTED_VALUE"""),8.0)</f>
        <v>8</v>
      </c>
      <c r="M258" s="96">
        <f>IFERROR(__xludf.DUMMYFUNCTION("""COMPUTED_VALUE"""),10.0)</f>
        <v>10</v>
      </c>
      <c r="N258" s="96">
        <f>IFERROR(__xludf.DUMMYFUNCTION("""COMPUTED_VALUE"""),8.0)</f>
        <v>8</v>
      </c>
      <c r="O258" s="96"/>
      <c r="P258" s="129">
        <f>IFERROR(__xludf.DUMMYFUNCTION("""COMPUTED_VALUE"""),639.0)</f>
        <v>639</v>
      </c>
      <c r="Q258" s="99">
        <f>IFERROR(__xludf.DUMMYFUNCTION("""COMPUTED_VALUE"""),527400.0)</f>
        <v>527400</v>
      </c>
      <c r="R258" s="99">
        <f>IFERROR(__xludf.DUMMYFUNCTION("""COMPUTED_VALUE"""),2920.0)</f>
        <v>2920</v>
      </c>
    </row>
    <row r="259">
      <c r="B259" s="96">
        <f>IFERROR(__xludf.DUMMYFUNCTION("""COMPUTED_VALUE"""),10.0)</f>
        <v>10</v>
      </c>
      <c r="C259" s="98">
        <f>IFERROR(__xludf.DUMMYFUNCTION("""COMPUTED_VALUE"""),44068.0)</f>
        <v>44068</v>
      </c>
      <c r="D259" s="96" t="str">
        <f>IFERROR(__xludf.DUMMYFUNCTION("""COMPUTED_VALUE""")," MAXWELL AGRO")</f>
        <v> MAXWELL AGRO</v>
      </c>
      <c r="E259" s="96"/>
      <c r="F259" s="96"/>
      <c r="G259" s="96"/>
      <c r="H259" s="96"/>
      <c r="I259" s="96"/>
      <c r="J259" s="96"/>
      <c r="K259" s="96"/>
      <c r="L259" s="96">
        <f>IFERROR(__xludf.DUMMYFUNCTION("""COMPUTED_VALUE"""),0.0)</f>
        <v>0</v>
      </c>
      <c r="M259" s="96">
        <f>IFERROR(__xludf.DUMMYFUNCTION("""COMPUTED_VALUE"""),0.0)</f>
        <v>0</v>
      </c>
      <c r="N259" s="96">
        <f>IFERROR(__xludf.DUMMYFUNCTION("""COMPUTED_VALUE"""),0.0)</f>
        <v>0</v>
      </c>
      <c r="O259" s="96">
        <f>IFERROR(__xludf.DUMMYFUNCTION("""COMPUTED_VALUE"""),300000.0)</f>
        <v>300000</v>
      </c>
      <c r="P259" s="129">
        <f>IFERROR(__xludf.DUMMYFUNCTION("""COMPUTED_VALUE"""),0.0)</f>
        <v>0</v>
      </c>
      <c r="Q259" s="99"/>
      <c r="R259" s="99">
        <f>IFERROR(__xludf.DUMMYFUNCTION("""COMPUTED_VALUE"""),302920.0)</f>
        <v>302920</v>
      </c>
    </row>
    <row r="260">
      <c r="B260" s="96">
        <f>IFERROR(__xludf.DUMMYFUNCTION("""COMPUTED_VALUE"""),11.0)</f>
        <v>11</v>
      </c>
      <c r="C260" s="98">
        <f>IFERROR(__xludf.DUMMYFUNCTION("""COMPUTED_VALUE"""),44068.0)</f>
        <v>44068</v>
      </c>
      <c r="D260" s="96" t="str">
        <f>IFERROR(__xludf.DUMMYFUNCTION("""COMPUTED_VALUE""")," MAXWELL AGRO")</f>
        <v> MAXWELL AGRO</v>
      </c>
      <c r="E260" s="96"/>
      <c r="F260" s="96"/>
      <c r="G260" s="96"/>
      <c r="H260" s="96"/>
      <c r="I260" s="96"/>
      <c r="J260" s="96"/>
      <c r="K260" s="96"/>
      <c r="L260" s="96">
        <f>IFERROR(__xludf.DUMMYFUNCTION("""COMPUTED_VALUE"""),0.0)</f>
        <v>0</v>
      </c>
      <c r="M260" s="96">
        <f>IFERROR(__xludf.DUMMYFUNCTION("""COMPUTED_VALUE"""),0.0)</f>
        <v>0</v>
      </c>
      <c r="N260" s="96">
        <f>IFERROR(__xludf.DUMMYFUNCTION("""COMPUTED_VALUE"""),0.0)</f>
        <v>0</v>
      </c>
      <c r="O260" s="96">
        <f>IFERROR(__xludf.DUMMYFUNCTION("""COMPUTED_VALUE"""),4500.0)</f>
        <v>4500</v>
      </c>
      <c r="P260" s="129">
        <f>IFERROR(__xludf.DUMMYFUNCTION("""COMPUTED_VALUE"""),0.0)</f>
        <v>0</v>
      </c>
      <c r="Q260" s="99"/>
      <c r="R260" s="99">
        <f>IFERROR(__xludf.DUMMYFUNCTION("""COMPUTED_VALUE"""),307420.0)</f>
        <v>307420</v>
      </c>
    </row>
    <row r="261">
      <c r="B261" s="96">
        <f>IFERROR(__xludf.DUMMYFUNCTION("""COMPUTED_VALUE"""),2.0)</f>
        <v>2</v>
      </c>
      <c r="C261" s="98">
        <f>IFERROR(__xludf.DUMMYFUNCTION("""COMPUTED_VALUE"""),44068.0)</f>
        <v>44068</v>
      </c>
      <c r="D261" s="96" t="str">
        <f>IFERROR(__xludf.DUMMYFUNCTION("""COMPUTED_VALUE"""),"REIMON ALABA")</f>
        <v>REIMON ALABA</v>
      </c>
      <c r="E261" s="96"/>
      <c r="F261" s="96"/>
      <c r="G261" s="96"/>
      <c r="H261" s="96"/>
      <c r="I261" s="96"/>
      <c r="J261" s="96"/>
      <c r="K261" s="96"/>
      <c r="L261" s="96">
        <f>IFERROR(__xludf.DUMMYFUNCTION("""COMPUTED_VALUE"""),0.0)</f>
        <v>0</v>
      </c>
      <c r="M261" s="96">
        <f>IFERROR(__xludf.DUMMYFUNCTION("""COMPUTED_VALUE"""),0.0)</f>
        <v>0</v>
      </c>
      <c r="N261" s="96">
        <f>IFERROR(__xludf.DUMMYFUNCTION("""COMPUTED_VALUE"""),0.0)</f>
        <v>0</v>
      </c>
      <c r="O261" s="96">
        <f>IFERROR(__xludf.DUMMYFUNCTION("""COMPUTED_VALUE"""),200000.0)</f>
        <v>200000</v>
      </c>
      <c r="P261" s="129">
        <f>IFERROR(__xludf.DUMMYFUNCTION("""COMPUTED_VALUE"""),0.0)</f>
        <v>0</v>
      </c>
      <c r="Q261" s="99"/>
      <c r="R261" s="99">
        <f>IFERROR(__xludf.DUMMYFUNCTION("""COMPUTED_VALUE"""),350000.0)</f>
        <v>350000</v>
      </c>
    </row>
    <row r="262">
      <c r="B262" s="96">
        <f>IFERROR(__xludf.DUMMYFUNCTION("""COMPUTED_VALUE"""),16.0)</f>
        <v>16</v>
      </c>
      <c r="C262" s="98">
        <f>IFERROR(__xludf.DUMMYFUNCTION("""COMPUTED_VALUE"""),44068.0)</f>
        <v>44068</v>
      </c>
      <c r="D262" s="96" t="str">
        <f>IFERROR(__xludf.DUMMYFUNCTION("""COMPUTED_VALUE"""),"LYDIA HNSON ")</f>
        <v>LYDIA HNSON </v>
      </c>
      <c r="E262" s="96"/>
      <c r="F262" s="96"/>
      <c r="G262" s="96"/>
      <c r="H262" s="96"/>
      <c r="I262" s="96"/>
      <c r="J262" s="96"/>
      <c r="K262" s="96"/>
      <c r="L262" s="96">
        <f>IFERROR(__xludf.DUMMYFUNCTION("""COMPUTED_VALUE"""),0.0)</f>
        <v>0</v>
      </c>
      <c r="M262" s="96">
        <f>IFERROR(__xludf.DUMMYFUNCTION("""COMPUTED_VALUE"""),0.0)</f>
        <v>0</v>
      </c>
      <c r="N262" s="96">
        <f>IFERROR(__xludf.DUMMYFUNCTION("""COMPUTED_VALUE"""),0.0)</f>
        <v>0</v>
      </c>
      <c r="O262" s="96">
        <f>IFERROR(__xludf.DUMMYFUNCTION("""COMPUTED_VALUE"""),10000.0)</f>
        <v>10000</v>
      </c>
      <c r="P262" s="129">
        <f>IFERROR(__xludf.DUMMYFUNCTION("""COMPUTED_VALUE"""),0.0)</f>
        <v>0</v>
      </c>
      <c r="Q262" s="99"/>
      <c r="R262" s="99">
        <f>IFERROR(__xludf.DUMMYFUNCTION("""COMPUTED_VALUE"""),3576560.0)</f>
        <v>3576560</v>
      </c>
    </row>
    <row r="263">
      <c r="B263" s="96">
        <f>IFERROR(__xludf.DUMMYFUNCTION("""COMPUTED_VALUE"""),1.0)</f>
        <v>1</v>
      </c>
      <c r="C263" s="98">
        <f>IFERROR(__xludf.DUMMYFUNCTION("""COMPUTED_VALUE"""),44068.0)</f>
        <v>44068</v>
      </c>
      <c r="D263" s="96" t="str">
        <f>IFERROR(__xludf.DUMMYFUNCTION("""COMPUTED_VALUE"""),"NEIGHBOR")</f>
        <v>NEIGHBOR</v>
      </c>
      <c r="E263" s="96"/>
      <c r="F263" s="96"/>
      <c r="G263" s="96"/>
      <c r="H263" s="96"/>
      <c r="I263" s="96"/>
      <c r="J263" s="96"/>
      <c r="K263" s="96"/>
      <c r="L263" s="96">
        <f>IFERROR(__xludf.DUMMYFUNCTION("""COMPUTED_VALUE"""),0.0)</f>
        <v>0</v>
      </c>
      <c r="M263" s="96">
        <f>IFERROR(__xludf.DUMMYFUNCTION("""COMPUTED_VALUE"""),0.0)</f>
        <v>0</v>
      </c>
      <c r="N263" s="96">
        <f>IFERROR(__xludf.DUMMYFUNCTION("""COMPUTED_VALUE"""),0.0)</f>
        <v>0</v>
      </c>
      <c r="O263" s="96">
        <f>IFERROR(__xludf.DUMMYFUNCTION("""COMPUTED_VALUE"""),500000.0)</f>
        <v>500000</v>
      </c>
      <c r="P263" s="129">
        <f>IFERROR(__xludf.DUMMYFUNCTION("""COMPUTED_VALUE"""),0.0)</f>
        <v>0</v>
      </c>
      <c r="Q263" s="99"/>
      <c r="R263" s="99">
        <f>IFERROR(__xludf.DUMMYFUNCTION("""COMPUTED_VALUE"""),500000.0)</f>
        <v>500000</v>
      </c>
    </row>
    <row r="264">
      <c r="B264" s="96">
        <f>IFERROR(__xludf.DUMMYFUNCTION("""COMPUTED_VALUE"""),2.0)</f>
        <v>2</v>
      </c>
      <c r="C264" s="98">
        <f>IFERROR(__xludf.DUMMYFUNCTION("""COMPUTED_VALUE"""),44069.0)</f>
        <v>44069</v>
      </c>
      <c r="D264" s="96" t="str">
        <f>IFERROR(__xludf.DUMMYFUNCTION("""COMPUTED_VALUE"""),"NEIGHBOR")</f>
        <v>NEIGHBOR</v>
      </c>
      <c r="E264" s="96">
        <f>IFERROR(__xludf.DUMMYFUNCTION("""COMPUTED_VALUE"""),638.0)</f>
        <v>638</v>
      </c>
      <c r="F264" s="96">
        <f>IFERROR(__xludf.DUMMYFUNCTION("""COMPUTED_VALUE"""),102.0)</f>
        <v>102</v>
      </c>
      <c r="G264" s="96"/>
      <c r="H264" s="96">
        <f>IFERROR(__xludf.DUMMYFUNCTION("""COMPUTED_VALUE"""),10.0)</f>
        <v>10</v>
      </c>
      <c r="I264" s="96">
        <f>IFERROR(__xludf.DUMMYFUNCTION("""COMPUTED_VALUE"""),0.0)</f>
        <v>0</v>
      </c>
      <c r="J264" s="96">
        <f>IFERROR(__xludf.DUMMYFUNCTION("""COMPUTED_VALUE"""),850.0)</f>
        <v>850</v>
      </c>
      <c r="K264" s="96">
        <f>IFERROR(__xludf.DUMMYFUNCTION("""COMPUTED_VALUE"""),10.2)</f>
        <v>10.2</v>
      </c>
      <c r="L264" s="96">
        <f>IFERROR(__xludf.DUMMYFUNCTION("""COMPUTED_VALUE"""),14.0)</f>
        <v>14</v>
      </c>
      <c r="M264" s="96">
        <f>IFERROR(__xludf.DUMMYFUNCTION("""COMPUTED_VALUE"""),9.0)</f>
        <v>9</v>
      </c>
      <c r="N264" s="96">
        <f>IFERROR(__xludf.DUMMYFUNCTION("""COMPUTED_VALUE"""),46.0)</f>
        <v>46</v>
      </c>
      <c r="O264" s="96"/>
      <c r="P264" s="129">
        <f>IFERROR(__xludf.DUMMYFUNCTION("""COMPUTED_VALUE"""),614.0)</f>
        <v>614</v>
      </c>
      <c r="Q264" s="99">
        <f>IFERROR(__xludf.DUMMYFUNCTION("""COMPUTED_VALUE"""),521900.0)</f>
        <v>521900</v>
      </c>
      <c r="R264" s="99">
        <f>IFERROR(__xludf.DUMMYFUNCTION("""COMPUTED_VALUE"""),-21900.0)</f>
        <v>-21900</v>
      </c>
    </row>
    <row r="265">
      <c r="B265" s="96">
        <f>IFERROR(__xludf.DUMMYFUNCTION("""COMPUTED_VALUE"""),13.0)</f>
        <v>13</v>
      </c>
      <c r="C265" s="98">
        <f>IFERROR(__xludf.DUMMYFUNCTION("""COMPUTED_VALUE"""),44069.0)</f>
        <v>44069</v>
      </c>
      <c r="D265" s="96" t="str">
        <f>IFERROR(__xludf.DUMMYFUNCTION("""COMPUTED_VALUE"""),"NDOMA BODE I.D")</f>
        <v>NDOMA BODE I.D</v>
      </c>
      <c r="E265" s="96">
        <f>IFERROR(__xludf.DUMMYFUNCTION("""COMPUTED_VALUE"""),1304.0)</f>
        <v>1304</v>
      </c>
      <c r="F265" s="96">
        <f>IFERROR(__xludf.DUMMYFUNCTION("""COMPUTED_VALUE"""),168.0)</f>
        <v>168</v>
      </c>
      <c r="G265" s="96"/>
      <c r="H265" s="96">
        <f>IFERROR(__xludf.DUMMYFUNCTION("""COMPUTED_VALUE"""),21.0)</f>
        <v>21</v>
      </c>
      <c r="I265" s="96">
        <f>IFERROR(__xludf.DUMMYFUNCTION("""COMPUTED_VALUE"""),0.0)</f>
        <v>0</v>
      </c>
      <c r="J265" s="96">
        <f>IFERROR(__xludf.DUMMYFUNCTION("""COMPUTED_VALUE"""),820.0)</f>
        <v>820</v>
      </c>
      <c r="K265" s="96">
        <f>IFERROR(__xludf.DUMMYFUNCTION("""COMPUTED_VALUE"""),8.0)</f>
        <v>8</v>
      </c>
      <c r="L265" s="96">
        <f>IFERROR(__xludf.DUMMYFUNCTION("""COMPUTED_VALUE"""),0.0)</f>
        <v>0</v>
      </c>
      <c r="M265" s="96">
        <f>IFERROR(__xludf.DUMMYFUNCTION("""COMPUTED_VALUE"""),20.0)</f>
        <v>20</v>
      </c>
      <c r="N265" s="96">
        <f>IFERROR(__xludf.DUMMYFUNCTION("""COMPUTED_VALUE"""),22.0)</f>
        <v>22</v>
      </c>
      <c r="O265" s="96"/>
      <c r="P265" s="129">
        <f>IFERROR(__xludf.DUMMYFUNCTION("""COMPUTED_VALUE"""),1283.0)</f>
        <v>1283</v>
      </c>
      <c r="Q265" s="99">
        <f>IFERROR(__xludf.DUMMYFUNCTION("""COMPUTED_VALUE"""),1052060.0)</f>
        <v>1052060</v>
      </c>
      <c r="R265" s="99">
        <f>IFERROR(__xludf.DUMMYFUNCTION("""COMPUTED_VALUE"""),-52060.0)</f>
        <v>-52060</v>
      </c>
    </row>
    <row r="266">
      <c r="B266" s="96">
        <f>IFERROR(__xludf.DUMMYFUNCTION("""COMPUTED_VALUE"""),8.0)</f>
        <v>8</v>
      </c>
      <c r="C266" s="98">
        <f>IFERROR(__xludf.DUMMYFUNCTION("""COMPUTED_VALUE"""),44069.0)</f>
        <v>44069</v>
      </c>
      <c r="D266" s="96" t="str">
        <f>IFERROR(__xludf.DUMMYFUNCTION("""COMPUTED_VALUE"""),"ANDRDEW GREAT")</f>
        <v>ANDRDEW GREAT</v>
      </c>
      <c r="E266" s="96"/>
      <c r="F266" s="96"/>
      <c r="G266" s="96"/>
      <c r="H266" s="96"/>
      <c r="I266" s="96"/>
      <c r="J266" s="96"/>
      <c r="K266" s="96"/>
      <c r="L266" s="96">
        <f>IFERROR(__xludf.DUMMYFUNCTION("""COMPUTED_VALUE"""),0.0)</f>
        <v>0</v>
      </c>
      <c r="M266" s="96">
        <f>IFERROR(__xludf.DUMMYFUNCTION("""COMPUTED_VALUE"""),0.0)</f>
        <v>0</v>
      </c>
      <c r="N266" s="96">
        <f>IFERROR(__xludf.DUMMYFUNCTION("""COMPUTED_VALUE"""),0.0)</f>
        <v>0</v>
      </c>
      <c r="O266" s="96">
        <f>IFERROR(__xludf.DUMMYFUNCTION("""COMPUTED_VALUE"""),200000.0)</f>
        <v>200000</v>
      </c>
      <c r="P266" s="129">
        <f>IFERROR(__xludf.DUMMYFUNCTION("""COMPUTED_VALUE"""),0.0)</f>
        <v>0</v>
      </c>
      <c r="Q266" s="99"/>
      <c r="R266" s="99">
        <f>IFERROR(__xludf.DUMMYFUNCTION("""COMPUTED_VALUE"""),1756950.0)</f>
        <v>1756950</v>
      </c>
    </row>
    <row r="267">
      <c r="B267" s="96">
        <f>IFERROR(__xludf.DUMMYFUNCTION("""COMPUTED_VALUE"""),10.0)</f>
        <v>10</v>
      </c>
      <c r="C267" s="98">
        <f>IFERROR(__xludf.DUMMYFUNCTION("""COMPUTED_VALUE"""),44069.0)</f>
        <v>44069</v>
      </c>
      <c r="D267" s="96" t="str">
        <f>IFERROR(__xludf.DUMMYFUNCTION("""COMPUTED_VALUE"""),"EDWARD OKO")</f>
        <v>EDWARD OKO</v>
      </c>
      <c r="E267" s="96"/>
      <c r="F267" s="96"/>
      <c r="G267" s="96"/>
      <c r="H267" s="96"/>
      <c r="I267" s="96"/>
      <c r="J267" s="96"/>
      <c r="K267" s="96"/>
      <c r="L267" s="96">
        <f>IFERROR(__xludf.DUMMYFUNCTION("""COMPUTED_VALUE"""),0.0)</f>
        <v>0</v>
      </c>
      <c r="M267" s="96">
        <f>IFERROR(__xludf.DUMMYFUNCTION("""COMPUTED_VALUE"""),0.0)</f>
        <v>0</v>
      </c>
      <c r="N267" s="96">
        <f>IFERROR(__xludf.DUMMYFUNCTION("""COMPUTED_VALUE"""),0.0)</f>
        <v>0</v>
      </c>
      <c r="O267" s="96">
        <f>IFERROR(__xludf.DUMMYFUNCTION("""COMPUTED_VALUE"""),100000.0)</f>
        <v>100000</v>
      </c>
      <c r="P267" s="129">
        <f>IFERROR(__xludf.DUMMYFUNCTION("""COMPUTED_VALUE"""),0.0)</f>
        <v>0</v>
      </c>
      <c r="Q267" s="99"/>
      <c r="R267" s="99">
        <f>IFERROR(__xludf.DUMMYFUNCTION("""COMPUTED_VALUE"""),192690.0)</f>
        <v>192690</v>
      </c>
    </row>
    <row r="268">
      <c r="B268" s="96">
        <f>IFERROR(__xludf.DUMMYFUNCTION("""COMPUTED_VALUE"""),17.0)</f>
        <v>17</v>
      </c>
      <c r="C268" s="98">
        <f>IFERROR(__xludf.DUMMYFUNCTION("""COMPUTED_VALUE"""),44069.0)</f>
        <v>44069</v>
      </c>
      <c r="D268" s="96" t="str">
        <f>IFERROR(__xludf.DUMMYFUNCTION("""COMPUTED_VALUE"""),"LYDIA HNSON ")</f>
        <v>LYDIA HNSON </v>
      </c>
      <c r="E268" s="96"/>
      <c r="F268" s="96"/>
      <c r="G268" s="96"/>
      <c r="H268" s="96"/>
      <c r="I268" s="96"/>
      <c r="J268" s="96"/>
      <c r="K268" s="96"/>
      <c r="L268" s="96">
        <f>IFERROR(__xludf.DUMMYFUNCTION("""COMPUTED_VALUE"""),0.0)</f>
        <v>0</v>
      </c>
      <c r="M268" s="96">
        <f>IFERROR(__xludf.DUMMYFUNCTION("""COMPUTED_VALUE"""),0.0)</f>
        <v>0</v>
      </c>
      <c r="N268" s="96">
        <f>IFERROR(__xludf.DUMMYFUNCTION("""COMPUTED_VALUE"""),0.0)</f>
        <v>0</v>
      </c>
      <c r="O268" s="96">
        <f>IFERROR(__xludf.DUMMYFUNCTION("""COMPUTED_VALUE"""),1990000.0)</f>
        <v>1990000</v>
      </c>
      <c r="P268" s="129">
        <f>IFERROR(__xludf.DUMMYFUNCTION("""COMPUTED_VALUE"""),0.0)</f>
        <v>0</v>
      </c>
      <c r="Q268" s="99"/>
      <c r="R268" s="99">
        <f>IFERROR(__xludf.DUMMYFUNCTION("""COMPUTED_VALUE"""),5566560.0)</f>
        <v>5566560</v>
      </c>
    </row>
    <row r="269">
      <c r="B269" s="96">
        <f>IFERROR(__xludf.DUMMYFUNCTION("""COMPUTED_VALUE"""),15.0)</f>
        <v>15</v>
      </c>
      <c r="C269" s="98">
        <f>IFERROR(__xludf.DUMMYFUNCTION("""COMPUTED_VALUE"""),44069.0)</f>
        <v>44069</v>
      </c>
      <c r="D269" s="96" t="str">
        <f>IFERROR(__xludf.DUMMYFUNCTION("""COMPUTED_VALUE"""),"LIVINUS")</f>
        <v>LIVINUS</v>
      </c>
      <c r="E269" s="96"/>
      <c r="F269" s="96"/>
      <c r="G269" s="96"/>
      <c r="H269" s="96"/>
      <c r="I269" s="96"/>
      <c r="J269" s="96"/>
      <c r="K269" s="96"/>
      <c r="L269" s="96">
        <f>IFERROR(__xludf.DUMMYFUNCTION("""COMPUTED_VALUE"""),0.0)</f>
        <v>0</v>
      </c>
      <c r="M269" s="96">
        <f>IFERROR(__xludf.DUMMYFUNCTION("""COMPUTED_VALUE"""),0.0)</f>
        <v>0</v>
      </c>
      <c r="N269" s="96">
        <f>IFERROR(__xludf.DUMMYFUNCTION("""COMPUTED_VALUE"""),0.0)</f>
        <v>0</v>
      </c>
      <c r="O269" s="96">
        <f>IFERROR(__xludf.DUMMYFUNCTION("""COMPUTED_VALUE"""),2250000.0)</f>
        <v>2250000</v>
      </c>
      <c r="P269" s="129">
        <f>IFERROR(__xludf.DUMMYFUNCTION("""COMPUTED_VALUE"""),0.0)</f>
        <v>0</v>
      </c>
      <c r="Q269" s="99"/>
      <c r="R269" s="99">
        <f>IFERROR(__xludf.DUMMYFUNCTION("""COMPUTED_VALUE"""),8354500.0)</f>
        <v>8354500</v>
      </c>
    </row>
    <row r="270">
      <c r="B270" s="96">
        <f>IFERROR(__xludf.DUMMYFUNCTION("""COMPUTED_VALUE"""),4.0)</f>
        <v>4</v>
      </c>
      <c r="C270" s="98">
        <f>IFERROR(__xludf.DUMMYFUNCTION("""COMPUTED_VALUE"""),44069.0)</f>
        <v>44069</v>
      </c>
      <c r="D270" s="96" t="str">
        <f>IFERROR(__xludf.DUMMYFUNCTION("""COMPUTED_VALUE"""),"MAXWELL AGRO OBI")</f>
        <v>MAXWELL AGRO OBI</v>
      </c>
      <c r="E270" s="96"/>
      <c r="F270" s="96"/>
      <c r="G270" s="96"/>
      <c r="H270" s="96"/>
      <c r="I270" s="96"/>
      <c r="J270" s="96"/>
      <c r="K270" s="96"/>
      <c r="L270" s="96">
        <f>IFERROR(__xludf.DUMMYFUNCTION("""COMPUTED_VALUE"""),0.0)</f>
        <v>0</v>
      </c>
      <c r="M270" s="96">
        <f>IFERROR(__xludf.DUMMYFUNCTION("""COMPUTED_VALUE"""),0.0)</f>
        <v>0</v>
      </c>
      <c r="N270" s="96">
        <f>IFERROR(__xludf.DUMMYFUNCTION("""COMPUTED_VALUE"""),0.0)</f>
        <v>0</v>
      </c>
      <c r="O270" s="96">
        <f>IFERROR(__xludf.DUMMYFUNCTION("""COMPUTED_VALUE"""),500000.0)</f>
        <v>500000</v>
      </c>
      <c r="P270" s="129">
        <f>IFERROR(__xludf.DUMMYFUNCTION("""COMPUTED_VALUE"""),0.0)</f>
        <v>0</v>
      </c>
      <c r="Q270" s="99"/>
      <c r="R270" s="99">
        <f>IFERROR(__xludf.DUMMYFUNCTION("""COMPUTED_VALUE"""),753520.0)</f>
        <v>753520</v>
      </c>
    </row>
    <row r="271">
      <c r="B271" s="96">
        <f>IFERROR(__xludf.DUMMYFUNCTION("""COMPUTED_VALUE"""),14.0)</f>
        <v>14</v>
      </c>
      <c r="C271" s="98">
        <f>IFERROR(__xludf.DUMMYFUNCTION("""COMPUTED_VALUE"""),44069.0)</f>
        <v>44069</v>
      </c>
      <c r="D271" s="96" t="str">
        <f>IFERROR(__xludf.DUMMYFUNCTION("""COMPUTED_VALUE"""),"NDOMA BODE I.D")</f>
        <v>NDOMA BODE I.D</v>
      </c>
      <c r="E271" s="96"/>
      <c r="F271" s="96"/>
      <c r="G271" s="96"/>
      <c r="H271" s="96"/>
      <c r="I271" s="96"/>
      <c r="J271" s="96"/>
      <c r="K271" s="96"/>
      <c r="L271" s="96">
        <f>IFERROR(__xludf.DUMMYFUNCTION("""COMPUTED_VALUE"""),0.0)</f>
        <v>0</v>
      </c>
      <c r="M271" s="96">
        <f>IFERROR(__xludf.DUMMYFUNCTION("""COMPUTED_VALUE"""),0.0)</f>
        <v>0</v>
      </c>
      <c r="N271" s="96">
        <f>IFERROR(__xludf.DUMMYFUNCTION("""COMPUTED_VALUE"""),0.0)</f>
        <v>0</v>
      </c>
      <c r="O271" s="96">
        <f>IFERROR(__xludf.DUMMYFUNCTION("""COMPUTED_VALUE"""),1052000.0)</f>
        <v>1052000</v>
      </c>
      <c r="P271" s="129">
        <f>IFERROR(__xludf.DUMMYFUNCTION("""COMPUTED_VALUE"""),0.0)</f>
        <v>0</v>
      </c>
      <c r="Q271" s="99"/>
      <c r="R271" s="99">
        <f>IFERROR(__xludf.DUMMYFUNCTION("""COMPUTED_VALUE"""),999940.0)</f>
        <v>999940</v>
      </c>
    </row>
    <row r="272">
      <c r="B272" s="96">
        <f>IFERROR(__xludf.DUMMYFUNCTION("""COMPUTED_VALUE"""),5.0)</f>
        <v>5</v>
      </c>
      <c r="C272" s="98">
        <f>IFERROR(__xludf.DUMMYFUNCTION("""COMPUTED_VALUE"""),44069.0)</f>
        <v>44069</v>
      </c>
      <c r="D272" s="96" t="str">
        <f>IFERROR(__xludf.DUMMYFUNCTION("""COMPUTED_VALUE"""),"EUGENE")</f>
        <v>EUGENE</v>
      </c>
      <c r="E272" s="96"/>
      <c r="F272" s="96"/>
      <c r="G272" s="96"/>
      <c r="H272" s="96"/>
      <c r="I272" s="96"/>
      <c r="J272" s="96"/>
      <c r="K272" s="96"/>
      <c r="L272" s="96">
        <f>IFERROR(__xludf.DUMMYFUNCTION("""COMPUTED_VALUE"""),0.0)</f>
        <v>0</v>
      </c>
      <c r="M272" s="96">
        <f>IFERROR(__xludf.DUMMYFUNCTION("""COMPUTED_VALUE"""),0.0)</f>
        <v>0</v>
      </c>
      <c r="N272" s="96">
        <f>IFERROR(__xludf.DUMMYFUNCTION("""COMPUTED_VALUE"""),0.0)</f>
        <v>0</v>
      </c>
      <c r="O272" s="96">
        <f>IFERROR(__xludf.DUMMYFUNCTION("""COMPUTED_VALUE"""),800000.0)</f>
        <v>800000</v>
      </c>
      <c r="P272" s="129">
        <f>IFERROR(__xludf.DUMMYFUNCTION("""COMPUTED_VALUE"""),0.0)</f>
        <v>0</v>
      </c>
      <c r="Q272" s="99"/>
      <c r="R272" s="99">
        <f>IFERROR(__xludf.DUMMYFUNCTION("""COMPUTED_VALUE"""),1131200.0)</f>
        <v>1131200</v>
      </c>
    </row>
    <row r="273">
      <c r="B273" s="96">
        <f>IFERROR(__xludf.DUMMYFUNCTION("""COMPUTED_VALUE"""),3.0)</f>
        <v>3</v>
      </c>
      <c r="C273" s="98">
        <f>IFERROR(__xludf.DUMMYFUNCTION("""COMPUTED_VALUE"""),44069.0)</f>
        <v>44069</v>
      </c>
      <c r="D273" s="96" t="str">
        <f>IFERROR(__xludf.DUMMYFUNCTION("""COMPUTED_VALUE"""),"NEIGHBOR")</f>
        <v>NEIGHBOR</v>
      </c>
      <c r="E273" s="96"/>
      <c r="F273" s="96"/>
      <c r="G273" s="96"/>
      <c r="H273" s="96"/>
      <c r="I273" s="96"/>
      <c r="J273" s="96"/>
      <c r="K273" s="96"/>
      <c r="L273" s="96">
        <f>IFERROR(__xludf.DUMMYFUNCTION("""COMPUTED_VALUE"""),0.0)</f>
        <v>0</v>
      </c>
      <c r="M273" s="96">
        <f>IFERROR(__xludf.DUMMYFUNCTION("""COMPUTED_VALUE"""),0.0)</f>
        <v>0</v>
      </c>
      <c r="N273" s="96">
        <f>IFERROR(__xludf.DUMMYFUNCTION("""COMPUTED_VALUE"""),0.0)</f>
        <v>0</v>
      </c>
      <c r="O273" s="96">
        <f>IFERROR(__xludf.DUMMYFUNCTION("""COMPUTED_VALUE"""),20400.0)</f>
        <v>20400</v>
      </c>
      <c r="P273" s="129">
        <f>IFERROR(__xludf.DUMMYFUNCTION("""COMPUTED_VALUE"""),0.0)</f>
        <v>0</v>
      </c>
      <c r="Q273" s="99"/>
      <c r="R273" s="99">
        <f>IFERROR(__xludf.DUMMYFUNCTION("""COMPUTED_VALUE"""),-1500.0)</f>
        <v>-1500</v>
      </c>
    </row>
    <row r="274">
      <c r="B274" s="96">
        <f>IFERROR(__xludf.DUMMYFUNCTION("""COMPUTED_VALUE"""),18.0)</f>
        <v>18</v>
      </c>
      <c r="C274" s="98">
        <f>IFERROR(__xludf.DUMMYFUNCTION("""COMPUTED_VALUE"""),44070.0)</f>
        <v>44070</v>
      </c>
      <c r="D274" s="96" t="str">
        <f>IFERROR(__xludf.DUMMYFUNCTION("""COMPUTED_VALUE"""),"LYDIA HNSON ")</f>
        <v>LYDIA HNSON </v>
      </c>
      <c r="E274" s="96">
        <f>IFERROR(__xludf.DUMMYFUNCTION("""COMPUTED_VALUE"""),2512.0)</f>
        <v>2512</v>
      </c>
      <c r="F274" s="96">
        <f>IFERROR(__xludf.DUMMYFUNCTION("""COMPUTED_VALUE"""),320.0)</f>
        <v>320</v>
      </c>
      <c r="G274" s="96"/>
      <c r="H274" s="96">
        <f>IFERROR(__xludf.DUMMYFUNCTION("""COMPUTED_VALUE"""),40.0)</f>
        <v>40</v>
      </c>
      <c r="I274" s="96">
        <f>IFERROR(__xludf.DUMMYFUNCTION("""COMPUTED_VALUE"""),0.0)</f>
        <v>0</v>
      </c>
      <c r="J274" s="96">
        <f>IFERROR(__xludf.DUMMYFUNCTION("""COMPUTED_VALUE"""),840.0)</f>
        <v>840</v>
      </c>
      <c r="K274" s="96">
        <f>IFERROR(__xludf.DUMMYFUNCTION("""COMPUTED_VALUE"""),8.0)</f>
        <v>8</v>
      </c>
      <c r="L274" s="96">
        <f>IFERROR(__xludf.DUMMYFUNCTION("""COMPUTED_VALUE"""),0.0)</f>
        <v>0</v>
      </c>
      <c r="M274" s="96">
        <f>IFERROR(__xludf.DUMMYFUNCTION("""COMPUTED_VALUE"""),39.0)</f>
        <v>39</v>
      </c>
      <c r="N274" s="96">
        <f>IFERROR(__xludf.DUMMYFUNCTION("""COMPUTED_VALUE"""),15.0)</f>
        <v>15</v>
      </c>
      <c r="O274" s="96"/>
      <c r="P274" s="129">
        <f>IFERROR(__xludf.DUMMYFUNCTION("""COMPUTED_VALUE"""),2472.0)</f>
        <v>2472</v>
      </c>
      <c r="Q274" s="99">
        <f>IFERROR(__xludf.DUMMYFUNCTION("""COMPUTED_VALUE"""),2076480.0)</f>
        <v>2076480</v>
      </c>
      <c r="R274" s="99">
        <f>IFERROR(__xludf.DUMMYFUNCTION("""COMPUTED_VALUE"""),3490080.0)</f>
        <v>3490080</v>
      </c>
    </row>
    <row r="275">
      <c r="B275" s="96">
        <f>IFERROR(__xludf.DUMMYFUNCTION("""COMPUTED_VALUE"""),6.0)</f>
        <v>6</v>
      </c>
      <c r="C275" s="98">
        <f>IFERROR(__xludf.DUMMYFUNCTION("""COMPUTED_VALUE"""),44067.0)</f>
        <v>44067</v>
      </c>
      <c r="D275" s="96" t="str">
        <f>IFERROR(__xludf.DUMMYFUNCTION("""COMPUTED_VALUE"""),"A. D. FREDERICK")</f>
        <v>A. D. FREDERICK</v>
      </c>
      <c r="E275" s="96">
        <f>IFERROR(__xludf.DUMMYFUNCTION("""COMPUTED_VALUE"""),623.0)</f>
        <v>623</v>
      </c>
      <c r="F275" s="96">
        <f>IFERROR(__xludf.DUMMYFUNCTION("""COMPUTED_VALUE"""),80.0)</f>
        <v>80</v>
      </c>
      <c r="G275" s="96"/>
      <c r="H275" s="96">
        <f>IFERROR(__xludf.DUMMYFUNCTION("""COMPUTED_VALUE"""),10.0)</f>
        <v>10</v>
      </c>
      <c r="I275" s="96">
        <f>IFERROR(__xludf.DUMMYFUNCTION("""COMPUTED_VALUE"""),0.0)</f>
        <v>0</v>
      </c>
      <c r="J275" s="96">
        <f>IFERROR(__xludf.DUMMYFUNCTION("""COMPUTED_VALUE"""),830.0)</f>
        <v>830</v>
      </c>
      <c r="K275" s="96">
        <f>IFERROR(__xludf.DUMMYFUNCTION("""COMPUTED_VALUE"""),8.0)</f>
        <v>8</v>
      </c>
      <c r="L275" s="96">
        <f>IFERROR(__xludf.DUMMYFUNCTION("""COMPUTED_VALUE"""),0.0)</f>
        <v>0</v>
      </c>
      <c r="M275" s="96">
        <f>IFERROR(__xludf.DUMMYFUNCTION("""COMPUTED_VALUE"""),9.0)</f>
        <v>9</v>
      </c>
      <c r="N275" s="96">
        <f>IFERROR(__xludf.DUMMYFUNCTION("""COMPUTED_VALUE"""),46.0)</f>
        <v>46</v>
      </c>
      <c r="O275" s="96"/>
      <c r="P275" s="129">
        <f>IFERROR(__xludf.DUMMYFUNCTION("""COMPUTED_VALUE"""),613.0)</f>
        <v>613</v>
      </c>
      <c r="Q275" s="99">
        <f>IFERROR(__xludf.DUMMYFUNCTION("""COMPUTED_VALUE"""),508790.0)</f>
        <v>508790</v>
      </c>
      <c r="R275" s="99">
        <f>IFERROR(__xludf.DUMMYFUNCTION("""COMPUTED_VALUE"""),138410.0)</f>
        <v>138410</v>
      </c>
    </row>
    <row r="276">
      <c r="B276" s="96">
        <f>IFERROR(__xludf.DUMMYFUNCTION("""COMPUTED_VALUE"""),16.0)</f>
        <v>16</v>
      </c>
      <c r="C276" s="98">
        <f>IFERROR(__xludf.DUMMYFUNCTION("""COMPUTED_VALUE"""),44070.0)</f>
        <v>44070</v>
      </c>
      <c r="D276" s="96" t="str">
        <f>IFERROR(__xludf.DUMMYFUNCTION("""COMPUTED_VALUE"""),"CONNECT")</f>
        <v>CONNECT</v>
      </c>
      <c r="E276" s="96"/>
      <c r="F276" s="96"/>
      <c r="G276" s="96"/>
      <c r="H276" s="96"/>
      <c r="I276" s="96"/>
      <c r="J276" s="96"/>
      <c r="K276" s="96"/>
      <c r="L276" s="96">
        <f>IFERROR(__xludf.DUMMYFUNCTION("""COMPUTED_VALUE"""),0.0)</f>
        <v>0</v>
      </c>
      <c r="M276" s="96">
        <f>IFERROR(__xludf.DUMMYFUNCTION("""COMPUTED_VALUE"""),0.0)</f>
        <v>0</v>
      </c>
      <c r="N276" s="96">
        <f>IFERROR(__xludf.DUMMYFUNCTION("""COMPUTED_VALUE"""),0.0)</f>
        <v>0</v>
      </c>
      <c r="O276" s="96">
        <f>IFERROR(__xludf.DUMMYFUNCTION("""COMPUTED_VALUE"""),2000000.0)</f>
        <v>2000000</v>
      </c>
      <c r="P276" s="129">
        <f>IFERROR(__xludf.DUMMYFUNCTION("""COMPUTED_VALUE"""),0.0)</f>
        <v>0</v>
      </c>
      <c r="Q276" s="99"/>
      <c r="R276" s="99">
        <f>IFERROR(__xludf.DUMMYFUNCTION("""COMPUTED_VALUE"""),5123100.0)</f>
        <v>5123100</v>
      </c>
    </row>
    <row r="277">
      <c r="B277" s="96">
        <f>IFERROR(__xludf.DUMMYFUNCTION("""COMPUTED_VALUE"""),5.0)</f>
        <v>5</v>
      </c>
      <c r="C277" s="98">
        <f>IFERROR(__xludf.DUMMYFUNCTION("""COMPUTED_VALUE"""),44070.0)</f>
        <v>44070</v>
      </c>
      <c r="D277" s="96" t="str">
        <f>IFERROR(__xludf.DUMMYFUNCTION("""COMPUTED_VALUE"""),"AUGUSTINE IGBA")</f>
        <v>AUGUSTINE IGBA</v>
      </c>
      <c r="E277" s="96"/>
      <c r="F277" s="96"/>
      <c r="G277" s="96"/>
      <c r="H277" s="96"/>
      <c r="I277" s="96"/>
      <c r="J277" s="96"/>
      <c r="K277" s="96"/>
      <c r="L277" s="96">
        <f>IFERROR(__xludf.DUMMYFUNCTION("""COMPUTED_VALUE"""),0.0)</f>
        <v>0</v>
      </c>
      <c r="M277" s="96">
        <f>IFERROR(__xludf.DUMMYFUNCTION("""COMPUTED_VALUE"""),0.0)</f>
        <v>0</v>
      </c>
      <c r="N277" s="96">
        <f>IFERROR(__xludf.DUMMYFUNCTION("""COMPUTED_VALUE"""),0.0)</f>
        <v>0</v>
      </c>
      <c r="O277" s="96">
        <f>IFERROR(__xludf.DUMMYFUNCTION("""COMPUTED_VALUE"""),2000000.0)</f>
        <v>2000000</v>
      </c>
      <c r="P277" s="129">
        <f>IFERROR(__xludf.DUMMYFUNCTION("""COMPUTED_VALUE"""),0.0)</f>
        <v>0</v>
      </c>
      <c r="Q277" s="99"/>
      <c r="R277" s="99">
        <f>IFERROR(__xludf.DUMMYFUNCTION("""COMPUTED_VALUE"""),2.413414E7)</f>
        <v>24134140</v>
      </c>
    </row>
    <row r="278">
      <c r="B278" s="96">
        <f>IFERROR(__xludf.DUMMYFUNCTION("""COMPUTED_VALUE"""),4.0)</f>
        <v>4</v>
      </c>
      <c r="C278" s="98">
        <f>IFERROR(__xludf.DUMMYFUNCTION("""COMPUTED_VALUE"""),44070.0)</f>
        <v>44070</v>
      </c>
      <c r="D278" s="96" t="str">
        <f>IFERROR(__xludf.DUMMYFUNCTION("""COMPUTED_VALUE"""),"OTU KOKO KEIBO")</f>
        <v>OTU KOKO KEIBO</v>
      </c>
      <c r="E278" s="96"/>
      <c r="F278" s="96"/>
      <c r="G278" s="96"/>
      <c r="H278" s="96"/>
      <c r="I278" s="96"/>
      <c r="J278" s="96"/>
      <c r="K278" s="96"/>
      <c r="L278" s="96">
        <f>IFERROR(__xludf.DUMMYFUNCTION("""COMPUTED_VALUE"""),0.0)</f>
        <v>0</v>
      </c>
      <c r="M278" s="96">
        <f>IFERROR(__xludf.DUMMYFUNCTION("""COMPUTED_VALUE"""),0.0)</f>
        <v>0</v>
      </c>
      <c r="N278" s="96">
        <f>IFERROR(__xludf.DUMMYFUNCTION("""COMPUTED_VALUE"""),0.0)</f>
        <v>0</v>
      </c>
      <c r="O278" s="96">
        <f>IFERROR(__xludf.DUMMYFUNCTION("""COMPUTED_VALUE"""),35000.0)</f>
        <v>35000</v>
      </c>
      <c r="P278" s="129">
        <f>IFERROR(__xludf.DUMMYFUNCTION("""COMPUTED_VALUE"""),0.0)</f>
        <v>0</v>
      </c>
      <c r="Q278" s="99"/>
      <c r="R278" s="99">
        <f>IFERROR(__xludf.DUMMYFUNCTION("""COMPUTED_VALUE"""),2.6034925E7)</f>
        <v>26034925</v>
      </c>
    </row>
    <row r="279">
      <c r="B279" s="96">
        <f>IFERROR(__xludf.DUMMYFUNCTION("""COMPUTED_VALUE"""),1.0)</f>
        <v>1</v>
      </c>
      <c r="C279" s="98">
        <f>IFERROR(__xludf.DUMMYFUNCTION("""COMPUTED_VALUE"""),44069.0)</f>
        <v>44069</v>
      </c>
      <c r="D279" s="96" t="str">
        <f>IFERROR(__xludf.DUMMYFUNCTION("""COMPUTED_VALUE"""),"NDOMA PRIN")</f>
        <v>NDOMA PRIN</v>
      </c>
      <c r="E279" s="96">
        <f>IFERROR(__xludf.DUMMYFUNCTION("""COMPUTED_VALUE"""),135.0)</f>
        <v>135</v>
      </c>
      <c r="F279" s="96">
        <f>IFERROR(__xludf.DUMMYFUNCTION("""COMPUTED_VALUE"""),26.5)</f>
        <v>26.5</v>
      </c>
      <c r="G279" s="96"/>
      <c r="H279" s="96">
        <f>IFERROR(__xludf.DUMMYFUNCTION("""COMPUTED_VALUE"""),2.0)</f>
        <v>2</v>
      </c>
      <c r="I279" s="96"/>
      <c r="J279" s="96">
        <f>IFERROR(__xludf.DUMMYFUNCTION("""COMPUTED_VALUE"""),800.0)</f>
        <v>800</v>
      </c>
      <c r="K279" s="96">
        <f>IFERROR(__xludf.DUMMYFUNCTION("""COMPUTED_VALUE"""),13.25)</f>
        <v>13.25</v>
      </c>
      <c r="L279" s="96">
        <f>IFERROR(__xludf.DUMMYFUNCTION("""COMPUTED_VALUE"""),7.0)</f>
        <v>7</v>
      </c>
      <c r="M279" s="96">
        <f>IFERROR(__xludf.DUMMYFUNCTION("""COMPUTED_VALUE"""),2.0)</f>
        <v>2</v>
      </c>
      <c r="N279" s="96">
        <f>IFERROR(__xludf.DUMMYFUNCTION("""COMPUTED_VALUE"""),0.0)</f>
        <v>0</v>
      </c>
      <c r="O279" s="96"/>
      <c r="P279" s="129">
        <f>IFERROR(__xludf.DUMMYFUNCTION("""COMPUTED_VALUE"""),126.0)</f>
        <v>126</v>
      </c>
      <c r="Q279" s="99">
        <f>IFERROR(__xludf.DUMMYFUNCTION("""COMPUTED_VALUE"""),100800.0)</f>
        <v>100800</v>
      </c>
      <c r="R279" s="99">
        <f>IFERROR(__xludf.DUMMYFUNCTION("""COMPUTED_VALUE"""),-100800.0)</f>
        <v>-100800</v>
      </c>
    </row>
    <row r="280">
      <c r="B280" s="96">
        <f>IFERROR(__xludf.DUMMYFUNCTION("""COMPUTED_VALUE"""),10.0)</f>
        <v>10</v>
      </c>
      <c r="C280" s="98">
        <f>IFERROR(__xludf.DUMMYFUNCTION("""COMPUTED_VALUE"""),44071.0)</f>
        <v>44071</v>
      </c>
      <c r="D280" s="96" t="str">
        <f>IFERROR(__xludf.DUMMYFUNCTION("""COMPUTED_VALUE"""),"ETUK EFFI")</f>
        <v>ETUK EFFI</v>
      </c>
      <c r="E280" s="96"/>
      <c r="F280" s="96"/>
      <c r="G280" s="96"/>
      <c r="H280" s="96"/>
      <c r="I280" s="96"/>
      <c r="J280" s="96"/>
      <c r="K280" s="96"/>
      <c r="L280" s="96">
        <f>IFERROR(__xludf.DUMMYFUNCTION("""COMPUTED_VALUE"""),0.0)</f>
        <v>0</v>
      </c>
      <c r="M280" s="96">
        <f>IFERROR(__xludf.DUMMYFUNCTION("""COMPUTED_VALUE"""),0.0)</f>
        <v>0</v>
      </c>
      <c r="N280" s="96">
        <f>IFERROR(__xludf.DUMMYFUNCTION("""COMPUTED_VALUE"""),0.0)</f>
        <v>0</v>
      </c>
      <c r="O280" s="96"/>
      <c r="P280" s="129">
        <f>IFERROR(__xludf.DUMMYFUNCTION("""COMPUTED_VALUE"""),0.0)</f>
        <v>0</v>
      </c>
      <c r="Q280" s="99">
        <f>IFERROR(__xludf.DUMMYFUNCTION("""COMPUTED_VALUE"""),592260.0)</f>
        <v>592260</v>
      </c>
      <c r="R280" s="99">
        <f>IFERROR(__xludf.DUMMYFUNCTION("""COMPUTED_VALUE"""),1500000.0)</f>
        <v>1500000</v>
      </c>
    </row>
    <row r="281">
      <c r="B281" s="96">
        <f>IFERROR(__xludf.DUMMYFUNCTION("""COMPUTED_VALUE"""),5.0)</f>
        <v>5</v>
      </c>
      <c r="C281" s="98">
        <f>IFERROR(__xludf.DUMMYFUNCTION("""COMPUTED_VALUE"""),44071.0)</f>
        <v>44071</v>
      </c>
      <c r="D281" s="96" t="str">
        <f>IFERROR(__xludf.DUMMYFUNCTION("""COMPUTED_VALUE"""),"OTU KOKO KEIBO")</f>
        <v>OTU KOKO KEIBO</v>
      </c>
      <c r="E281" s="96"/>
      <c r="F281" s="96"/>
      <c r="G281" s="96"/>
      <c r="H281" s="96"/>
      <c r="I281" s="96"/>
      <c r="J281" s="96"/>
      <c r="K281" s="96"/>
      <c r="L281" s="96">
        <f>IFERROR(__xludf.DUMMYFUNCTION("""COMPUTED_VALUE"""),0.0)</f>
        <v>0</v>
      </c>
      <c r="M281" s="96">
        <f>IFERROR(__xludf.DUMMYFUNCTION("""COMPUTED_VALUE"""),0.0)</f>
        <v>0</v>
      </c>
      <c r="N281" s="96">
        <f>IFERROR(__xludf.DUMMYFUNCTION("""COMPUTED_VALUE"""),0.0)</f>
        <v>0</v>
      </c>
      <c r="O281" s="96">
        <f>IFERROR(__xludf.DUMMYFUNCTION("""COMPUTED_VALUE"""),50000.0)</f>
        <v>50000</v>
      </c>
      <c r="P281" s="129">
        <f>IFERROR(__xludf.DUMMYFUNCTION("""COMPUTED_VALUE"""),0.0)</f>
        <v>0</v>
      </c>
      <c r="Q281" s="99"/>
      <c r="R281" s="99">
        <f>IFERROR(__xludf.DUMMYFUNCTION("""COMPUTED_VALUE"""),2.6084925E7)</f>
        <v>26084925</v>
      </c>
    </row>
    <row r="282">
      <c r="B282" s="96">
        <f>IFERROR(__xludf.DUMMYFUNCTION("""COMPUTED_VALUE"""),3.0)</f>
        <v>3</v>
      </c>
      <c r="C282" s="98">
        <f>IFERROR(__xludf.DUMMYFUNCTION("""COMPUTED_VALUE"""),44071.0)</f>
        <v>44071</v>
      </c>
      <c r="D282" s="96" t="str">
        <f>IFERROR(__xludf.DUMMYFUNCTION("""COMPUTED_VALUE"""),"NAOMI")</f>
        <v>NAOMI</v>
      </c>
      <c r="E282" s="96"/>
      <c r="F282" s="96"/>
      <c r="G282" s="96"/>
      <c r="H282" s="96"/>
      <c r="I282" s="96"/>
      <c r="J282" s="96"/>
      <c r="K282" s="96"/>
      <c r="L282" s="96">
        <f>IFERROR(__xludf.DUMMYFUNCTION("""COMPUTED_VALUE"""),0.0)</f>
        <v>0</v>
      </c>
      <c r="M282" s="96">
        <f>IFERROR(__xludf.DUMMYFUNCTION("""COMPUTED_VALUE"""),0.0)</f>
        <v>0</v>
      </c>
      <c r="N282" s="96">
        <f>IFERROR(__xludf.DUMMYFUNCTION("""COMPUTED_VALUE"""),0.0)</f>
        <v>0</v>
      </c>
      <c r="O282" s="96">
        <f>IFERROR(__xludf.DUMMYFUNCTION("""COMPUTED_VALUE"""),50000.0)</f>
        <v>50000</v>
      </c>
      <c r="P282" s="129">
        <f>IFERROR(__xludf.DUMMYFUNCTION("""COMPUTED_VALUE"""),0.0)</f>
        <v>0</v>
      </c>
      <c r="Q282" s="99"/>
      <c r="R282" s="99">
        <f>IFERROR(__xludf.DUMMYFUNCTION("""COMPUTED_VALUE"""),1.3150265E7)</f>
        <v>13150265</v>
      </c>
    </row>
    <row r="283">
      <c r="B283" s="96">
        <f>IFERROR(__xludf.DUMMYFUNCTION("""COMPUTED_VALUE"""),19.0)</f>
        <v>19</v>
      </c>
      <c r="C283" s="98">
        <f>IFERROR(__xludf.DUMMYFUNCTION("""COMPUTED_VALUE"""),44071.0)</f>
        <v>44071</v>
      </c>
      <c r="D283" s="96" t="str">
        <f>IFERROR(__xludf.DUMMYFUNCTION("""COMPUTED_VALUE"""),"RECTOR W.")</f>
        <v>RECTOR W.</v>
      </c>
      <c r="E283" s="96"/>
      <c r="F283" s="96"/>
      <c r="G283" s="96"/>
      <c r="H283" s="96"/>
      <c r="I283" s="96"/>
      <c r="J283" s="96"/>
      <c r="K283" s="96"/>
      <c r="L283" s="96">
        <f>IFERROR(__xludf.DUMMYFUNCTION("""COMPUTED_VALUE"""),0.0)</f>
        <v>0</v>
      </c>
      <c r="M283" s="96">
        <f>IFERROR(__xludf.DUMMYFUNCTION("""COMPUTED_VALUE"""),0.0)</f>
        <v>0</v>
      </c>
      <c r="N283" s="96">
        <f>IFERROR(__xludf.DUMMYFUNCTION("""COMPUTED_VALUE"""),0.0)</f>
        <v>0</v>
      </c>
      <c r="O283" s="96">
        <f>IFERROR(__xludf.DUMMYFUNCTION("""COMPUTED_VALUE"""),100000.0)</f>
        <v>100000</v>
      </c>
      <c r="P283" s="129">
        <f>IFERROR(__xludf.DUMMYFUNCTION("""COMPUTED_VALUE"""),0.0)</f>
        <v>0</v>
      </c>
      <c r="Q283" s="99"/>
      <c r="R283" s="99">
        <f>IFERROR(__xludf.DUMMYFUNCTION("""COMPUTED_VALUE"""),4767340.0)</f>
        <v>4767340</v>
      </c>
    </row>
    <row r="284">
      <c r="B284" s="96">
        <f>IFERROR(__xludf.DUMMYFUNCTION("""COMPUTED_VALUE"""),2.0)</f>
        <v>2</v>
      </c>
      <c r="C284" s="98">
        <f>IFERROR(__xludf.DUMMYFUNCTION("""COMPUTED_VALUE"""),44071.0)</f>
        <v>44071</v>
      </c>
      <c r="D284" s="96" t="str">
        <f>IFERROR(__xludf.DUMMYFUNCTION("""COMPUTED_VALUE"""),"NDOMA PRIN")</f>
        <v>NDOMA PRIN</v>
      </c>
      <c r="E284" s="96"/>
      <c r="F284" s="96"/>
      <c r="G284" s="96"/>
      <c r="H284" s="96"/>
      <c r="I284" s="96"/>
      <c r="J284" s="96"/>
      <c r="K284" s="96"/>
      <c r="L284" s="96">
        <f>IFERROR(__xludf.DUMMYFUNCTION("""COMPUTED_VALUE"""),0.0)</f>
        <v>0</v>
      </c>
      <c r="M284" s="96">
        <f>IFERROR(__xludf.DUMMYFUNCTION("""COMPUTED_VALUE"""),0.0)</f>
        <v>0</v>
      </c>
      <c r="N284" s="96">
        <f>IFERROR(__xludf.DUMMYFUNCTION("""COMPUTED_VALUE"""),0.0)</f>
        <v>0</v>
      </c>
      <c r="O284" s="96">
        <f>IFERROR(__xludf.DUMMYFUNCTION("""COMPUTED_VALUE"""),159000.0)</f>
        <v>159000</v>
      </c>
      <c r="P284" s="129">
        <f>IFERROR(__xludf.DUMMYFUNCTION("""COMPUTED_VALUE"""),0.0)</f>
        <v>0</v>
      </c>
      <c r="Q284" s="99"/>
      <c r="R284" s="99">
        <f>IFERROR(__xludf.DUMMYFUNCTION("""COMPUTED_VALUE"""),58200.0)</f>
        <v>58200</v>
      </c>
    </row>
    <row r="285">
      <c r="B285" s="96">
        <f>IFERROR(__xludf.DUMMYFUNCTION("""COMPUTED_VALUE"""),6.0)</f>
        <v>6</v>
      </c>
      <c r="C285" s="98">
        <f>IFERROR(__xludf.DUMMYFUNCTION("""COMPUTED_VALUE"""),44072.0)</f>
        <v>44072</v>
      </c>
      <c r="D285" s="96" t="str">
        <f>IFERROR(__xludf.DUMMYFUNCTION("""COMPUTED_VALUE"""),"OTU KOKO KEIBO")</f>
        <v>OTU KOKO KEIBO</v>
      </c>
      <c r="E285" s="96"/>
      <c r="F285" s="96"/>
      <c r="G285" s="96"/>
      <c r="H285" s="96"/>
      <c r="I285" s="96"/>
      <c r="J285" s="96"/>
      <c r="K285" s="96"/>
      <c r="L285" s="96">
        <f>IFERROR(__xludf.DUMMYFUNCTION("""COMPUTED_VALUE"""),0.0)</f>
        <v>0</v>
      </c>
      <c r="M285" s="96">
        <f>IFERROR(__xludf.DUMMYFUNCTION("""COMPUTED_VALUE"""),0.0)</f>
        <v>0</v>
      </c>
      <c r="N285" s="96">
        <f>IFERROR(__xludf.DUMMYFUNCTION("""COMPUTED_VALUE"""),0.0)</f>
        <v>0</v>
      </c>
      <c r="O285" s="96">
        <f>IFERROR(__xludf.DUMMYFUNCTION("""COMPUTED_VALUE"""),5000.0)</f>
        <v>5000</v>
      </c>
      <c r="P285" s="129">
        <f>IFERROR(__xludf.DUMMYFUNCTION("""COMPUTED_VALUE"""),0.0)</f>
        <v>0</v>
      </c>
      <c r="Q285" s="99"/>
      <c r="R285" s="99">
        <f>IFERROR(__xludf.DUMMYFUNCTION("""COMPUTED_VALUE"""),2.6089925E7)</f>
        <v>26089925</v>
      </c>
    </row>
    <row r="286">
      <c r="B286" s="96">
        <f>IFERROR(__xludf.DUMMYFUNCTION("""COMPUTED_VALUE"""),6.0)</f>
        <v>6</v>
      </c>
      <c r="C286" s="98">
        <f>IFERROR(__xludf.DUMMYFUNCTION("""COMPUTED_VALUE"""),44074.0)</f>
        <v>44074</v>
      </c>
      <c r="D286" s="96" t="str">
        <f>IFERROR(__xludf.DUMMYFUNCTION("""COMPUTED_VALUE"""),"REMMY BODES")</f>
        <v>REMMY BODES</v>
      </c>
      <c r="E286" s="96"/>
      <c r="F286" s="96"/>
      <c r="G286" s="96"/>
      <c r="H286" s="96"/>
      <c r="I286" s="96"/>
      <c r="J286" s="96"/>
      <c r="K286" s="96"/>
      <c r="L286" s="96">
        <f>IFERROR(__xludf.DUMMYFUNCTION("""COMPUTED_VALUE"""),0.0)</f>
        <v>0</v>
      </c>
      <c r="M286" s="96">
        <f>IFERROR(__xludf.DUMMYFUNCTION("""COMPUTED_VALUE"""),0.0)</f>
        <v>0</v>
      </c>
      <c r="N286" s="96">
        <f>IFERROR(__xludf.DUMMYFUNCTION("""COMPUTED_VALUE"""),0.0)</f>
        <v>0</v>
      </c>
      <c r="O286" s="96">
        <f>IFERROR(__xludf.DUMMYFUNCTION("""COMPUTED_VALUE"""),220000.0)</f>
        <v>220000</v>
      </c>
      <c r="P286" s="129">
        <f>IFERROR(__xludf.DUMMYFUNCTION("""COMPUTED_VALUE"""),0.0)</f>
        <v>0</v>
      </c>
      <c r="Q286" s="99"/>
      <c r="R286" s="99">
        <f>IFERROR(__xludf.DUMMYFUNCTION("""COMPUTED_VALUE"""),1644060.0)</f>
        <v>1644060</v>
      </c>
    </row>
    <row r="287">
      <c r="B287" s="96">
        <f>IFERROR(__xludf.DUMMYFUNCTION("""COMPUTED_VALUE"""),19.0)</f>
        <v>19</v>
      </c>
      <c r="C287" s="98">
        <f>IFERROR(__xludf.DUMMYFUNCTION("""COMPUTED_VALUE"""),44074.0)</f>
        <v>44074</v>
      </c>
      <c r="D287" s="96" t="str">
        <f>IFERROR(__xludf.DUMMYFUNCTION("""COMPUTED_VALUE"""),"LYDIA HNSON ")</f>
        <v>LYDIA HNSON </v>
      </c>
      <c r="E287" s="96"/>
      <c r="F287" s="96"/>
      <c r="G287" s="96"/>
      <c r="H287" s="96"/>
      <c r="I287" s="96"/>
      <c r="J287" s="96"/>
      <c r="K287" s="96"/>
      <c r="L287" s="96">
        <f>IFERROR(__xludf.DUMMYFUNCTION("""COMPUTED_VALUE"""),0.0)</f>
        <v>0</v>
      </c>
      <c r="M287" s="96">
        <f>IFERROR(__xludf.DUMMYFUNCTION("""COMPUTED_VALUE"""),0.0)</f>
        <v>0</v>
      </c>
      <c r="N287" s="96">
        <f>IFERROR(__xludf.DUMMYFUNCTION("""COMPUTED_VALUE"""),0.0)</f>
        <v>0</v>
      </c>
      <c r="O287" s="96">
        <f>IFERROR(__xludf.DUMMYFUNCTION("""COMPUTED_VALUE"""),35000.0)</f>
        <v>35000</v>
      </c>
      <c r="P287" s="129">
        <f>IFERROR(__xludf.DUMMYFUNCTION("""COMPUTED_VALUE"""),0.0)</f>
        <v>0</v>
      </c>
      <c r="Q287" s="99"/>
      <c r="R287" s="99">
        <f>IFERROR(__xludf.DUMMYFUNCTION("""COMPUTED_VALUE"""),3525080.0)</f>
        <v>3525080</v>
      </c>
    </row>
    <row r="288">
      <c r="B288" s="96">
        <f>IFERROR(__xludf.DUMMYFUNCTION("""COMPUTED_VALUE"""),1.0)</f>
        <v>1</v>
      </c>
      <c r="C288" s="98">
        <f>IFERROR(__xludf.DUMMYFUNCTION("""COMPUTED_VALUE"""),44074.0)</f>
        <v>44074</v>
      </c>
      <c r="D288" s="96" t="str">
        <f>IFERROR(__xludf.DUMMYFUNCTION("""COMPUTED_VALUE"""),"SEPH LOVE")</f>
        <v>SEPH LOVE</v>
      </c>
      <c r="E288" s="96"/>
      <c r="F288" s="96"/>
      <c r="G288" s="96"/>
      <c r="H288" s="96"/>
      <c r="I288" s="96"/>
      <c r="J288" s="96"/>
      <c r="K288" s="96"/>
      <c r="L288" s="96">
        <f>IFERROR(__xludf.DUMMYFUNCTION("""COMPUTED_VALUE"""),0.0)</f>
        <v>0</v>
      </c>
      <c r="M288" s="96">
        <f>IFERROR(__xludf.DUMMYFUNCTION("""COMPUTED_VALUE"""),0.0)</f>
        <v>0</v>
      </c>
      <c r="N288" s="96">
        <f>IFERROR(__xludf.DUMMYFUNCTION("""COMPUTED_VALUE"""),0.0)</f>
        <v>0</v>
      </c>
      <c r="O288" s="96">
        <f>IFERROR(__xludf.DUMMYFUNCTION("""COMPUTED_VALUE"""),2500000.0)</f>
        <v>2500000</v>
      </c>
      <c r="P288" s="129">
        <f>IFERROR(__xludf.DUMMYFUNCTION("""COMPUTED_VALUE"""),0.0)</f>
        <v>0</v>
      </c>
      <c r="Q288" s="99"/>
      <c r="R288" s="99">
        <f>IFERROR(__xludf.DUMMYFUNCTION("""COMPUTED_VALUE"""),2500000.0)</f>
        <v>2500000</v>
      </c>
    </row>
    <row r="289">
      <c r="B289" s="96">
        <f>IFERROR(__xludf.DUMMYFUNCTION("""COMPUTED_VALUE"""),7.0)</f>
        <v>7</v>
      </c>
      <c r="C289" s="98">
        <f>IFERROR(__xludf.DUMMYFUNCTION("""COMPUTED_VALUE"""),44075.0)</f>
        <v>44075</v>
      </c>
      <c r="D289" s="96" t="str">
        <f>IFERROR(__xludf.DUMMYFUNCTION("""COMPUTED_VALUE"""),"A. D. FREDERICK")</f>
        <v>A. D. FREDERICK</v>
      </c>
      <c r="E289" s="96"/>
      <c r="F289" s="96"/>
      <c r="G289" s="96"/>
      <c r="H289" s="96"/>
      <c r="I289" s="96"/>
      <c r="J289" s="96"/>
      <c r="K289" s="96"/>
      <c r="L289" s="96">
        <f>IFERROR(__xludf.DUMMYFUNCTION("""COMPUTED_VALUE"""),0.0)</f>
        <v>0</v>
      </c>
      <c r="M289" s="96">
        <f>IFERROR(__xludf.DUMMYFUNCTION("""COMPUTED_VALUE"""),0.0)</f>
        <v>0</v>
      </c>
      <c r="N289" s="96">
        <f>IFERROR(__xludf.DUMMYFUNCTION("""COMPUTED_VALUE"""),0.0)</f>
        <v>0</v>
      </c>
      <c r="O289" s="96">
        <f>IFERROR(__xludf.DUMMYFUNCTION("""COMPUTED_VALUE"""),1105000.0)</f>
        <v>1105000</v>
      </c>
      <c r="P289" s="129">
        <f>IFERROR(__xludf.DUMMYFUNCTION("""COMPUTED_VALUE"""),0.0)</f>
        <v>0</v>
      </c>
      <c r="Q289" s="99"/>
      <c r="R289" s="99">
        <f>IFERROR(__xludf.DUMMYFUNCTION("""COMPUTED_VALUE"""),1243410.0)</f>
        <v>1243410</v>
      </c>
    </row>
    <row r="290">
      <c r="B290" s="96">
        <f>IFERROR(__xludf.DUMMYFUNCTION("""COMPUTED_VALUE"""),7.0)</f>
        <v>7</v>
      </c>
      <c r="C290" s="98">
        <f>IFERROR(__xludf.DUMMYFUNCTION("""COMPUTED_VALUE"""),44075.0)</f>
        <v>44075</v>
      </c>
      <c r="D290" s="96" t="str">
        <f>IFERROR(__xludf.DUMMYFUNCTION("""COMPUTED_VALUE"""),"OTU KOKO KEIBO")</f>
        <v>OTU KOKO KEIBO</v>
      </c>
      <c r="E290" s="96"/>
      <c r="F290" s="96"/>
      <c r="G290" s="96"/>
      <c r="H290" s="96"/>
      <c r="I290" s="96"/>
      <c r="J290" s="96"/>
      <c r="K290" s="96"/>
      <c r="L290" s="96">
        <f>IFERROR(__xludf.DUMMYFUNCTION("""COMPUTED_VALUE"""),0.0)</f>
        <v>0</v>
      </c>
      <c r="M290" s="96">
        <f>IFERROR(__xludf.DUMMYFUNCTION("""COMPUTED_VALUE"""),0.0)</f>
        <v>0</v>
      </c>
      <c r="N290" s="96">
        <f>IFERROR(__xludf.DUMMYFUNCTION("""COMPUTED_VALUE"""),0.0)</f>
        <v>0</v>
      </c>
      <c r="O290" s="96">
        <f>IFERROR(__xludf.DUMMYFUNCTION("""COMPUTED_VALUE"""),20000.0)</f>
        <v>20000</v>
      </c>
      <c r="P290" s="129">
        <f>IFERROR(__xludf.DUMMYFUNCTION("""COMPUTED_VALUE"""),0.0)</f>
        <v>0</v>
      </c>
      <c r="Q290" s="99"/>
      <c r="R290" s="99">
        <f>IFERROR(__xludf.DUMMYFUNCTION("""COMPUTED_VALUE"""),2.6109925E7)</f>
        <v>26109925</v>
      </c>
    </row>
    <row r="291">
      <c r="B291" s="96">
        <f>IFERROR(__xludf.DUMMYFUNCTION("""COMPUTED_VALUE"""),6.0)</f>
        <v>6</v>
      </c>
      <c r="C291" s="98">
        <f>IFERROR(__xludf.DUMMYFUNCTION("""COMPUTED_VALUE"""),44075.0)</f>
        <v>44075</v>
      </c>
      <c r="D291" s="96" t="str">
        <f>IFERROR(__xludf.DUMMYFUNCTION("""COMPUTED_VALUE"""),"EMMANUEL OKO ")</f>
        <v>EMMANUEL OKO </v>
      </c>
      <c r="E291" s="96"/>
      <c r="F291" s="96"/>
      <c r="G291" s="96"/>
      <c r="H291" s="96"/>
      <c r="I291" s="96"/>
      <c r="J291" s="96"/>
      <c r="K291" s="96"/>
      <c r="L291" s="96">
        <f>IFERROR(__xludf.DUMMYFUNCTION("""COMPUTED_VALUE"""),0.0)</f>
        <v>0</v>
      </c>
      <c r="M291" s="96">
        <f>IFERROR(__xludf.DUMMYFUNCTION("""COMPUTED_VALUE"""),0.0)</f>
        <v>0</v>
      </c>
      <c r="N291" s="96">
        <f>IFERROR(__xludf.DUMMYFUNCTION("""COMPUTED_VALUE"""),0.0)</f>
        <v>0</v>
      </c>
      <c r="O291" s="96">
        <f>IFERROR(__xludf.DUMMYFUNCTION("""COMPUTED_VALUE"""),936000.0)</f>
        <v>936000</v>
      </c>
      <c r="P291" s="129">
        <f>IFERROR(__xludf.DUMMYFUNCTION("""COMPUTED_VALUE"""),0.0)</f>
        <v>0</v>
      </c>
      <c r="Q291" s="99"/>
      <c r="R291" s="99">
        <f>IFERROR(__xludf.DUMMYFUNCTION("""COMPUTED_VALUE"""),1676750.0)</f>
        <v>1676750</v>
      </c>
    </row>
    <row r="292">
      <c r="B292" s="96">
        <f>IFERROR(__xludf.DUMMYFUNCTION("""COMPUTED_VALUE"""),8.0)</f>
        <v>8</v>
      </c>
      <c r="C292" s="98">
        <f>IFERROR(__xludf.DUMMYFUNCTION("""COMPUTED_VALUE"""),44077.0)</f>
        <v>44077</v>
      </c>
      <c r="D292" s="96" t="str">
        <f>IFERROR(__xludf.DUMMYFUNCTION("""COMPUTED_VALUE"""),"BOSURU  BOSURU")</f>
        <v>BOSURU  BOSURU</v>
      </c>
      <c r="E292" s="96"/>
      <c r="F292" s="96"/>
      <c r="G292" s="96"/>
      <c r="H292" s="96"/>
      <c r="I292" s="96"/>
      <c r="J292" s="96"/>
      <c r="K292" s="96"/>
      <c r="L292" s="96">
        <f>IFERROR(__xludf.DUMMYFUNCTION("""COMPUTED_VALUE"""),0.0)</f>
        <v>0</v>
      </c>
      <c r="M292" s="96">
        <f>IFERROR(__xludf.DUMMYFUNCTION("""COMPUTED_VALUE"""),0.0)</f>
        <v>0</v>
      </c>
      <c r="N292" s="96">
        <f>IFERROR(__xludf.DUMMYFUNCTION("""COMPUTED_VALUE"""),0.0)</f>
        <v>0</v>
      </c>
      <c r="O292" s="96">
        <f>IFERROR(__xludf.DUMMYFUNCTION("""COMPUTED_VALUE"""),500000.0)</f>
        <v>500000</v>
      </c>
      <c r="P292" s="129">
        <f>IFERROR(__xludf.DUMMYFUNCTION("""COMPUTED_VALUE"""),0.0)</f>
        <v>0</v>
      </c>
      <c r="Q292" s="99"/>
      <c r="R292" s="99">
        <f>IFERROR(__xludf.DUMMYFUNCTION("""COMPUTED_VALUE"""),1852380.0)</f>
        <v>1852380</v>
      </c>
    </row>
    <row r="293">
      <c r="B293" s="96">
        <f>IFERROR(__xludf.DUMMYFUNCTION("""COMPUTED_VALUE"""),6.0)</f>
        <v>6</v>
      </c>
      <c r="C293" s="98">
        <f>IFERROR(__xludf.DUMMYFUNCTION("""COMPUTED_VALUE"""),44077.0)</f>
        <v>44077</v>
      </c>
      <c r="D293" s="96" t="str">
        <f>IFERROR(__xludf.DUMMYFUNCTION("""COMPUTED_VALUE"""),"NDOMA PETER")</f>
        <v>NDOMA PETER</v>
      </c>
      <c r="E293" s="96">
        <f>IFERROR(__xludf.DUMMYFUNCTION("""COMPUTED_VALUE"""),768.0)</f>
        <v>768</v>
      </c>
      <c r="F293" s="96">
        <f>IFERROR(__xludf.DUMMYFUNCTION("""COMPUTED_VALUE"""),96.0)</f>
        <v>96</v>
      </c>
      <c r="G293" s="96"/>
      <c r="H293" s="96">
        <f>IFERROR(__xludf.DUMMYFUNCTION("""COMPUTED_VALUE"""),12.0)</f>
        <v>12</v>
      </c>
      <c r="I293" s="96"/>
      <c r="J293" s="96">
        <f>IFERROR(__xludf.DUMMYFUNCTION("""COMPUTED_VALUE"""),839.95)</f>
        <v>839.95</v>
      </c>
      <c r="K293" s="96">
        <f>IFERROR(__xludf.DUMMYFUNCTION("""COMPUTED_VALUE"""),8.0)</f>
        <v>8</v>
      </c>
      <c r="L293" s="96">
        <f>IFERROR(__xludf.DUMMYFUNCTION("""COMPUTED_VALUE"""),0.0)</f>
        <v>0</v>
      </c>
      <c r="M293" s="96">
        <f>IFERROR(__xludf.DUMMYFUNCTION("""COMPUTED_VALUE"""),12.0)</f>
        <v>12</v>
      </c>
      <c r="N293" s="96">
        <f>IFERROR(__xludf.DUMMYFUNCTION("""COMPUTED_VALUE"""),0.0)</f>
        <v>0</v>
      </c>
      <c r="O293" s="96"/>
      <c r="P293" s="129">
        <f>IFERROR(__xludf.DUMMYFUNCTION("""COMPUTED_VALUE"""),756.0)</f>
        <v>756</v>
      </c>
      <c r="Q293" s="99">
        <f>IFERROR(__xludf.DUMMYFUNCTION("""COMPUTED_VALUE"""),635000.0)</f>
        <v>635000</v>
      </c>
      <c r="R293" s="99">
        <f>IFERROR(__xludf.DUMMYFUNCTION("""COMPUTED_VALUE"""),-35000.0)</f>
        <v>-35000</v>
      </c>
    </row>
    <row r="294">
      <c r="B294" s="96">
        <f>IFERROR(__xludf.DUMMYFUNCTION("""COMPUTED_VALUE"""),7.0)</f>
        <v>7</v>
      </c>
      <c r="C294" s="98">
        <f>IFERROR(__xludf.DUMMYFUNCTION("""COMPUTED_VALUE"""),44077.0)</f>
        <v>44077</v>
      </c>
      <c r="D294" s="96" t="str">
        <f>IFERROR(__xludf.DUMMYFUNCTION("""COMPUTED_VALUE"""),"NDOMA PETER")</f>
        <v>NDOMA PETER</v>
      </c>
      <c r="E294" s="96"/>
      <c r="F294" s="96"/>
      <c r="G294" s="96"/>
      <c r="H294" s="96"/>
      <c r="I294" s="96"/>
      <c r="J294" s="96"/>
      <c r="K294" s="96"/>
      <c r="L294" s="96">
        <f>IFERROR(__xludf.DUMMYFUNCTION("""COMPUTED_VALUE"""),0.0)</f>
        <v>0</v>
      </c>
      <c r="M294" s="96">
        <f>IFERROR(__xludf.DUMMYFUNCTION("""COMPUTED_VALUE"""),0.0)</f>
        <v>0</v>
      </c>
      <c r="N294" s="96">
        <f>IFERROR(__xludf.DUMMYFUNCTION("""COMPUTED_VALUE"""),0.0)</f>
        <v>0</v>
      </c>
      <c r="O294" s="96">
        <f>IFERROR(__xludf.DUMMYFUNCTION("""COMPUTED_VALUE"""),635000.0)</f>
        <v>635000</v>
      </c>
      <c r="P294" s="129">
        <f>IFERROR(__xludf.DUMMYFUNCTION("""COMPUTED_VALUE"""),0.0)</f>
        <v>0</v>
      </c>
      <c r="Q294" s="99"/>
      <c r="R294" s="99">
        <f>IFERROR(__xludf.DUMMYFUNCTION("""COMPUTED_VALUE"""),600000.0)</f>
        <v>600000</v>
      </c>
    </row>
    <row r="295">
      <c r="B295" s="96">
        <f>IFERROR(__xludf.DUMMYFUNCTION("""COMPUTED_VALUE"""),16.0)</f>
        <v>16</v>
      </c>
      <c r="C295" s="98">
        <f>IFERROR(__xludf.DUMMYFUNCTION("""COMPUTED_VALUE"""),44078.0)</f>
        <v>44078</v>
      </c>
      <c r="D295" s="96" t="str">
        <f>IFERROR(__xludf.DUMMYFUNCTION("""COMPUTED_VALUE"""),"LIVINUS")</f>
        <v>LIVINUS</v>
      </c>
      <c r="E295" s="96"/>
      <c r="F295" s="96"/>
      <c r="G295" s="96"/>
      <c r="H295" s="96"/>
      <c r="I295" s="96"/>
      <c r="J295" s="96"/>
      <c r="K295" s="96"/>
      <c r="L295" s="96">
        <f>IFERROR(__xludf.DUMMYFUNCTION("""COMPUTED_VALUE"""),0.0)</f>
        <v>0</v>
      </c>
      <c r="M295" s="96">
        <f>IFERROR(__xludf.DUMMYFUNCTION("""COMPUTED_VALUE"""),0.0)</f>
        <v>0</v>
      </c>
      <c r="N295" s="96">
        <f>IFERROR(__xludf.DUMMYFUNCTION("""COMPUTED_VALUE"""),0.0)</f>
        <v>0</v>
      </c>
      <c r="O295" s="96">
        <f>IFERROR(__xludf.DUMMYFUNCTION("""COMPUTED_VALUE"""),1000000.0)</f>
        <v>1000000</v>
      </c>
      <c r="P295" s="129">
        <f>IFERROR(__xludf.DUMMYFUNCTION("""COMPUTED_VALUE"""),0.0)</f>
        <v>0</v>
      </c>
      <c r="Q295" s="99"/>
      <c r="R295" s="99">
        <f>IFERROR(__xludf.DUMMYFUNCTION("""COMPUTED_VALUE"""),9354500.0)</f>
        <v>9354500</v>
      </c>
    </row>
    <row r="296">
      <c r="B296" s="96">
        <f>IFERROR(__xludf.DUMMYFUNCTION("""COMPUTED_VALUE"""),9.0)</f>
        <v>9</v>
      </c>
      <c r="C296" s="98">
        <f>IFERROR(__xludf.DUMMYFUNCTION("""COMPUTED_VALUE"""),44081.0)</f>
        <v>44081</v>
      </c>
      <c r="D296" s="96" t="str">
        <f>IFERROR(__xludf.DUMMYFUNCTION("""COMPUTED_VALUE"""),"BOSURU  BOSURU")</f>
        <v>BOSURU  BOSURU</v>
      </c>
      <c r="E296" s="96"/>
      <c r="F296" s="96"/>
      <c r="G296" s="96"/>
      <c r="H296" s="96"/>
      <c r="I296" s="96"/>
      <c r="J296" s="96"/>
      <c r="K296" s="96"/>
      <c r="L296" s="96">
        <f>IFERROR(__xludf.DUMMYFUNCTION("""COMPUTED_VALUE"""),0.0)</f>
        <v>0</v>
      </c>
      <c r="M296" s="96">
        <f>IFERROR(__xludf.DUMMYFUNCTION("""COMPUTED_VALUE"""),0.0)</f>
        <v>0</v>
      </c>
      <c r="N296" s="96">
        <f>IFERROR(__xludf.DUMMYFUNCTION("""COMPUTED_VALUE"""),0.0)</f>
        <v>0</v>
      </c>
      <c r="O296" s="96">
        <f>IFERROR(__xludf.DUMMYFUNCTION("""COMPUTED_VALUE"""),20000.0)</f>
        <v>20000</v>
      </c>
      <c r="P296" s="129">
        <f>IFERROR(__xludf.DUMMYFUNCTION("""COMPUTED_VALUE"""),0.0)</f>
        <v>0</v>
      </c>
      <c r="Q296" s="99"/>
      <c r="R296" s="99">
        <f>IFERROR(__xludf.DUMMYFUNCTION("""COMPUTED_VALUE"""),1872380.0)</f>
        <v>1872380</v>
      </c>
    </row>
    <row r="297">
      <c r="B297" s="96">
        <f>IFERROR(__xludf.DUMMYFUNCTION("""COMPUTED_VALUE"""),2.0)</f>
        <v>2</v>
      </c>
      <c r="C297" s="98">
        <f>IFERROR(__xludf.DUMMYFUNCTION("""COMPUTED_VALUE"""),44081.0)</f>
        <v>44081</v>
      </c>
      <c r="D297" s="96" t="str">
        <f>IFERROR(__xludf.DUMMYFUNCTION("""COMPUTED_VALUE"""),"FRANCIS KEIBO")</f>
        <v>FRANCIS KEIBO</v>
      </c>
      <c r="E297" s="96"/>
      <c r="F297" s="96"/>
      <c r="G297" s="96"/>
      <c r="H297" s="96"/>
      <c r="I297" s="96"/>
      <c r="J297" s="96"/>
      <c r="K297" s="96"/>
      <c r="L297" s="96">
        <f>IFERROR(__xludf.DUMMYFUNCTION("""COMPUTED_VALUE"""),0.0)</f>
        <v>0</v>
      </c>
      <c r="M297" s="96">
        <f>IFERROR(__xludf.DUMMYFUNCTION("""COMPUTED_VALUE"""),0.0)</f>
        <v>0</v>
      </c>
      <c r="N297" s="96">
        <f>IFERROR(__xludf.DUMMYFUNCTION("""COMPUTED_VALUE"""),0.0)</f>
        <v>0</v>
      </c>
      <c r="O297" s="96">
        <f>IFERROR(__xludf.DUMMYFUNCTION("""COMPUTED_VALUE"""),250000.0)</f>
        <v>250000</v>
      </c>
      <c r="P297" s="129">
        <f>IFERROR(__xludf.DUMMYFUNCTION("""COMPUTED_VALUE"""),0.0)</f>
        <v>0</v>
      </c>
      <c r="Q297" s="99"/>
      <c r="R297" s="99">
        <f>IFERROR(__xludf.DUMMYFUNCTION("""COMPUTED_VALUE"""),487000.0)</f>
        <v>487000</v>
      </c>
    </row>
    <row r="298">
      <c r="B298" s="96">
        <f>IFERROR(__xludf.DUMMYFUNCTION("""COMPUTED_VALUE"""),10.0)</f>
        <v>10</v>
      </c>
      <c r="C298" s="98">
        <f>IFERROR(__xludf.DUMMYFUNCTION("""COMPUTED_VALUE"""),44021.0)</f>
        <v>44021</v>
      </c>
      <c r="D298" s="96" t="str">
        <f>IFERROR(__xludf.DUMMYFUNCTION("""COMPUTED_VALUE"""),"BOSURU  BOSURU")</f>
        <v>BOSURU  BOSURU</v>
      </c>
      <c r="E298" s="96">
        <f>IFERROR(__xludf.DUMMYFUNCTION("""COMPUTED_VALUE"""),96.0)</f>
        <v>96</v>
      </c>
      <c r="F298" s="96">
        <f>IFERROR(__xludf.DUMMYFUNCTION("""COMPUTED_VALUE"""),16.0)</f>
        <v>16</v>
      </c>
      <c r="G298" s="96"/>
      <c r="H298" s="96">
        <f>IFERROR(__xludf.DUMMYFUNCTION("""COMPUTED_VALUE"""),2.0)</f>
        <v>2</v>
      </c>
      <c r="I298" s="96"/>
      <c r="J298" s="96">
        <f>IFERROR(__xludf.DUMMYFUNCTION("""COMPUTED_VALUE"""),836.6)</f>
        <v>836.6</v>
      </c>
      <c r="K298" s="96">
        <f>IFERROR(__xludf.DUMMYFUNCTION("""COMPUTED_VALUE"""),8.0)</f>
        <v>8</v>
      </c>
      <c r="L298" s="96">
        <f>IFERROR(__xludf.DUMMYFUNCTION("""COMPUTED_VALUE"""),0.0)</f>
        <v>0</v>
      </c>
      <c r="M298" s="96">
        <f>IFERROR(__xludf.DUMMYFUNCTION("""COMPUTED_VALUE"""),1.0)</f>
        <v>1</v>
      </c>
      <c r="N298" s="96">
        <f>IFERROR(__xludf.DUMMYFUNCTION("""COMPUTED_VALUE"""),31.0)</f>
        <v>31</v>
      </c>
      <c r="O298" s="96"/>
      <c r="P298" s="129">
        <f>IFERROR(__xludf.DUMMYFUNCTION("""COMPUTED_VALUE"""),94.0)</f>
        <v>94</v>
      </c>
      <c r="Q298" s="99">
        <f>IFERROR(__xludf.DUMMYFUNCTION("""COMPUTED_VALUE"""),78640.0)</f>
        <v>78640</v>
      </c>
      <c r="R298" s="99">
        <f>IFERROR(__xludf.DUMMYFUNCTION("""COMPUTED_VALUE"""),1793740.0)</f>
        <v>1793740</v>
      </c>
    </row>
    <row r="299">
      <c r="B299" s="96">
        <f>IFERROR(__xludf.DUMMYFUNCTION("""COMPUTED_VALUE"""),11.0)</f>
        <v>11</v>
      </c>
      <c r="C299" s="98">
        <f>IFERROR(__xludf.DUMMYFUNCTION("""COMPUTED_VALUE"""),44032.0)</f>
        <v>44032</v>
      </c>
      <c r="D299" s="96" t="str">
        <f>IFERROR(__xludf.DUMMYFUNCTION("""COMPUTED_VALUE"""),"BOSURU  BOSURU")</f>
        <v>BOSURU  BOSURU</v>
      </c>
      <c r="E299" s="96">
        <f>IFERROR(__xludf.DUMMYFUNCTION("""COMPUTED_VALUE"""),137.0)</f>
        <v>137</v>
      </c>
      <c r="F299" s="96">
        <f>IFERROR(__xludf.DUMMYFUNCTION("""COMPUTED_VALUE"""),24.0)</f>
        <v>24</v>
      </c>
      <c r="G299" s="96"/>
      <c r="H299" s="96">
        <f>IFERROR(__xludf.DUMMYFUNCTION("""COMPUTED_VALUE"""),3.0)</f>
        <v>3</v>
      </c>
      <c r="I299" s="96"/>
      <c r="J299" s="96">
        <f>IFERROR(__xludf.DUMMYFUNCTION("""COMPUTED_VALUE"""),790.0)</f>
        <v>790</v>
      </c>
      <c r="K299" s="96">
        <f>IFERROR(__xludf.DUMMYFUNCTION("""COMPUTED_VALUE"""),8.0)</f>
        <v>8</v>
      </c>
      <c r="L299" s="96">
        <f>IFERROR(__xludf.DUMMYFUNCTION("""COMPUTED_VALUE"""),0.0)</f>
        <v>0</v>
      </c>
      <c r="M299" s="96">
        <f>IFERROR(__xludf.DUMMYFUNCTION("""COMPUTED_VALUE"""),2.0)</f>
        <v>2</v>
      </c>
      <c r="N299" s="96">
        <f>IFERROR(__xludf.DUMMYFUNCTION("""COMPUTED_VALUE"""),8.0)</f>
        <v>8</v>
      </c>
      <c r="O299" s="96"/>
      <c r="P299" s="129">
        <f>IFERROR(__xludf.DUMMYFUNCTION("""COMPUTED_VALUE"""),134.0)</f>
        <v>134</v>
      </c>
      <c r="Q299" s="99">
        <f>IFERROR(__xludf.DUMMYFUNCTION("""COMPUTED_VALUE"""),105860.0)</f>
        <v>105860</v>
      </c>
      <c r="R299" s="99">
        <f>IFERROR(__xludf.DUMMYFUNCTION("""COMPUTED_VALUE"""),1687880.0)</f>
        <v>1687880</v>
      </c>
    </row>
    <row r="300">
      <c r="B300" s="96">
        <f>IFERROR(__xludf.DUMMYFUNCTION("""COMPUTED_VALUE"""),12.0)</f>
        <v>12</v>
      </c>
      <c r="C300" s="98">
        <f>IFERROR(__xludf.DUMMYFUNCTION("""COMPUTED_VALUE"""),44060.0)</f>
        <v>44060</v>
      </c>
      <c r="D300" s="96" t="str">
        <f>IFERROR(__xludf.DUMMYFUNCTION("""COMPUTED_VALUE"""),"BOSURU  BOSURU")</f>
        <v>BOSURU  BOSURU</v>
      </c>
      <c r="E300" s="96">
        <f>IFERROR(__xludf.DUMMYFUNCTION("""COMPUTED_VALUE"""),420.0)</f>
        <v>420</v>
      </c>
      <c r="F300" s="96">
        <f>IFERROR(__xludf.DUMMYFUNCTION("""COMPUTED_VALUE"""),56.0)</f>
        <v>56</v>
      </c>
      <c r="G300" s="96"/>
      <c r="H300" s="96">
        <f>IFERROR(__xludf.DUMMYFUNCTION("""COMPUTED_VALUE"""),7.0)</f>
        <v>7</v>
      </c>
      <c r="I300" s="96"/>
      <c r="J300" s="96">
        <f>IFERROR(__xludf.DUMMYFUNCTION("""COMPUTED_VALUE"""),820.0)</f>
        <v>820</v>
      </c>
      <c r="K300" s="96">
        <f>IFERROR(__xludf.DUMMYFUNCTION("""COMPUTED_VALUE"""),8.0)</f>
        <v>8</v>
      </c>
      <c r="L300" s="96">
        <f>IFERROR(__xludf.DUMMYFUNCTION("""COMPUTED_VALUE"""),0.0)</f>
        <v>0</v>
      </c>
      <c r="M300" s="96">
        <f>IFERROR(__xludf.DUMMYFUNCTION("""COMPUTED_VALUE"""),6.0)</f>
        <v>6</v>
      </c>
      <c r="N300" s="96">
        <f>IFERROR(__xludf.DUMMYFUNCTION("""COMPUTED_VALUE"""),35.0)</f>
        <v>35</v>
      </c>
      <c r="O300" s="96"/>
      <c r="P300" s="129">
        <f>IFERROR(__xludf.DUMMYFUNCTION("""COMPUTED_VALUE"""),413.0)</f>
        <v>413</v>
      </c>
      <c r="Q300" s="99">
        <f>IFERROR(__xludf.DUMMYFUNCTION("""COMPUTED_VALUE"""),338660.0)</f>
        <v>338660</v>
      </c>
      <c r="R300" s="99">
        <f>IFERROR(__xludf.DUMMYFUNCTION("""COMPUTED_VALUE"""),1349220.0)</f>
        <v>1349220</v>
      </c>
    </row>
    <row r="301">
      <c r="B301" s="96">
        <f>IFERROR(__xludf.DUMMYFUNCTION("""COMPUTED_VALUE"""),13.0)</f>
        <v>13</v>
      </c>
      <c r="C301" s="98">
        <f>IFERROR(__xludf.DUMMYFUNCTION("""COMPUTED_VALUE"""),44070.0)</f>
        <v>44070</v>
      </c>
      <c r="D301" s="96" t="str">
        <f>IFERROR(__xludf.DUMMYFUNCTION("""COMPUTED_VALUE"""),"BOSURU  BOSURU")</f>
        <v>BOSURU  BOSURU</v>
      </c>
      <c r="E301" s="96">
        <f>IFERROR(__xludf.DUMMYFUNCTION("""COMPUTED_VALUE"""),403.0)</f>
        <v>403</v>
      </c>
      <c r="F301" s="96">
        <f>IFERROR(__xludf.DUMMYFUNCTION("""COMPUTED_VALUE"""),56.0)</f>
        <v>56</v>
      </c>
      <c r="G301" s="96"/>
      <c r="H301" s="96">
        <f>IFERROR(__xludf.DUMMYFUNCTION("""COMPUTED_VALUE"""),7.0)</f>
        <v>7</v>
      </c>
      <c r="I301" s="96"/>
      <c r="J301" s="96">
        <f>IFERROR(__xludf.DUMMYFUNCTION("""COMPUTED_VALUE"""),840.0)</f>
        <v>840</v>
      </c>
      <c r="K301" s="96">
        <f>IFERROR(__xludf.DUMMYFUNCTION("""COMPUTED_VALUE"""),8.0)</f>
        <v>8</v>
      </c>
      <c r="L301" s="96">
        <f>IFERROR(__xludf.DUMMYFUNCTION("""COMPUTED_VALUE"""),0.0)</f>
        <v>0</v>
      </c>
      <c r="M301" s="96">
        <f>IFERROR(__xludf.DUMMYFUNCTION("""COMPUTED_VALUE"""),6.0)</f>
        <v>6</v>
      </c>
      <c r="N301" s="96">
        <f>IFERROR(__xludf.DUMMYFUNCTION("""COMPUTED_VALUE"""),18.0)</f>
        <v>18</v>
      </c>
      <c r="O301" s="96"/>
      <c r="P301" s="129">
        <f>IFERROR(__xludf.DUMMYFUNCTION("""COMPUTED_VALUE"""),396.0)</f>
        <v>396</v>
      </c>
      <c r="Q301" s="99">
        <f>IFERROR(__xludf.DUMMYFUNCTION("""COMPUTED_VALUE"""),332640.0)</f>
        <v>332640</v>
      </c>
      <c r="R301" s="99">
        <f>IFERROR(__xludf.DUMMYFUNCTION("""COMPUTED_VALUE"""),1016580.0)</f>
        <v>1016580</v>
      </c>
    </row>
    <row r="302">
      <c r="B302" s="96">
        <f>IFERROR(__xludf.DUMMYFUNCTION("""COMPUTED_VALUE"""),14.0)</f>
        <v>14</v>
      </c>
      <c r="C302" s="98">
        <f>IFERROR(__xludf.DUMMYFUNCTION("""COMPUTED_VALUE"""),44077.0)</f>
        <v>44077</v>
      </c>
      <c r="D302" s="96" t="str">
        <f>IFERROR(__xludf.DUMMYFUNCTION("""COMPUTED_VALUE"""),"BOSURU  BOSURU")</f>
        <v>BOSURU  BOSURU</v>
      </c>
      <c r="E302" s="96">
        <f>IFERROR(__xludf.DUMMYFUNCTION("""COMPUTED_VALUE"""),338.0)</f>
        <v>338</v>
      </c>
      <c r="F302" s="96">
        <f>IFERROR(__xludf.DUMMYFUNCTION("""COMPUTED_VALUE"""),48.0)</f>
        <v>48</v>
      </c>
      <c r="G302" s="96"/>
      <c r="H302" s="96">
        <f>IFERROR(__xludf.DUMMYFUNCTION("""COMPUTED_VALUE"""),6.0)</f>
        <v>6</v>
      </c>
      <c r="I302" s="96"/>
      <c r="J302" s="96">
        <f>IFERROR(__xludf.DUMMYFUNCTION("""COMPUTED_VALUE"""),840.0)</f>
        <v>840</v>
      </c>
      <c r="K302" s="96">
        <f>IFERROR(__xludf.DUMMYFUNCTION("""COMPUTED_VALUE"""),8.0)</f>
        <v>8</v>
      </c>
      <c r="L302" s="96">
        <f>IFERROR(__xludf.DUMMYFUNCTION("""COMPUTED_VALUE"""),0.0)</f>
        <v>0</v>
      </c>
      <c r="M302" s="96">
        <f>IFERROR(__xludf.DUMMYFUNCTION("""COMPUTED_VALUE"""),5.0)</f>
        <v>5</v>
      </c>
      <c r="N302" s="96">
        <f>IFERROR(__xludf.DUMMYFUNCTION("""COMPUTED_VALUE"""),17.0)</f>
        <v>17</v>
      </c>
      <c r="O302" s="96"/>
      <c r="P302" s="129">
        <f>IFERROR(__xludf.DUMMYFUNCTION("""COMPUTED_VALUE"""),332.0)</f>
        <v>332</v>
      </c>
      <c r="Q302" s="99">
        <f>IFERROR(__xludf.DUMMYFUNCTION("""COMPUTED_VALUE"""),278880.0)</f>
        <v>278880</v>
      </c>
      <c r="R302" s="99">
        <f>IFERROR(__xludf.DUMMYFUNCTION("""COMPUTED_VALUE"""),737700.0)</f>
        <v>737700</v>
      </c>
    </row>
    <row r="303">
      <c r="B303" s="96">
        <f>IFERROR(__xludf.DUMMYFUNCTION("""COMPUTED_VALUE"""),15.0)</f>
        <v>15</v>
      </c>
      <c r="C303" s="98">
        <f>IFERROR(__xludf.DUMMYFUNCTION("""COMPUTED_VALUE"""),44082.0)</f>
        <v>44082</v>
      </c>
      <c r="D303" s="96" t="str">
        <f>IFERROR(__xludf.DUMMYFUNCTION("""COMPUTED_VALUE"""),"BOSURU  BOSURU")</f>
        <v>BOSURU  BOSURU</v>
      </c>
      <c r="E303" s="96"/>
      <c r="F303" s="96"/>
      <c r="G303" s="96"/>
      <c r="H303" s="96"/>
      <c r="I303" s="96"/>
      <c r="J303" s="96"/>
      <c r="K303" s="96"/>
      <c r="L303" s="96">
        <f>IFERROR(__xludf.DUMMYFUNCTION("""COMPUTED_VALUE"""),0.0)</f>
        <v>0</v>
      </c>
      <c r="M303" s="96">
        <f>IFERROR(__xludf.DUMMYFUNCTION("""COMPUTED_VALUE"""),0.0)</f>
        <v>0</v>
      </c>
      <c r="N303" s="96">
        <f>IFERROR(__xludf.DUMMYFUNCTION("""COMPUTED_VALUE"""),0.0)</f>
        <v>0</v>
      </c>
      <c r="O303" s="96">
        <f>IFERROR(__xludf.DUMMYFUNCTION("""COMPUTED_VALUE"""),262000.0)</f>
        <v>262000</v>
      </c>
      <c r="P303" s="129">
        <f>IFERROR(__xludf.DUMMYFUNCTION("""COMPUTED_VALUE"""),0.0)</f>
        <v>0</v>
      </c>
      <c r="Q303" s="99"/>
      <c r="R303" s="99">
        <f>IFERROR(__xludf.DUMMYFUNCTION("""COMPUTED_VALUE"""),999700.0)</f>
        <v>999700</v>
      </c>
    </row>
    <row r="304">
      <c r="B304" s="96">
        <f>IFERROR(__xludf.DUMMYFUNCTION("""COMPUTED_VALUE"""),2.0)</f>
        <v>2</v>
      </c>
      <c r="C304" s="98">
        <f>IFERROR(__xludf.DUMMYFUNCTION("""COMPUTED_VALUE"""),44082.0)</f>
        <v>44082</v>
      </c>
      <c r="D304" s="96" t="str">
        <f>IFERROR(__xludf.DUMMYFUNCTION("""COMPUTED_VALUE"""),"MAXWELL AGRO PRIN")</f>
        <v>MAXWELL AGRO PRIN</v>
      </c>
      <c r="E304" s="96"/>
      <c r="F304" s="96"/>
      <c r="G304" s="96"/>
      <c r="H304" s="96"/>
      <c r="I304" s="96"/>
      <c r="J304" s="96"/>
      <c r="K304" s="96"/>
      <c r="L304" s="96">
        <f>IFERROR(__xludf.DUMMYFUNCTION("""COMPUTED_VALUE"""),0.0)</f>
        <v>0</v>
      </c>
      <c r="M304" s="96">
        <f>IFERROR(__xludf.DUMMYFUNCTION("""COMPUTED_VALUE"""),0.0)</f>
        <v>0</v>
      </c>
      <c r="N304" s="96">
        <f>IFERROR(__xludf.DUMMYFUNCTION("""COMPUTED_VALUE"""),0.0)</f>
        <v>0</v>
      </c>
      <c r="O304" s="96">
        <f>IFERROR(__xludf.DUMMYFUNCTION("""COMPUTED_VALUE"""),50000.0)</f>
        <v>50000</v>
      </c>
      <c r="P304" s="129">
        <f>IFERROR(__xludf.DUMMYFUNCTION("""COMPUTED_VALUE"""),0.0)</f>
        <v>0</v>
      </c>
      <c r="Q304" s="99"/>
      <c r="R304" s="99">
        <f>IFERROR(__xludf.DUMMYFUNCTION("""COMPUTED_VALUE"""),330000.0)</f>
        <v>330000</v>
      </c>
    </row>
    <row r="305">
      <c r="B305" s="96">
        <f>IFERROR(__xludf.DUMMYFUNCTION("""COMPUTED_VALUE"""),2.0)</f>
        <v>2</v>
      </c>
      <c r="C305" s="98">
        <f>IFERROR(__xludf.DUMMYFUNCTION("""COMPUTED_VALUE"""),44082.0)</f>
        <v>44082</v>
      </c>
      <c r="D305" s="96" t="str">
        <f>IFERROR(__xludf.DUMMYFUNCTION("""COMPUTED_VALUE"""),"NDOMA NDOMA")</f>
        <v>NDOMA NDOMA</v>
      </c>
      <c r="E305" s="96"/>
      <c r="F305" s="96"/>
      <c r="G305" s="96"/>
      <c r="H305" s="96"/>
      <c r="I305" s="96"/>
      <c r="J305" s="96"/>
      <c r="K305" s="96"/>
      <c r="L305" s="96">
        <f>IFERROR(__xludf.DUMMYFUNCTION("""COMPUTED_VALUE"""),0.0)</f>
        <v>0</v>
      </c>
      <c r="M305" s="96">
        <f>IFERROR(__xludf.DUMMYFUNCTION("""COMPUTED_VALUE"""),0.0)</f>
        <v>0</v>
      </c>
      <c r="N305" s="96">
        <f>IFERROR(__xludf.DUMMYFUNCTION("""COMPUTED_VALUE"""),0.0)</f>
        <v>0</v>
      </c>
      <c r="O305" s="96">
        <f>IFERROR(__xludf.DUMMYFUNCTION("""COMPUTED_VALUE"""),10000.0)</f>
        <v>10000</v>
      </c>
      <c r="P305" s="129">
        <f>IFERROR(__xludf.DUMMYFUNCTION("""COMPUTED_VALUE"""),0.0)</f>
        <v>0</v>
      </c>
      <c r="Q305" s="99"/>
      <c r="R305" s="99">
        <f>IFERROR(__xludf.DUMMYFUNCTION("""COMPUTED_VALUE"""),210000.0)</f>
        <v>210000</v>
      </c>
    </row>
    <row r="306">
      <c r="B306" s="96">
        <f>IFERROR(__xludf.DUMMYFUNCTION("""COMPUTED_VALUE"""),1.0)</f>
        <v>1</v>
      </c>
      <c r="C306" s="98">
        <f>IFERROR(__xludf.DUMMYFUNCTION("""COMPUTED_VALUE"""),44082.0)</f>
        <v>44082</v>
      </c>
      <c r="D306" s="96" t="str">
        <f>IFERROR(__xludf.DUMMYFUNCTION("""COMPUTED_VALUE"""),"ZULU ")</f>
        <v>ZULU </v>
      </c>
      <c r="E306" s="96"/>
      <c r="F306" s="96"/>
      <c r="G306" s="96"/>
      <c r="H306" s="96"/>
      <c r="I306" s="96"/>
      <c r="J306" s="96"/>
      <c r="K306" s="96"/>
      <c r="L306" s="96">
        <f>IFERROR(__xludf.DUMMYFUNCTION("""COMPUTED_VALUE"""),0.0)</f>
        <v>0</v>
      </c>
      <c r="M306" s="96">
        <f>IFERROR(__xludf.DUMMYFUNCTION("""COMPUTED_VALUE"""),0.0)</f>
        <v>0</v>
      </c>
      <c r="N306" s="96">
        <f>IFERROR(__xludf.DUMMYFUNCTION("""COMPUTED_VALUE"""),0.0)</f>
        <v>0</v>
      </c>
      <c r="O306" s="96">
        <f>IFERROR(__xludf.DUMMYFUNCTION("""COMPUTED_VALUE"""),4000.0)</f>
        <v>4000</v>
      </c>
      <c r="P306" s="129">
        <f>IFERROR(__xludf.DUMMYFUNCTION("""COMPUTED_VALUE"""),0.0)</f>
        <v>0</v>
      </c>
      <c r="Q306" s="99"/>
      <c r="R306" s="99">
        <f>IFERROR(__xludf.DUMMYFUNCTION("""COMPUTED_VALUE"""),4000.0)</f>
        <v>4000</v>
      </c>
    </row>
    <row r="307">
      <c r="B307" s="96">
        <f>IFERROR(__xludf.DUMMYFUNCTION("""COMPUTED_VALUE"""),8.0)</f>
        <v>8</v>
      </c>
      <c r="C307" s="98">
        <f>IFERROR(__xludf.DUMMYFUNCTION("""COMPUTED_VALUE"""),44055.0)</f>
        <v>44055</v>
      </c>
      <c r="D307" s="96" t="str">
        <f>IFERROR(__xludf.DUMMYFUNCTION("""COMPUTED_VALUE"""),"ZULU &amp; NDOMA")</f>
        <v>ZULU &amp; NDOMA</v>
      </c>
      <c r="E307" s="96"/>
      <c r="F307" s="96"/>
      <c r="G307" s="96"/>
      <c r="H307" s="96"/>
      <c r="I307" s="96"/>
      <c r="J307" s="96"/>
      <c r="K307" s="96"/>
      <c r="L307" s="96">
        <f>IFERROR(__xludf.DUMMYFUNCTION("""COMPUTED_VALUE"""),0.0)</f>
        <v>0</v>
      </c>
      <c r="M307" s="96">
        <f>IFERROR(__xludf.DUMMYFUNCTION("""COMPUTED_VALUE"""),0.0)</f>
        <v>0</v>
      </c>
      <c r="N307" s="96">
        <f>IFERROR(__xludf.DUMMYFUNCTION("""COMPUTED_VALUE"""),0.0)</f>
        <v>0</v>
      </c>
      <c r="O307" s="96">
        <f>IFERROR(__xludf.DUMMYFUNCTION("""COMPUTED_VALUE"""),-100000.0)</f>
        <v>-100000</v>
      </c>
      <c r="P307" s="129">
        <f>IFERROR(__xludf.DUMMYFUNCTION("""COMPUTED_VALUE"""),0.0)</f>
        <v>0</v>
      </c>
      <c r="Q307" s="99"/>
      <c r="R307" s="99">
        <f>IFERROR(__xludf.DUMMYFUNCTION("""COMPUTED_VALUE"""),306800.0)</f>
        <v>306800</v>
      </c>
    </row>
    <row r="308">
      <c r="B308" s="96">
        <f>IFERROR(__xludf.DUMMYFUNCTION("""COMPUTED_VALUE"""),3.0)</f>
        <v>3</v>
      </c>
      <c r="C308" s="98">
        <f>IFERROR(__xludf.DUMMYFUNCTION("""COMPUTED_VALUE"""),44055.0)</f>
        <v>44055</v>
      </c>
      <c r="D308" s="96" t="str">
        <f>IFERROR(__xludf.DUMMYFUNCTION("""COMPUTED_VALUE"""),"NDOMA PRIN")</f>
        <v>NDOMA PRIN</v>
      </c>
      <c r="E308" s="96"/>
      <c r="F308" s="96"/>
      <c r="G308" s="96"/>
      <c r="H308" s="96"/>
      <c r="I308" s="96"/>
      <c r="J308" s="96"/>
      <c r="K308" s="96"/>
      <c r="L308" s="96">
        <f>IFERROR(__xludf.DUMMYFUNCTION("""COMPUTED_VALUE"""),0.0)</f>
        <v>0</v>
      </c>
      <c r="M308" s="96">
        <f>IFERROR(__xludf.DUMMYFUNCTION("""COMPUTED_VALUE"""),0.0)</f>
        <v>0</v>
      </c>
      <c r="N308" s="96">
        <f>IFERROR(__xludf.DUMMYFUNCTION("""COMPUTED_VALUE"""),0.0)</f>
        <v>0</v>
      </c>
      <c r="O308" s="96">
        <f>IFERROR(__xludf.DUMMYFUNCTION("""COMPUTED_VALUE"""),100000.0)</f>
        <v>100000</v>
      </c>
      <c r="P308" s="129">
        <f>IFERROR(__xludf.DUMMYFUNCTION("""COMPUTED_VALUE"""),0.0)</f>
        <v>0</v>
      </c>
      <c r="Q308" s="99"/>
      <c r="R308" s="99">
        <f>IFERROR(__xludf.DUMMYFUNCTION("""COMPUTED_VALUE"""),158200.0)</f>
        <v>158200</v>
      </c>
    </row>
    <row r="309">
      <c r="B309" s="96">
        <f>IFERROR(__xludf.DUMMYFUNCTION("""COMPUTED_VALUE"""),9.0)</f>
        <v>9</v>
      </c>
      <c r="C309" s="98">
        <f>IFERROR(__xludf.DUMMYFUNCTION("""COMPUTED_VALUE"""),44058.0)</f>
        <v>44058</v>
      </c>
      <c r="D309" s="96" t="str">
        <f>IFERROR(__xludf.DUMMYFUNCTION("""COMPUTED_VALUE"""),"ZULU &amp; NDOMA")</f>
        <v>ZULU &amp; NDOMA</v>
      </c>
      <c r="E309" s="96"/>
      <c r="F309" s="96"/>
      <c r="G309" s="96"/>
      <c r="H309" s="96"/>
      <c r="I309" s="96"/>
      <c r="J309" s="96"/>
      <c r="K309" s="96"/>
      <c r="L309" s="96">
        <f>IFERROR(__xludf.DUMMYFUNCTION("""COMPUTED_VALUE"""),0.0)</f>
        <v>0</v>
      </c>
      <c r="M309" s="96">
        <f>IFERROR(__xludf.DUMMYFUNCTION("""COMPUTED_VALUE"""),0.0)</f>
        <v>0</v>
      </c>
      <c r="N309" s="96">
        <f>IFERROR(__xludf.DUMMYFUNCTION("""COMPUTED_VALUE"""),0.0)</f>
        <v>0</v>
      </c>
      <c r="O309" s="96">
        <f>IFERROR(__xludf.DUMMYFUNCTION("""COMPUTED_VALUE"""),-200000.0)</f>
        <v>-200000</v>
      </c>
      <c r="P309" s="129">
        <f>IFERROR(__xludf.DUMMYFUNCTION("""COMPUTED_VALUE"""),0.0)</f>
        <v>0</v>
      </c>
      <c r="Q309" s="99"/>
      <c r="R309" s="99">
        <f>IFERROR(__xludf.DUMMYFUNCTION("""COMPUTED_VALUE"""),106800.0)</f>
        <v>106800</v>
      </c>
    </row>
    <row r="310">
      <c r="B310" s="96">
        <f>IFERROR(__xludf.DUMMYFUNCTION("""COMPUTED_VALUE"""),2.0)</f>
        <v>2</v>
      </c>
      <c r="C310" s="98">
        <f>IFERROR(__xludf.DUMMYFUNCTION("""COMPUTED_VALUE"""),44058.0)</f>
        <v>44058</v>
      </c>
      <c r="D310" s="96" t="str">
        <f>IFERROR(__xludf.DUMMYFUNCTION("""COMPUTED_VALUE"""),"ZULU ")</f>
        <v>ZULU </v>
      </c>
      <c r="E310" s="96"/>
      <c r="F310" s="96"/>
      <c r="G310" s="96"/>
      <c r="H310" s="96"/>
      <c r="I310" s="96"/>
      <c r="J310" s="96"/>
      <c r="K310" s="96"/>
      <c r="L310" s="96">
        <f>IFERROR(__xludf.DUMMYFUNCTION("""COMPUTED_VALUE"""),0.0)</f>
        <v>0</v>
      </c>
      <c r="M310" s="96">
        <f>IFERROR(__xludf.DUMMYFUNCTION("""COMPUTED_VALUE"""),0.0)</f>
        <v>0</v>
      </c>
      <c r="N310" s="96">
        <f>IFERROR(__xludf.DUMMYFUNCTION("""COMPUTED_VALUE"""),0.0)</f>
        <v>0</v>
      </c>
      <c r="O310" s="96">
        <f>IFERROR(__xludf.DUMMYFUNCTION("""COMPUTED_VALUE"""),200000.0)</f>
        <v>200000</v>
      </c>
      <c r="P310" s="129">
        <f>IFERROR(__xludf.DUMMYFUNCTION("""COMPUTED_VALUE"""),0.0)</f>
        <v>0</v>
      </c>
      <c r="Q310" s="99"/>
      <c r="R310" s="99">
        <f>IFERROR(__xludf.DUMMYFUNCTION("""COMPUTED_VALUE"""),204000.0)</f>
        <v>204000</v>
      </c>
    </row>
    <row r="311">
      <c r="B311" s="96">
        <f>IFERROR(__xludf.DUMMYFUNCTION("""COMPUTED_VALUE"""),3.0)</f>
        <v>3</v>
      </c>
      <c r="C311" s="98">
        <f>IFERROR(__xludf.DUMMYFUNCTION("""COMPUTED_VALUE"""),44081.0)</f>
        <v>44081</v>
      </c>
      <c r="D311" s="96" t="str">
        <f>IFERROR(__xludf.DUMMYFUNCTION("""COMPUTED_VALUE"""),"NDOMA NDOMA")</f>
        <v>NDOMA NDOMA</v>
      </c>
      <c r="E311" s="96">
        <f>IFERROR(__xludf.DUMMYFUNCTION("""COMPUTED_VALUE"""),1250.0)</f>
        <v>1250</v>
      </c>
      <c r="F311" s="96">
        <f>IFERROR(__xludf.DUMMYFUNCTION("""COMPUTED_VALUE"""),160.0)</f>
        <v>160</v>
      </c>
      <c r="G311" s="96"/>
      <c r="H311" s="96">
        <f>IFERROR(__xludf.DUMMYFUNCTION("""COMPUTED_VALUE"""),20.0)</f>
        <v>20</v>
      </c>
      <c r="I311" s="96">
        <f>IFERROR(__xludf.DUMMYFUNCTION("""COMPUTED_VALUE"""),20.0)</f>
        <v>20</v>
      </c>
      <c r="J311" s="96">
        <f>IFERROR(__xludf.DUMMYFUNCTION("""COMPUTED_VALUE"""),920.0)</f>
        <v>920</v>
      </c>
      <c r="K311" s="96">
        <f>IFERROR(__xludf.DUMMYFUNCTION("""COMPUTED_VALUE"""),8.0)</f>
        <v>8</v>
      </c>
      <c r="L311" s="96">
        <f>IFERROR(__xludf.DUMMYFUNCTION("""COMPUTED_VALUE"""),0.0)</f>
        <v>0</v>
      </c>
      <c r="M311" s="96">
        <f>IFERROR(__xludf.DUMMYFUNCTION("""COMPUTED_VALUE"""),19.0)</f>
        <v>19</v>
      </c>
      <c r="N311" s="96">
        <f>IFERROR(__xludf.DUMMYFUNCTION("""COMPUTED_VALUE"""),53.0)</f>
        <v>53</v>
      </c>
      <c r="O311" s="96"/>
      <c r="P311" s="129">
        <f>IFERROR(__xludf.DUMMYFUNCTION("""COMPUTED_VALUE"""),1250.0)</f>
        <v>1250</v>
      </c>
      <c r="Q311" s="99">
        <f>IFERROR(__xludf.DUMMYFUNCTION("""COMPUTED_VALUE"""),1150000.0)</f>
        <v>1150000</v>
      </c>
      <c r="R311" s="99">
        <f>IFERROR(__xludf.DUMMYFUNCTION("""COMPUTED_VALUE"""),-940000.0)</f>
        <v>-940000</v>
      </c>
    </row>
    <row r="312">
      <c r="B312" s="96">
        <f>IFERROR(__xludf.DUMMYFUNCTION("""COMPUTED_VALUE"""),20.0)</f>
        <v>20</v>
      </c>
      <c r="C312" s="98">
        <f>IFERROR(__xludf.DUMMYFUNCTION("""COMPUTED_VALUE"""),44072.0)</f>
        <v>44072</v>
      </c>
      <c r="D312" s="96" t="str">
        <f>IFERROR(__xludf.DUMMYFUNCTION("""COMPUTED_VALUE"""),"RECTOR W.")</f>
        <v>RECTOR W.</v>
      </c>
      <c r="E312" s="96">
        <f>IFERROR(__xludf.DUMMYFUNCTION("""COMPUTED_VALUE"""),3885.0)</f>
        <v>3885</v>
      </c>
      <c r="F312" s="96">
        <f>IFERROR(__xludf.DUMMYFUNCTION("""COMPUTED_VALUE"""),749.5)</f>
        <v>749.5</v>
      </c>
      <c r="G312" s="96"/>
      <c r="H312" s="96">
        <f>IFERROR(__xludf.DUMMYFUNCTION("""COMPUTED_VALUE"""),60.0)</f>
        <v>60</v>
      </c>
      <c r="I312" s="96"/>
      <c r="J312" s="96">
        <f>IFERROR(__xludf.DUMMYFUNCTION("""COMPUTED_VALUE"""),840.0)</f>
        <v>840</v>
      </c>
      <c r="K312" s="96">
        <f>IFERROR(__xludf.DUMMYFUNCTION("""COMPUTED_VALUE"""),12.49)</f>
        <v>12.49</v>
      </c>
      <c r="L312" s="96">
        <f>IFERROR(__xludf.DUMMYFUNCTION("""COMPUTED_VALUE"""),172.0)</f>
        <v>172</v>
      </c>
      <c r="M312" s="96">
        <f>IFERROR(__xludf.DUMMYFUNCTION("""COMPUTED_VALUE"""),57.0)</f>
        <v>57</v>
      </c>
      <c r="N312" s="96">
        <f>IFERROR(__xludf.DUMMYFUNCTION("""COMPUTED_VALUE"""),61.0)</f>
        <v>61</v>
      </c>
      <c r="O312" s="96"/>
      <c r="P312" s="129">
        <f>IFERROR(__xludf.DUMMYFUNCTION("""COMPUTED_VALUE"""),3653.0)</f>
        <v>3653</v>
      </c>
      <c r="Q312" s="99">
        <f>IFERROR(__xludf.DUMMYFUNCTION("""COMPUTED_VALUE"""),3068520.0)</f>
        <v>3068520</v>
      </c>
      <c r="R312" s="99">
        <f>IFERROR(__xludf.DUMMYFUNCTION("""COMPUTED_VALUE"""),1698820.0)</f>
        <v>1698820</v>
      </c>
    </row>
    <row r="313">
      <c r="B313" s="96">
        <f>IFERROR(__xludf.DUMMYFUNCTION("""COMPUTED_VALUE"""),17.0)</f>
        <v>17</v>
      </c>
      <c r="C313" s="98">
        <f>IFERROR(__xludf.DUMMYFUNCTION("""COMPUTED_VALUE"""),44074.0)</f>
        <v>44074</v>
      </c>
      <c r="D313" s="96" t="str">
        <f>IFERROR(__xludf.DUMMYFUNCTION("""COMPUTED_VALUE"""),"CONNECT")</f>
        <v>CONNECT</v>
      </c>
      <c r="E313" s="96">
        <f>IFERROR(__xludf.DUMMYFUNCTION("""COMPUTED_VALUE"""),2526.0)</f>
        <v>2526</v>
      </c>
      <c r="F313" s="96">
        <f>IFERROR(__xludf.DUMMYFUNCTION("""COMPUTED_VALUE"""),296.0)</f>
        <v>296</v>
      </c>
      <c r="G313" s="96"/>
      <c r="H313" s="96">
        <f>IFERROR(__xludf.DUMMYFUNCTION("""COMPUTED_VALUE"""),37.0)</f>
        <v>37</v>
      </c>
      <c r="I313" s="96"/>
      <c r="J313" s="96">
        <f>IFERROR(__xludf.DUMMYFUNCTION("""COMPUTED_VALUE"""),850.0)</f>
        <v>850</v>
      </c>
      <c r="K313" s="96">
        <f>IFERROR(__xludf.DUMMYFUNCTION("""COMPUTED_VALUE"""),8.0)</f>
        <v>8</v>
      </c>
      <c r="L313" s="96">
        <f>IFERROR(__xludf.DUMMYFUNCTION("""COMPUTED_VALUE"""),0.0)</f>
        <v>0</v>
      </c>
      <c r="M313" s="96">
        <f>IFERROR(__xludf.DUMMYFUNCTION("""COMPUTED_VALUE"""),39.0)</f>
        <v>39</v>
      </c>
      <c r="N313" s="96">
        <f>IFERROR(__xludf.DUMMYFUNCTION("""COMPUTED_VALUE"""),31.0)</f>
        <v>31</v>
      </c>
      <c r="O313" s="96"/>
      <c r="P313" s="129">
        <f>IFERROR(__xludf.DUMMYFUNCTION("""COMPUTED_VALUE"""),2489.0)</f>
        <v>2489</v>
      </c>
      <c r="Q313" s="99">
        <f>IFERROR(__xludf.DUMMYFUNCTION("""COMPUTED_VALUE"""),2115650.0)</f>
        <v>2115650</v>
      </c>
      <c r="R313" s="99">
        <f>IFERROR(__xludf.DUMMYFUNCTION("""COMPUTED_VALUE"""),3007450.0)</f>
        <v>3007450</v>
      </c>
    </row>
    <row r="314">
      <c r="B314" s="96">
        <f>IFERROR(__xludf.DUMMYFUNCTION("""COMPUTED_VALUE"""),20.0)</f>
        <v>20</v>
      </c>
      <c r="C314" s="98">
        <f>IFERROR(__xludf.DUMMYFUNCTION("""COMPUTED_VALUE"""),44071.0)</f>
        <v>44071</v>
      </c>
      <c r="D314" s="96" t="str">
        <f>IFERROR(__xludf.DUMMYFUNCTION("""COMPUTED_VALUE"""),"LYDIA HNSON ")</f>
        <v>LYDIA HNSON </v>
      </c>
      <c r="E314" s="96">
        <f>IFERROR(__xludf.DUMMYFUNCTION("""COMPUTED_VALUE"""),312.0)</f>
        <v>312</v>
      </c>
      <c r="F314" s="96">
        <f>IFERROR(__xludf.DUMMYFUNCTION("""COMPUTED_VALUE"""),32.0)</f>
        <v>32</v>
      </c>
      <c r="G314" s="96"/>
      <c r="H314" s="96">
        <f>IFERROR(__xludf.DUMMYFUNCTION("""COMPUTED_VALUE"""),4.0)</f>
        <v>4</v>
      </c>
      <c r="I314" s="96">
        <f>IFERROR(__xludf.DUMMYFUNCTION("""COMPUTED_VALUE"""),4.0)</f>
        <v>4</v>
      </c>
      <c r="J314" s="96">
        <f>IFERROR(__xludf.DUMMYFUNCTION("""COMPUTED_VALUE"""),870.0)</f>
        <v>870</v>
      </c>
      <c r="K314" s="96">
        <f>IFERROR(__xludf.DUMMYFUNCTION("""COMPUTED_VALUE"""),8.0)</f>
        <v>8</v>
      </c>
      <c r="L314" s="96">
        <f>IFERROR(__xludf.DUMMYFUNCTION("""COMPUTED_VALUE"""),0.0)</f>
        <v>0</v>
      </c>
      <c r="M314" s="96">
        <f>IFERROR(__xludf.DUMMYFUNCTION("""COMPUTED_VALUE"""),4.0)</f>
        <v>4</v>
      </c>
      <c r="N314" s="96">
        <f>IFERROR(__xludf.DUMMYFUNCTION("""COMPUTED_VALUE"""),60.0)</f>
        <v>60</v>
      </c>
      <c r="O314" s="96"/>
      <c r="P314" s="129">
        <f>IFERROR(__xludf.DUMMYFUNCTION("""COMPUTED_VALUE"""),312.0)</f>
        <v>312</v>
      </c>
      <c r="Q314" s="99">
        <f>IFERROR(__xludf.DUMMYFUNCTION("""COMPUTED_VALUE"""),271440.0)</f>
        <v>271440</v>
      </c>
      <c r="R314" s="99">
        <f>IFERROR(__xludf.DUMMYFUNCTION("""COMPUTED_VALUE"""),3253640.0)</f>
        <v>3253640</v>
      </c>
    </row>
    <row r="315">
      <c r="B315" s="96">
        <f>IFERROR(__xludf.DUMMYFUNCTION("""COMPUTED_VALUE"""),11.0)</f>
        <v>11</v>
      </c>
      <c r="C315" s="98">
        <f>IFERROR(__xludf.DUMMYFUNCTION("""COMPUTED_VALUE"""),44082.0)</f>
        <v>44082</v>
      </c>
      <c r="D315" s="96" t="str">
        <f>IFERROR(__xludf.DUMMYFUNCTION("""COMPUTED_VALUE"""),"EDWARD OKO")</f>
        <v>EDWARD OKO</v>
      </c>
      <c r="E315" s="96">
        <f>IFERROR(__xludf.DUMMYFUNCTION("""COMPUTED_VALUE"""),5590.0)</f>
        <v>5590</v>
      </c>
      <c r="F315" s="96">
        <f>IFERROR(__xludf.DUMMYFUNCTION("""COMPUTED_VALUE"""),742.0)</f>
        <v>742</v>
      </c>
      <c r="G315" s="96"/>
      <c r="H315" s="96">
        <f>IFERROR(__xludf.DUMMYFUNCTION("""COMPUTED_VALUE"""),85.0)</f>
        <v>85</v>
      </c>
      <c r="I315" s="96"/>
      <c r="J315" s="96">
        <f>IFERROR(__xludf.DUMMYFUNCTION("""COMPUTED_VALUE"""),880.0)</f>
        <v>880</v>
      </c>
      <c r="K315" s="96">
        <f>IFERROR(__xludf.DUMMYFUNCTION("""COMPUTED_VALUE"""),8.73)</f>
        <v>8.73</v>
      </c>
      <c r="L315" s="96">
        <f>IFERROR(__xludf.DUMMYFUNCTION("""COMPUTED_VALUE"""),40.0)</f>
        <v>40</v>
      </c>
      <c r="M315" s="96">
        <f>IFERROR(__xludf.DUMMYFUNCTION("""COMPUTED_VALUE"""),86.0)</f>
        <v>86</v>
      </c>
      <c r="N315" s="96">
        <f>IFERROR(__xludf.DUMMYFUNCTION("""COMPUTED_VALUE"""),47.0)</f>
        <v>47</v>
      </c>
      <c r="O315" s="96"/>
      <c r="P315" s="129">
        <f>IFERROR(__xludf.DUMMYFUNCTION("""COMPUTED_VALUE"""),5465.0)</f>
        <v>5465</v>
      </c>
      <c r="Q315" s="99">
        <f>IFERROR(__xludf.DUMMYFUNCTION("""COMPUTED_VALUE"""),4809200.0)</f>
        <v>4809200</v>
      </c>
      <c r="R315" s="99">
        <f>IFERROR(__xludf.DUMMYFUNCTION("""COMPUTED_VALUE"""),-4616510.0)</f>
        <v>-4616510</v>
      </c>
    </row>
    <row r="316">
      <c r="B316" s="96">
        <f>IFERROR(__xludf.DUMMYFUNCTION("""COMPUTED_VALUE"""),9.0)</f>
        <v>9</v>
      </c>
      <c r="C316" s="98">
        <f>IFERROR(__xludf.DUMMYFUNCTION("""COMPUTED_VALUE"""),44083.0)</f>
        <v>44083</v>
      </c>
      <c r="D316" s="96" t="str">
        <f>IFERROR(__xludf.DUMMYFUNCTION("""COMPUTED_VALUE"""),"ANDRDEW GREAT")</f>
        <v>ANDRDEW GREAT</v>
      </c>
      <c r="E316" s="96"/>
      <c r="F316" s="96"/>
      <c r="G316" s="96"/>
      <c r="H316" s="96"/>
      <c r="I316" s="96"/>
      <c r="J316" s="96"/>
      <c r="K316" s="96"/>
      <c r="L316" s="96">
        <f>IFERROR(__xludf.DUMMYFUNCTION("""COMPUTED_VALUE"""),0.0)</f>
        <v>0</v>
      </c>
      <c r="M316" s="96">
        <f>IFERROR(__xludf.DUMMYFUNCTION("""COMPUTED_VALUE"""),0.0)</f>
        <v>0</v>
      </c>
      <c r="N316" s="96">
        <f>IFERROR(__xludf.DUMMYFUNCTION("""COMPUTED_VALUE"""),0.0)</f>
        <v>0</v>
      </c>
      <c r="O316" s="96">
        <f>IFERROR(__xludf.DUMMYFUNCTION("""COMPUTED_VALUE"""),700000.0)</f>
        <v>700000</v>
      </c>
      <c r="P316" s="129">
        <f>IFERROR(__xludf.DUMMYFUNCTION("""COMPUTED_VALUE"""),0.0)</f>
        <v>0</v>
      </c>
      <c r="Q316" s="99"/>
      <c r="R316" s="99">
        <f>IFERROR(__xludf.DUMMYFUNCTION("""COMPUTED_VALUE"""),2456950.0)</f>
        <v>2456950</v>
      </c>
    </row>
    <row r="317">
      <c r="B317" s="96">
        <f>IFERROR(__xludf.DUMMYFUNCTION("""COMPUTED_VALUE"""),3.0)</f>
        <v>3</v>
      </c>
      <c r="C317" s="98">
        <f>IFERROR(__xludf.DUMMYFUNCTION("""COMPUTED_VALUE"""),44083.0)</f>
        <v>44083</v>
      </c>
      <c r="D317" s="96" t="str">
        <f>IFERROR(__xludf.DUMMYFUNCTION("""COMPUTED_VALUE"""),"REIMON ALABA")</f>
        <v>REIMON ALABA</v>
      </c>
      <c r="E317" s="96"/>
      <c r="F317" s="96"/>
      <c r="G317" s="96"/>
      <c r="H317" s="96"/>
      <c r="I317" s="96"/>
      <c r="J317" s="96"/>
      <c r="K317" s="96"/>
      <c r="L317" s="96">
        <f>IFERROR(__xludf.DUMMYFUNCTION("""COMPUTED_VALUE"""),0.0)</f>
        <v>0</v>
      </c>
      <c r="M317" s="96">
        <f>IFERROR(__xludf.DUMMYFUNCTION("""COMPUTED_VALUE"""),0.0)</f>
        <v>0</v>
      </c>
      <c r="N317" s="96">
        <f>IFERROR(__xludf.DUMMYFUNCTION("""COMPUTED_VALUE"""),0.0)</f>
        <v>0</v>
      </c>
      <c r="O317" s="96">
        <f>IFERROR(__xludf.DUMMYFUNCTION("""COMPUTED_VALUE"""),20000.0)</f>
        <v>20000</v>
      </c>
      <c r="P317" s="129">
        <f>IFERROR(__xludf.DUMMYFUNCTION("""COMPUTED_VALUE"""),0.0)</f>
        <v>0</v>
      </c>
      <c r="Q317" s="99"/>
      <c r="R317" s="99">
        <f>IFERROR(__xludf.DUMMYFUNCTION("""COMPUTED_VALUE"""),370000.0)</f>
        <v>370000</v>
      </c>
    </row>
    <row r="318">
      <c r="B318" s="96">
        <f>IFERROR(__xludf.DUMMYFUNCTION("""COMPUTED_VALUE"""),4.0)</f>
        <v>4</v>
      </c>
      <c r="C318" s="98">
        <f>IFERROR(__xludf.DUMMYFUNCTION("""COMPUTED_VALUE"""),44083.0)</f>
        <v>44083</v>
      </c>
      <c r="D318" s="96" t="str">
        <f>IFERROR(__xludf.DUMMYFUNCTION("""COMPUTED_VALUE"""),"NDOMA NDOMA")</f>
        <v>NDOMA NDOMA</v>
      </c>
      <c r="E318" s="96"/>
      <c r="F318" s="96"/>
      <c r="G318" s="96"/>
      <c r="H318" s="96"/>
      <c r="I318" s="96"/>
      <c r="J318" s="96"/>
      <c r="K318" s="96"/>
      <c r="L318" s="96">
        <f>IFERROR(__xludf.DUMMYFUNCTION("""COMPUTED_VALUE"""),0.0)</f>
        <v>0</v>
      </c>
      <c r="M318" s="96">
        <f>IFERROR(__xludf.DUMMYFUNCTION("""COMPUTED_VALUE"""),0.0)</f>
        <v>0</v>
      </c>
      <c r="N318" s="96">
        <f>IFERROR(__xludf.DUMMYFUNCTION("""COMPUTED_VALUE"""),0.0)</f>
        <v>0</v>
      </c>
      <c r="O318" s="96">
        <f>IFERROR(__xludf.DUMMYFUNCTION("""COMPUTED_VALUE"""),1140000.0)</f>
        <v>1140000</v>
      </c>
      <c r="P318" s="129">
        <f>IFERROR(__xludf.DUMMYFUNCTION("""COMPUTED_VALUE"""),0.0)</f>
        <v>0</v>
      </c>
      <c r="Q318" s="99"/>
      <c r="R318" s="99">
        <f>IFERROR(__xludf.DUMMYFUNCTION("""COMPUTED_VALUE"""),200000.0)</f>
        <v>200000</v>
      </c>
    </row>
    <row r="319">
      <c r="B319" s="96">
        <f>IFERROR(__xludf.DUMMYFUNCTION("""COMPUTED_VALUE"""),3.0)</f>
        <v>3</v>
      </c>
      <c r="C319" s="98">
        <f>IFERROR(__xludf.DUMMYFUNCTION("""COMPUTED_VALUE"""),44083.0)</f>
        <v>44083</v>
      </c>
      <c r="D319" s="96" t="str">
        <f>IFERROR(__xludf.DUMMYFUNCTION("""COMPUTED_VALUE"""),"CONFIDENCE")</f>
        <v>CONFIDENCE</v>
      </c>
      <c r="E319" s="96"/>
      <c r="F319" s="96"/>
      <c r="G319" s="96"/>
      <c r="H319" s="96"/>
      <c r="I319" s="96"/>
      <c r="J319" s="96"/>
      <c r="K319" s="96"/>
      <c r="L319" s="96">
        <f>IFERROR(__xludf.DUMMYFUNCTION("""COMPUTED_VALUE"""),0.0)</f>
        <v>0</v>
      </c>
      <c r="M319" s="96">
        <f>IFERROR(__xludf.DUMMYFUNCTION("""COMPUTED_VALUE"""),0.0)</f>
        <v>0</v>
      </c>
      <c r="N319" s="96">
        <f>IFERROR(__xludf.DUMMYFUNCTION("""COMPUTED_VALUE"""),0.0)</f>
        <v>0</v>
      </c>
      <c r="O319" s="96">
        <f>IFERROR(__xludf.DUMMYFUNCTION("""COMPUTED_VALUE"""),500.0)</f>
        <v>500</v>
      </c>
      <c r="P319" s="129">
        <f>IFERROR(__xludf.DUMMYFUNCTION("""COMPUTED_VALUE"""),0.0)</f>
        <v>0</v>
      </c>
      <c r="Q319" s="99"/>
      <c r="R319" s="99">
        <f>IFERROR(__xludf.DUMMYFUNCTION("""COMPUTED_VALUE"""),320500.0)</f>
        <v>320500</v>
      </c>
    </row>
    <row r="320">
      <c r="B320" s="96">
        <f>IFERROR(__xludf.DUMMYFUNCTION("""COMPUTED_VALUE"""),8.0)</f>
        <v>8</v>
      </c>
      <c r="C320" s="98">
        <f>IFERROR(__xludf.DUMMYFUNCTION("""COMPUTED_VALUE"""),44084.0)</f>
        <v>44084</v>
      </c>
      <c r="D320" s="96" t="str">
        <f>IFERROR(__xludf.DUMMYFUNCTION("""COMPUTED_VALUE"""),"NDOMA PETER")</f>
        <v>NDOMA PETER</v>
      </c>
      <c r="E320" s="96"/>
      <c r="F320" s="96"/>
      <c r="G320" s="96"/>
      <c r="H320" s="96"/>
      <c r="I320" s="96"/>
      <c r="J320" s="96"/>
      <c r="K320" s="96"/>
      <c r="L320" s="96">
        <f>IFERROR(__xludf.DUMMYFUNCTION("""COMPUTED_VALUE"""),0.0)</f>
        <v>0</v>
      </c>
      <c r="M320" s="96">
        <f>IFERROR(__xludf.DUMMYFUNCTION("""COMPUTED_VALUE"""),0.0)</f>
        <v>0</v>
      </c>
      <c r="N320" s="96">
        <f>IFERROR(__xludf.DUMMYFUNCTION("""COMPUTED_VALUE"""),0.0)</f>
        <v>0</v>
      </c>
      <c r="O320" s="96">
        <f>IFERROR(__xludf.DUMMYFUNCTION("""COMPUTED_VALUE"""),200000.0)</f>
        <v>200000</v>
      </c>
      <c r="P320" s="129">
        <f>IFERROR(__xludf.DUMMYFUNCTION("""COMPUTED_VALUE"""),0.0)</f>
        <v>0</v>
      </c>
      <c r="Q320" s="99"/>
      <c r="R320" s="99">
        <f>IFERROR(__xludf.DUMMYFUNCTION("""COMPUTED_VALUE"""),800000.0)</f>
        <v>800000</v>
      </c>
    </row>
    <row r="321">
      <c r="B321" s="96">
        <f>IFERROR(__xludf.DUMMYFUNCTION("""COMPUTED_VALUE"""),4.0)</f>
        <v>4</v>
      </c>
      <c r="C321" s="98">
        <f>IFERROR(__xludf.DUMMYFUNCTION("""COMPUTED_VALUE"""),44084.0)</f>
        <v>44084</v>
      </c>
      <c r="D321" s="96" t="str">
        <f>IFERROR(__xludf.DUMMYFUNCTION("""COMPUTED_VALUE"""),"CONFIDENCE")</f>
        <v>CONFIDENCE</v>
      </c>
      <c r="E321" s="96"/>
      <c r="F321" s="96"/>
      <c r="G321" s="96"/>
      <c r="H321" s="96"/>
      <c r="I321" s="96"/>
      <c r="J321" s="96"/>
      <c r="K321" s="96"/>
      <c r="L321" s="96">
        <f>IFERROR(__xludf.DUMMYFUNCTION("""COMPUTED_VALUE"""),0.0)</f>
        <v>0</v>
      </c>
      <c r="M321" s="96">
        <f>IFERROR(__xludf.DUMMYFUNCTION("""COMPUTED_VALUE"""),0.0)</f>
        <v>0</v>
      </c>
      <c r="N321" s="96">
        <f>IFERROR(__xludf.DUMMYFUNCTION("""COMPUTED_VALUE"""),0.0)</f>
        <v>0</v>
      </c>
      <c r="O321" s="96">
        <f>IFERROR(__xludf.DUMMYFUNCTION("""COMPUTED_VALUE"""),49500.0)</f>
        <v>49500</v>
      </c>
      <c r="P321" s="129">
        <f>IFERROR(__xludf.DUMMYFUNCTION("""COMPUTED_VALUE"""),0.0)</f>
        <v>0</v>
      </c>
      <c r="Q321" s="99"/>
      <c r="R321" s="99">
        <f>IFERROR(__xludf.DUMMYFUNCTION("""COMPUTED_VALUE"""),370000.0)</f>
        <v>370000</v>
      </c>
    </row>
    <row r="322">
      <c r="B322" s="96">
        <f>IFERROR(__xludf.DUMMYFUNCTION("""COMPUTED_VALUE"""),1.0)</f>
        <v>1</v>
      </c>
      <c r="C322" s="98">
        <f>IFERROR(__xludf.DUMMYFUNCTION("""COMPUTED_VALUE"""),44084.0)</f>
        <v>44084</v>
      </c>
      <c r="D322" s="96" t="str">
        <f>IFERROR(__xludf.DUMMYFUNCTION("""COMPUTED_VALUE"""),"ABANGS. HNSON")</f>
        <v>ABANGS. HNSON</v>
      </c>
      <c r="E322" s="96"/>
      <c r="F322" s="96"/>
      <c r="G322" s="96"/>
      <c r="H322" s="96"/>
      <c r="I322" s="96"/>
      <c r="J322" s="96"/>
      <c r="K322" s="96"/>
      <c r="L322" s="96">
        <f>IFERROR(__xludf.DUMMYFUNCTION("""COMPUTED_VALUE"""),0.0)</f>
        <v>0</v>
      </c>
      <c r="M322" s="96">
        <f>IFERROR(__xludf.DUMMYFUNCTION("""COMPUTED_VALUE"""),0.0)</f>
        <v>0</v>
      </c>
      <c r="N322" s="96">
        <f>IFERROR(__xludf.DUMMYFUNCTION("""COMPUTED_VALUE"""),0.0)</f>
        <v>0</v>
      </c>
      <c r="O322" s="96">
        <f>IFERROR(__xludf.DUMMYFUNCTION("""COMPUTED_VALUE"""),74000.0)</f>
        <v>74000</v>
      </c>
      <c r="P322" s="129">
        <f>IFERROR(__xludf.DUMMYFUNCTION("""COMPUTED_VALUE"""),0.0)</f>
        <v>0</v>
      </c>
      <c r="Q322" s="99"/>
      <c r="R322" s="99">
        <f>IFERROR(__xludf.DUMMYFUNCTION("""COMPUTED_VALUE"""),74000.0)</f>
        <v>74000</v>
      </c>
    </row>
    <row r="323">
      <c r="B323" s="96">
        <f>IFERROR(__xludf.DUMMYFUNCTION("""COMPUTED_VALUE"""),2.0)</f>
        <v>2</v>
      </c>
      <c r="C323" s="98">
        <f>IFERROR(__xludf.DUMMYFUNCTION("""COMPUTED_VALUE"""),44085.0)</f>
        <v>44085</v>
      </c>
      <c r="D323" s="96" t="str">
        <f>IFERROR(__xludf.DUMMYFUNCTION("""COMPUTED_VALUE"""),"ABANG. BEN OLUM")</f>
        <v>ABANG. BEN OLUM</v>
      </c>
      <c r="E323" s="96"/>
      <c r="F323" s="96"/>
      <c r="G323" s="96"/>
      <c r="H323" s="96"/>
      <c r="I323" s="96"/>
      <c r="J323" s="96"/>
      <c r="K323" s="96"/>
      <c r="L323" s="96">
        <f>IFERROR(__xludf.DUMMYFUNCTION("""COMPUTED_VALUE"""),0.0)</f>
        <v>0</v>
      </c>
      <c r="M323" s="96">
        <f>IFERROR(__xludf.DUMMYFUNCTION("""COMPUTED_VALUE"""),0.0)</f>
        <v>0</v>
      </c>
      <c r="N323" s="96">
        <f>IFERROR(__xludf.DUMMYFUNCTION("""COMPUTED_VALUE"""),0.0)</f>
        <v>0</v>
      </c>
      <c r="O323" s="96"/>
      <c r="P323" s="129">
        <f>IFERROR(__xludf.DUMMYFUNCTION("""COMPUTED_VALUE"""),0.0)</f>
        <v>0</v>
      </c>
      <c r="Q323" s="99">
        <f>IFERROR(__xludf.DUMMYFUNCTION("""COMPUTED_VALUE"""),920000.0)</f>
        <v>920000</v>
      </c>
      <c r="R323" s="99">
        <f>IFERROR(__xludf.DUMMYFUNCTION("""COMPUTED_VALUE"""),0.0)</f>
        <v>0</v>
      </c>
    </row>
    <row r="324">
      <c r="B324" s="96">
        <f>IFERROR(__xludf.DUMMYFUNCTION("""COMPUTED_VALUE"""),2.0)</f>
        <v>2</v>
      </c>
      <c r="C324" s="98">
        <f>IFERROR(__xludf.DUMMYFUNCTION("""COMPUTED_VALUE"""),44085.0)</f>
        <v>44085</v>
      </c>
      <c r="D324" s="96" t="str">
        <f>IFERROR(__xludf.DUMMYFUNCTION("""COMPUTED_VALUE"""),"ABANG. EDET")</f>
        <v>ABANG. EDET</v>
      </c>
      <c r="E324" s="96"/>
      <c r="F324" s="96"/>
      <c r="G324" s="96"/>
      <c r="H324" s="96"/>
      <c r="I324" s="96"/>
      <c r="J324" s="96"/>
      <c r="K324" s="96"/>
      <c r="L324" s="96">
        <f>IFERROR(__xludf.DUMMYFUNCTION("""COMPUTED_VALUE"""),0.0)</f>
        <v>0</v>
      </c>
      <c r="M324" s="96">
        <f>IFERROR(__xludf.DUMMYFUNCTION("""COMPUTED_VALUE"""),0.0)</f>
        <v>0</v>
      </c>
      <c r="N324" s="96">
        <f>IFERROR(__xludf.DUMMYFUNCTION("""COMPUTED_VALUE"""),0.0)</f>
        <v>0</v>
      </c>
      <c r="O324" s="96"/>
      <c r="P324" s="129">
        <f>IFERROR(__xludf.DUMMYFUNCTION("""COMPUTED_VALUE"""),0.0)</f>
        <v>0</v>
      </c>
      <c r="Q324" s="99">
        <f>IFERROR(__xludf.DUMMYFUNCTION("""COMPUTED_VALUE"""),1000.0)</f>
        <v>1000</v>
      </c>
      <c r="R324" s="99">
        <f>IFERROR(__xludf.DUMMYFUNCTION("""COMPUTED_VALUE"""),0.0)</f>
        <v>0</v>
      </c>
    </row>
    <row r="325">
      <c r="B325" s="96">
        <f>IFERROR(__xludf.DUMMYFUNCTION("""COMPUTED_VALUE"""),2.0)</f>
        <v>2</v>
      </c>
      <c r="C325" s="98">
        <f>IFERROR(__xludf.DUMMYFUNCTION("""COMPUTED_VALUE"""),44085.0)</f>
        <v>44085</v>
      </c>
      <c r="D325" s="96" t="str">
        <f>IFERROR(__xludf.DUMMYFUNCTION("""COMPUTED_VALUE"""),"ABANG. DUNLOP")</f>
        <v>ABANG. DUNLOP</v>
      </c>
      <c r="E325" s="96"/>
      <c r="F325" s="96"/>
      <c r="G325" s="96"/>
      <c r="H325" s="96"/>
      <c r="I325" s="96"/>
      <c r="J325" s="96"/>
      <c r="K325" s="96"/>
      <c r="L325" s="96">
        <f>IFERROR(__xludf.DUMMYFUNCTION("""COMPUTED_VALUE"""),0.0)</f>
        <v>0</v>
      </c>
      <c r="M325" s="96">
        <f>IFERROR(__xludf.DUMMYFUNCTION("""COMPUTED_VALUE"""),0.0)</f>
        <v>0</v>
      </c>
      <c r="N325" s="96">
        <f>IFERROR(__xludf.DUMMYFUNCTION("""COMPUTED_VALUE"""),0.0)</f>
        <v>0</v>
      </c>
      <c r="O325" s="96"/>
      <c r="P325" s="129">
        <f>IFERROR(__xludf.DUMMYFUNCTION("""COMPUTED_VALUE"""),0.0)</f>
        <v>0</v>
      </c>
      <c r="Q325" s="99">
        <f>IFERROR(__xludf.DUMMYFUNCTION("""COMPUTED_VALUE"""),800000.0)</f>
        <v>800000</v>
      </c>
      <c r="R325" s="99">
        <f>IFERROR(__xludf.DUMMYFUNCTION("""COMPUTED_VALUE"""),0.0)</f>
        <v>0</v>
      </c>
    </row>
    <row r="326">
      <c r="B326" s="96">
        <f>IFERROR(__xludf.DUMMYFUNCTION("""COMPUTED_VALUE"""),4.0)</f>
        <v>4</v>
      </c>
      <c r="C326" s="98">
        <f>IFERROR(__xludf.DUMMYFUNCTION("""COMPUTED_VALUE"""),44085.0)</f>
        <v>44085</v>
      </c>
      <c r="D326" s="96" t="str">
        <f>IFERROR(__xludf.DUMMYFUNCTION("""COMPUTED_VALUE"""),"OBIM TIWA HNSON")</f>
        <v>OBIM TIWA HNSON</v>
      </c>
      <c r="E326" s="96"/>
      <c r="F326" s="96"/>
      <c r="G326" s="96"/>
      <c r="H326" s="96"/>
      <c r="I326" s="96"/>
      <c r="J326" s="96"/>
      <c r="K326" s="96"/>
      <c r="L326" s="96">
        <f>IFERROR(__xludf.DUMMYFUNCTION("""COMPUTED_VALUE"""),0.0)</f>
        <v>0</v>
      </c>
      <c r="M326" s="96">
        <f>IFERROR(__xludf.DUMMYFUNCTION("""COMPUTED_VALUE"""),0.0)</f>
        <v>0</v>
      </c>
      <c r="N326" s="96">
        <f>IFERROR(__xludf.DUMMYFUNCTION("""COMPUTED_VALUE"""),0.0)</f>
        <v>0</v>
      </c>
      <c r="O326" s="96"/>
      <c r="P326" s="129">
        <f>IFERROR(__xludf.DUMMYFUNCTION("""COMPUTED_VALUE"""),0.0)</f>
        <v>0</v>
      </c>
      <c r="Q326" s="99">
        <f>IFERROR(__xludf.DUMMYFUNCTION("""COMPUTED_VALUE"""),610000.0)</f>
        <v>610000</v>
      </c>
      <c r="R326" s="99">
        <f>IFERROR(__xludf.DUMMYFUNCTION("""COMPUTED_VALUE"""),0.0)</f>
        <v>0</v>
      </c>
    </row>
    <row r="327">
      <c r="B327" s="96">
        <f>IFERROR(__xludf.DUMMYFUNCTION("""COMPUTED_VALUE"""),3.0)</f>
        <v>3</v>
      </c>
      <c r="C327" s="98">
        <f>IFERROR(__xludf.DUMMYFUNCTION("""COMPUTED_VALUE"""),44085.0)</f>
        <v>44085</v>
      </c>
      <c r="D327" s="96" t="str">
        <f>IFERROR(__xludf.DUMMYFUNCTION("""COMPUTED_VALUE"""),"RI SAMP")</f>
        <v>RI SAMP</v>
      </c>
      <c r="E327" s="96"/>
      <c r="F327" s="96"/>
      <c r="G327" s="96"/>
      <c r="H327" s="96"/>
      <c r="I327" s="96"/>
      <c r="J327" s="96"/>
      <c r="K327" s="96"/>
      <c r="L327" s="96">
        <f>IFERROR(__xludf.DUMMYFUNCTION("""COMPUTED_VALUE"""),0.0)</f>
        <v>0</v>
      </c>
      <c r="M327" s="96">
        <f>IFERROR(__xludf.DUMMYFUNCTION("""COMPUTED_VALUE"""),0.0)</f>
        <v>0</v>
      </c>
      <c r="N327" s="96">
        <f>IFERROR(__xludf.DUMMYFUNCTION("""COMPUTED_VALUE"""),0.0)</f>
        <v>0</v>
      </c>
      <c r="O327" s="96"/>
      <c r="P327" s="129">
        <f>IFERROR(__xludf.DUMMYFUNCTION("""COMPUTED_VALUE"""),0.0)</f>
        <v>0</v>
      </c>
      <c r="Q327" s="99">
        <f>IFERROR(__xludf.DUMMYFUNCTION("""COMPUTED_VALUE"""),429600.0)</f>
        <v>429600</v>
      </c>
      <c r="R327" s="99">
        <f>IFERROR(__xludf.DUMMYFUNCTION("""COMPUTED_VALUE"""),1000000.0)</f>
        <v>1000000</v>
      </c>
    </row>
    <row r="328">
      <c r="B328" s="96">
        <f>IFERROR(__xludf.DUMMYFUNCTION("""COMPUTED_VALUE"""),7.0)</f>
        <v>7</v>
      </c>
      <c r="C328" s="98">
        <f>IFERROR(__xludf.DUMMYFUNCTION("""COMPUTED_VALUE"""),44085.0)</f>
        <v>44085</v>
      </c>
      <c r="D328" s="96" t="str">
        <f>IFERROR(__xludf.DUMMYFUNCTION("""COMPUTED_VALUE"""),"REMMY BODES")</f>
        <v>REMMY BODES</v>
      </c>
      <c r="E328" s="96"/>
      <c r="F328" s="96"/>
      <c r="G328" s="96"/>
      <c r="H328" s="96"/>
      <c r="I328" s="96"/>
      <c r="J328" s="96"/>
      <c r="K328" s="96"/>
      <c r="L328" s="96">
        <f>IFERROR(__xludf.DUMMYFUNCTION("""COMPUTED_VALUE"""),0.0)</f>
        <v>0</v>
      </c>
      <c r="M328" s="96">
        <f>IFERROR(__xludf.DUMMYFUNCTION("""COMPUTED_VALUE"""),0.0)</f>
        <v>0</v>
      </c>
      <c r="N328" s="96">
        <f>IFERROR(__xludf.DUMMYFUNCTION("""COMPUTED_VALUE"""),0.0)</f>
        <v>0</v>
      </c>
      <c r="O328" s="96"/>
      <c r="P328" s="129">
        <f>IFERROR(__xludf.DUMMYFUNCTION("""COMPUTED_VALUE"""),0.0)</f>
        <v>0</v>
      </c>
      <c r="Q328" s="99">
        <f>IFERROR(__xludf.DUMMYFUNCTION("""COMPUTED_VALUE"""),801060.0)</f>
        <v>801060</v>
      </c>
      <c r="R328" s="99">
        <f>IFERROR(__xludf.DUMMYFUNCTION("""COMPUTED_VALUE"""),843000.0)</f>
        <v>843000</v>
      </c>
    </row>
    <row r="329">
      <c r="B329" s="96">
        <f>IFERROR(__xludf.DUMMYFUNCTION("""COMPUTED_VALUE"""),10.0)</f>
        <v>10</v>
      </c>
      <c r="C329" s="98">
        <f>IFERROR(__xludf.DUMMYFUNCTION("""COMPUTED_VALUE"""),44085.0)</f>
        <v>44085</v>
      </c>
      <c r="D329" s="96" t="str">
        <f>IFERROR(__xludf.DUMMYFUNCTION("""COMPUTED_VALUE"""),"ALFRED ALABI")</f>
        <v>ALFRED ALABI</v>
      </c>
      <c r="E329" s="96"/>
      <c r="F329" s="96"/>
      <c r="G329" s="96"/>
      <c r="H329" s="96"/>
      <c r="I329" s="96"/>
      <c r="J329" s="96"/>
      <c r="K329" s="96"/>
      <c r="L329" s="96">
        <f>IFERROR(__xludf.DUMMYFUNCTION("""COMPUTED_VALUE"""),0.0)</f>
        <v>0</v>
      </c>
      <c r="M329" s="96">
        <f>IFERROR(__xludf.DUMMYFUNCTION("""COMPUTED_VALUE"""),0.0)</f>
        <v>0</v>
      </c>
      <c r="N329" s="96">
        <f>IFERROR(__xludf.DUMMYFUNCTION("""COMPUTED_VALUE"""),0.0)</f>
        <v>0</v>
      </c>
      <c r="O329" s="96"/>
      <c r="P329" s="129">
        <f>IFERROR(__xludf.DUMMYFUNCTION("""COMPUTED_VALUE"""),0.0)</f>
        <v>0</v>
      </c>
      <c r="Q329" s="99">
        <f>IFERROR(__xludf.DUMMYFUNCTION("""COMPUTED_VALUE"""),463000.0)</f>
        <v>463000</v>
      </c>
      <c r="R329" s="99">
        <f>IFERROR(__xludf.DUMMYFUNCTION("""COMPUTED_VALUE"""),1000020.0)</f>
        <v>1000020</v>
      </c>
    </row>
    <row r="330">
      <c r="B330" s="96">
        <f>IFERROR(__xludf.DUMMYFUNCTION("""COMPUTED_VALUE"""),3.0)</f>
        <v>3</v>
      </c>
      <c r="C330" s="98">
        <f>IFERROR(__xludf.DUMMYFUNCTION("""COMPUTED_VALUE"""),44085.0)</f>
        <v>44085</v>
      </c>
      <c r="D330" s="96" t="str">
        <f>IFERROR(__xludf.DUMMYFUNCTION("""COMPUTED_VALUE"""),"OMODION")</f>
        <v>OMODION</v>
      </c>
      <c r="E330" s="96"/>
      <c r="F330" s="96"/>
      <c r="G330" s="96"/>
      <c r="H330" s="96"/>
      <c r="I330" s="96"/>
      <c r="J330" s="96"/>
      <c r="K330" s="96"/>
      <c r="L330" s="96">
        <f>IFERROR(__xludf.DUMMYFUNCTION("""COMPUTED_VALUE"""),0.0)</f>
        <v>0</v>
      </c>
      <c r="M330" s="96">
        <f>IFERROR(__xludf.DUMMYFUNCTION("""COMPUTED_VALUE"""),0.0)</f>
        <v>0</v>
      </c>
      <c r="N330" s="96">
        <f>IFERROR(__xludf.DUMMYFUNCTION("""COMPUTED_VALUE"""),0.0)</f>
        <v>0</v>
      </c>
      <c r="O330" s="96"/>
      <c r="P330" s="129">
        <f>IFERROR(__xludf.DUMMYFUNCTION("""COMPUTED_VALUE"""),0.0)</f>
        <v>0</v>
      </c>
      <c r="Q330" s="99">
        <f>IFERROR(__xludf.DUMMYFUNCTION("""COMPUTED_VALUE"""),530000.0)</f>
        <v>530000</v>
      </c>
      <c r="R330" s="99">
        <f>IFERROR(__xludf.DUMMYFUNCTION("""COMPUTED_VALUE"""),300000.0)</f>
        <v>300000</v>
      </c>
    </row>
    <row r="331">
      <c r="B331" s="96">
        <f>IFERROR(__xludf.DUMMYFUNCTION("""COMPUTED_VALUE"""),7.0)</f>
        <v>7</v>
      </c>
      <c r="C331" s="98">
        <f>IFERROR(__xludf.DUMMYFUNCTION("""COMPUTED_VALUE"""),44085.0)</f>
        <v>44085</v>
      </c>
      <c r="D331" s="96" t="str">
        <f>IFERROR(__xludf.DUMMYFUNCTION("""COMPUTED_VALUE"""),"EMMANUEL OKO ")</f>
        <v>EMMANUEL OKO </v>
      </c>
      <c r="E331" s="96"/>
      <c r="F331" s="96"/>
      <c r="G331" s="96"/>
      <c r="H331" s="96"/>
      <c r="I331" s="96"/>
      <c r="J331" s="96"/>
      <c r="K331" s="96"/>
      <c r="L331" s="96">
        <f>IFERROR(__xludf.DUMMYFUNCTION("""COMPUTED_VALUE"""),0.0)</f>
        <v>0</v>
      </c>
      <c r="M331" s="96">
        <f>IFERROR(__xludf.DUMMYFUNCTION("""COMPUTED_VALUE"""),0.0)</f>
        <v>0</v>
      </c>
      <c r="N331" s="96">
        <f>IFERROR(__xludf.DUMMYFUNCTION("""COMPUTED_VALUE"""),0.0)</f>
        <v>0</v>
      </c>
      <c r="O331" s="96"/>
      <c r="P331" s="129">
        <f>IFERROR(__xludf.DUMMYFUNCTION("""COMPUTED_VALUE"""),0.0)</f>
        <v>0</v>
      </c>
      <c r="Q331" s="99">
        <f>IFERROR(__xludf.DUMMYFUNCTION("""COMPUTED_VALUE"""),636750.0)</f>
        <v>636750</v>
      </c>
      <c r="R331" s="99">
        <f>IFERROR(__xludf.DUMMYFUNCTION("""COMPUTED_VALUE"""),1040000.0)</f>
        <v>1040000</v>
      </c>
    </row>
    <row r="332">
      <c r="B332" s="96">
        <f>IFERROR(__xludf.DUMMYFUNCTION("""COMPUTED_VALUE"""),6.0)</f>
        <v>6</v>
      </c>
      <c r="C332" s="98">
        <f>IFERROR(__xludf.DUMMYFUNCTION("""COMPUTED_VALUE"""),44085.0)</f>
        <v>44085</v>
      </c>
      <c r="D332" s="96" t="str">
        <f>IFERROR(__xludf.DUMMYFUNCTION("""COMPUTED_VALUE"""),"EUGENE")</f>
        <v>EUGENE</v>
      </c>
      <c r="E332" s="96"/>
      <c r="F332" s="96"/>
      <c r="G332" s="96"/>
      <c r="H332" s="96"/>
      <c r="I332" s="96"/>
      <c r="J332" s="96"/>
      <c r="K332" s="96"/>
      <c r="L332" s="96">
        <f>IFERROR(__xludf.DUMMYFUNCTION("""COMPUTED_VALUE"""),0.0)</f>
        <v>0</v>
      </c>
      <c r="M332" s="96">
        <f>IFERROR(__xludf.DUMMYFUNCTION("""COMPUTED_VALUE"""),0.0)</f>
        <v>0</v>
      </c>
      <c r="N332" s="96">
        <f>IFERROR(__xludf.DUMMYFUNCTION("""COMPUTED_VALUE"""),0.0)</f>
        <v>0</v>
      </c>
      <c r="O332" s="96"/>
      <c r="P332" s="129">
        <f>IFERROR(__xludf.DUMMYFUNCTION("""COMPUTED_VALUE"""),0.0)</f>
        <v>0</v>
      </c>
      <c r="Q332" s="99">
        <f>IFERROR(__xludf.DUMMYFUNCTION("""COMPUTED_VALUE"""),81200.0)</f>
        <v>81200</v>
      </c>
      <c r="R332" s="99">
        <f>IFERROR(__xludf.DUMMYFUNCTION("""COMPUTED_VALUE"""),1050000.0)</f>
        <v>1050000</v>
      </c>
    </row>
    <row r="333">
      <c r="B333" s="96">
        <f>IFERROR(__xludf.DUMMYFUNCTION("""COMPUTED_VALUE"""),5.0)</f>
        <v>5</v>
      </c>
      <c r="C333" s="98">
        <f>IFERROR(__xludf.DUMMYFUNCTION("""COMPUTED_VALUE"""),44085.0)</f>
        <v>44085</v>
      </c>
      <c r="D333" s="96" t="str">
        <f>IFERROR(__xludf.DUMMYFUNCTION("""COMPUTED_VALUE"""),"MAXWELL AGRO OBI")</f>
        <v>MAXWELL AGRO OBI</v>
      </c>
      <c r="E333" s="96"/>
      <c r="F333" s="96"/>
      <c r="G333" s="96"/>
      <c r="H333" s="96"/>
      <c r="I333" s="96"/>
      <c r="J333" s="96"/>
      <c r="K333" s="96"/>
      <c r="L333" s="96">
        <f>IFERROR(__xludf.DUMMYFUNCTION("""COMPUTED_VALUE"""),0.0)</f>
        <v>0</v>
      </c>
      <c r="M333" s="96">
        <f>IFERROR(__xludf.DUMMYFUNCTION("""COMPUTED_VALUE"""),0.0)</f>
        <v>0</v>
      </c>
      <c r="N333" s="96">
        <f>IFERROR(__xludf.DUMMYFUNCTION("""COMPUTED_VALUE"""),0.0)</f>
        <v>0</v>
      </c>
      <c r="O333" s="96"/>
      <c r="P333" s="129">
        <f>IFERROR(__xludf.DUMMYFUNCTION("""COMPUTED_VALUE"""),0.0)</f>
        <v>0</v>
      </c>
      <c r="Q333" s="99">
        <f>IFERROR(__xludf.DUMMYFUNCTION("""COMPUTED_VALUE"""),253520.0)</f>
        <v>253520</v>
      </c>
      <c r="R333" s="99">
        <f>IFERROR(__xludf.DUMMYFUNCTION("""COMPUTED_VALUE"""),500000.0)</f>
        <v>500000</v>
      </c>
    </row>
    <row r="334">
      <c r="B334" s="96">
        <f>IFERROR(__xludf.DUMMYFUNCTION("""COMPUTED_VALUE"""),16.0)</f>
        <v>16</v>
      </c>
      <c r="C334" s="98">
        <f>IFERROR(__xludf.DUMMYFUNCTION("""COMPUTED_VALUE"""),44085.0)</f>
        <v>44085</v>
      </c>
      <c r="D334" s="96" t="str">
        <f>IFERROR(__xludf.DUMMYFUNCTION("""COMPUTED_VALUE"""),"BOSURU  BOSURU")</f>
        <v>BOSURU  BOSURU</v>
      </c>
      <c r="E334" s="96"/>
      <c r="F334" s="96"/>
      <c r="G334" s="96"/>
      <c r="H334" s="96"/>
      <c r="I334" s="96"/>
      <c r="J334" s="96"/>
      <c r="K334" s="96"/>
      <c r="L334" s="96">
        <f>IFERROR(__xludf.DUMMYFUNCTION("""COMPUTED_VALUE"""),0.0)</f>
        <v>0</v>
      </c>
      <c r="M334" s="96">
        <f>IFERROR(__xludf.DUMMYFUNCTION("""COMPUTED_VALUE"""),0.0)</f>
        <v>0</v>
      </c>
      <c r="N334" s="96">
        <f>IFERROR(__xludf.DUMMYFUNCTION("""COMPUTED_VALUE"""),0.0)</f>
        <v>0</v>
      </c>
      <c r="O334" s="96">
        <f>IFERROR(__xludf.DUMMYFUNCTION("""COMPUTED_VALUE"""),500000.0)</f>
        <v>500000</v>
      </c>
      <c r="P334" s="129">
        <f>IFERROR(__xludf.DUMMYFUNCTION("""COMPUTED_VALUE"""),0.0)</f>
        <v>0</v>
      </c>
      <c r="Q334" s="99"/>
      <c r="R334" s="99">
        <f>IFERROR(__xludf.DUMMYFUNCTION("""COMPUTED_VALUE"""),1499700.0)</f>
        <v>1499700</v>
      </c>
    </row>
    <row r="335">
      <c r="B335" s="96">
        <f>IFERROR(__xludf.DUMMYFUNCTION("""COMPUTED_VALUE"""),12.0)</f>
        <v>12</v>
      </c>
      <c r="C335" s="98">
        <f>IFERROR(__xludf.DUMMYFUNCTION("""COMPUTED_VALUE"""),44085.0)</f>
        <v>44085</v>
      </c>
      <c r="D335" s="96" t="str">
        <f>IFERROR(__xludf.DUMMYFUNCTION("""COMPUTED_VALUE""")," MAXWELL AGRO")</f>
        <v> MAXWELL AGRO</v>
      </c>
      <c r="E335" s="96"/>
      <c r="F335" s="96"/>
      <c r="G335" s="96"/>
      <c r="H335" s="96"/>
      <c r="I335" s="96"/>
      <c r="J335" s="96"/>
      <c r="K335" s="96"/>
      <c r="L335" s="96">
        <f>IFERROR(__xludf.DUMMYFUNCTION("""COMPUTED_VALUE"""),0.0)</f>
        <v>0</v>
      </c>
      <c r="M335" s="96">
        <f>IFERROR(__xludf.DUMMYFUNCTION("""COMPUTED_VALUE"""),0.0)</f>
        <v>0</v>
      </c>
      <c r="N335" s="96">
        <f>IFERROR(__xludf.DUMMYFUNCTION("""COMPUTED_VALUE"""),0.0)</f>
        <v>0</v>
      </c>
      <c r="O335" s="96">
        <f>IFERROR(__xludf.DUMMYFUNCTION("""COMPUTED_VALUE"""),192580.0)</f>
        <v>192580</v>
      </c>
      <c r="P335" s="129">
        <f>IFERROR(__xludf.DUMMYFUNCTION("""COMPUTED_VALUE"""),0.0)</f>
        <v>0</v>
      </c>
      <c r="Q335" s="99"/>
      <c r="R335" s="99">
        <f>IFERROR(__xludf.DUMMYFUNCTION("""COMPUTED_VALUE"""),500000.0)</f>
        <v>500000</v>
      </c>
    </row>
    <row r="336">
      <c r="B336" s="96">
        <f>IFERROR(__xludf.DUMMYFUNCTION("""COMPUTED_VALUE"""),5.0)</f>
        <v>5</v>
      </c>
      <c r="C336" s="98">
        <f>IFERROR(__xludf.DUMMYFUNCTION("""COMPUTED_VALUE"""),44085.0)</f>
        <v>44085</v>
      </c>
      <c r="D336" s="96" t="str">
        <f>IFERROR(__xludf.DUMMYFUNCTION("""COMPUTED_VALUE"""),"NDOMA NDOMA")</f>
        <v>NDOMA NDOMA</v>
      </c>
      <c r="E336" s="96"/>
      <c r="F336" s="96"/>
      <c r="G336" s="96"/>
      <c r="H336" s="96"/>
      <c r="I336" s="96"/>
      <c r="J336" s="96"/>
      <c r="K336" s="96"/>
      <c r="L336" s="96">
        <f>IFERROR(__xludf.DUMMYFUNCTION("""COMPUTED_VALUE"""),0.0)</f>
        <v>0</v>
      </c>
      <c r="M336" s="96">
        <f>IFERROR(__xludf.DUMMYFUNCTION("""COMPUTED_VALUE"""),0.0)</f>
        <v>0</v>
      </c>
      <c r="N336" s="96">
        <f>IFERROR(__xludf.DUMMYFUNCTION("""COMPUTED_VALUE"""),0.0)</f>
        <v>0</v>
      </c>
      <c r="O336" s="96">
        <f>IFERROR(__xludf.DUMMYFUNCTION("""COMPUTED_VALUE"""),790000.0)</f>
        <v>790000</v>
      </c>
      <c r="P336" s="129">
        <f>IFERROR(__xludf.DUMMYFUNCTION("""COMPUTED_VALUE"""),0.0)</f>
        <v>0</v>
      </c>
      <c r="Q336" s="99"/>
      <c r="R336" s="99">
        <f>IFERROR(__xludf.DUMMYFUNCTION("""COMPUTED_VALUE"""),990000.0)</f>
        <v>990000</v>
      </c>
    </row>
    <row r="337">
      <c r="B337" s="96">
        <f>IFERROR(__xludf.DUMMYFUNCTION("""COMPUTED_VALUE"""),6.0)</f>
        <v>6</v>
      </c>
      <c r="C337" s="98">
        <f>IFERROR(__xludf.DUMMYFUNCTION("""COMPUTED_VALUE"""),44085.0)</f>
        <v>44085</v>
      </c>
      <c r="D337" s="96" t="str">
        <f>IFERROR(__xludf.DUMMYFUNCTION("""COMPUTED_VALUE"""),"AUGUSTINE IGBA")</f>
        <v>AUGUSTINE IGBA</v>
      </c>
      <c r="E337" s="96"/>
      <c r="F337" s="96"/>
      <c r="G337" s="96"/>
      <c r="H337" s="96"/>
      <c r="I337" s="96"/>
      <c r="J337" s="96"/>
      <c r="K337" s="96"/>
      <c r="L337" s="96">
        <f>IFERROR(__xludf.DUMMYFUNCTION("""COMPUTED_VALUE"""),0.0)</f>
        <v>0</v>
      </c>
      <c r="M337" s="96">
        <f>IFERROR(__xludf.DUMMYFUNCTION("""COMPUTED_VALUE"""),0.0)</f>
        <v>0</v>
      </c>
      <c r="N337" s="96">
        <f>IFERROR(__xludf.DUMMYFUNCTION("""COMPUTED_VALUE"""),0.0)</f>
        <v>0</v>
      </c>
      <c r="O337" s="96">
        <f>IFERROR(__xludf.DUMMYFUNCTION("""COMPUTED_VALUE"""),3000000.0)</f>
        <v>3000000</v>
      </c>
      <c r="P337" s="129">
        <f>IFERROR(__xludf.DUMMYFUNCTION("""COMPUTED_VALUE"""),0.0)</f>
        <v>0</v>
      </c>
      <c r="Q337" s="99"/>
      <c r="R337" s="99">
        <f>IFERROR(__xludf.DUMMYFUNCTION("""COMPUTED_VALUE"""),2.713414E7)</f>
        <v>27134140</v>
      </c>
    </row>
    <row r="338">
      <c r="B338" s="96">
        <f>IFERROR(__xludf.DUMMYFUNCTION("""COMPUTED_VALUE"""),3.0)</f>
        <v>3</v>
      </c>
      <c r="C338" s="98">
        <f>IFERROR(__xludf.DUMMYFUNCTION("""COMPUTED_VALUE"""),44085.0)</f>
        <v>44085</v>
      </c>
      <c r="D338" s="96" t="str">
        <f>IFERROR(__xludf.DUMMYFUNCTION("""COMPUTED_VALUE"""),"PAPA AJASCO BETTE")</f>
        <v>PAPA AJASCO BETTE</v>
      </c>
      <c r="E338" s="96"/>
      <c r="F338" s="96"/>
      <c r="G338" s="96"/>
      <c r="H338" s="96"/>
      <c r="I338" s="96"/>
      <c r="J338" s="96"/>
      <c r="K338" s="96"/>
      <c r="L338" s="96">
        <f>IFERROR(__xludf.DUMMYFUNCTION("""COMPUTED_VALUE"""),0.0)</f>
        <v>0</v>
      </c>
      <c r="M338" s="96">
        <f>IFERROR(__xludf.DUMMYFUNCTION("""COMPUTED_VALUE"""),0.0)</f>
        <v>0</v>
      </c>
      <c r="N338" s="96">
        <f>IFERROR(__xludf.DUMMYFUNCTION("""COMPUTED_VALUE"""),0.0)</f>
        <v>0</v>
      </c>
      <c r="O338" s="96">
        <f>IFERROR(__xludf.DUMMYFUNCTION("""COMPUTED_VALUE"""),160000.0)</f>
        <v>160000</v>
      </c>
      <c r="P338" s="129">
        <f>IFERROR(__xludf.DUMMYFUNCTION("""COMPUTED_VALUE"""),0.0)</f>
        <v>0</v>
      </c>
      <c r="Q338" s="99"/>
      <c r="R338" s="99">
        <f>IFERROR(__xludf.DUMMYFUNCTION("""COMPUTED_VALUE"""),380000.0)</f>
        <v>380000</v>
      </c>
    </row>
    <row r="339">
      <c r="B339" s="96">
        <f>IFERROR(__xludf.DUMMYFUNCTION("""COMPUTED_VALUE"""),5.0)</f>
        <v>5</v>
      </c>
      <c r="C339" s="98">
        <f>IFERROR(__xludf.DUMMYFUNCTION("""COMPUTED_VALUE"""),44085.0)</f>
        <v>44085</v>
      </c>
      <c r="D339" s="96" t="str">
        <f>IFERROR(__xludf.DUMMYFUNCTION("""COMPUTED_VALUE"""),"CONFIDENCE")</f>
        <v>CONFIDENCE</v>
      </c>
      <c r="E339" s="96"/>
      <c r="F339" s="96"/>
      <c r="G339" s="96"/>
      <c r="H339" s="96"/>
      <c r="I339" s="96"/>
      <c r="J339" s="96"/>
      <c r="K339" s="96"/>
      <c r="L339" s="96">
        <f>IFERROR(__xludf.DUMMYFUNCTION("""COMPUTED_VALUE"""),0.0)</f>
        <v>0</v>
      </c>
      <c r="M339" s="96">
        <f>IFERROR(__xludf.DUMMYFUNCTION("""COMPUTED_VALUE"""),0.0)</f>
        <v>0</v>
      </c>
      <c r="N339" s="96">
        <f>IFERROR(__xludf.DUMMYFUNCTION("""COMPUTED_VALUE"""),0.0)</f>
        <v>0</v>
      </c>
      <c r="O339" s="96">
        <f>IFERROR(__xludf.DUMMYFUNCTION("""COMPUTED_VALUE"""),1930000.0)</f>
        <v>1930000</v>
      </c>
      <c r="P339" s="129">
        <f>IFERROR(__xludf.DUMMYFUNCTION("""COMPUTED_VALUE"""),0.0)</f>
        <v>0</v>
      </c>
      <c r="Q339" s="99"/>
      <c r="R339" s="99">
        <f>IFERROR(__xludf.DUMMYFUNCTION("""COMPUTED_VALUE"""),2300000.0)</f>
        <v>2300000</v>
      </c>
    </row>
    <row r="340">
      <c r="B340" s="96">
        <f>IFERROR(__xludf.DUMMYFUNCTION("""COMPUTED_VALUE"""),12.0)</f>
        <v>12</v>
      </c>
      <c r="C340" s="98">
        <f>IFERROR(__xludf.DUMMYFUNCTION("""COMPUTED_VALUE"""),44085.0)</f>
        <v>44085</v>
      </c>
      <c r="D340" s="96" t="str">
        <f>IFERROR(__xludf.DUMMYFUNCTION("""COMPUTED_VALUE"""),"EDWARD OKO")</f>
        <v>EDWARD OKO</v>
      </c>
      <c r="E340" s="96"/>
      <c r="F340" s="96"/>
      <c r="G340" s="96"/>
      <c r="H340" s="96"/>
      <c r="I340" s="96"/>
      <c r="J340" s="96"/>
      <c r="K340" s="96"/>
      <c r="L340" s="96">
        <f>IFERROR(__xludf.DUMMYFUNCTION("""COMPUTED_VALUE"""),0.0)</f>
        <v>0</v>
      </c>
      <c r="M340" s="96">
        <f>IFERROR(__xludf.DUMMYFUNCTION("""COMPUTED_VALUE"""),0.0)</f>
        <v>0</v>
      </c>
      <c r="N340" s="96">
        <f>IFERROR(__xludf.DUMMYFUNCTION("""COMPUTED_VALUE"""),0.0)</f>
        <v>0</v>
      </c>
      <c r="O340" s="96">
        <f>IFERROR(__xludf.DUMMYFUNCTION("""COMPUTED_VALUE"""),9500000.0)</f>
        <v>9500000</v>
      </c>
      <c r="P340" s="129">
        <f>IFERROR(__xludf.DUMMYFUNCTION("""COMPUTED_VALUE"""),0.0)</f>
        <v>0</v>
      </c>
      <c r="Q340" s="99"/>
      <c r="R340" s="99">
        <f>IFERROR(__xludf.DUMMYFUNCTION("""COMPUTED_VALUE"""),4883490.0)</f>
        <v>4883490</v>
      </c>
    </row>
    <row r="341">
      <c r="B341" s="96">
        <f>IFERROR(__xludf.DUMMYFUNCTION("""COMPUTED_VALUE"""),3.0)</f>
        <v>3</v>
      </c>
      <c r="C341" s="98">
        <f>IFERROR(__xludf.DUMMYFUNCTION("""COMPUTED_VALUE"""),44085.0)</f>
        <v>44085</v>
      </c>
      <c r="D341" s="96" t="str">
        <f>IFERROR(__xludf.DUMMYFUNCTION("""COMPUTED_VALUE"""),"FRANCIS KEIBO")</f>
        <v>FRANCIS KEIBO</v>
      </c>
      <c r="E341" s="96"/>
      <c r="F341" s="96"/>
      <c r="G341" s="96"/>
      <c r="H341" s="96"/>
      <c r="I341" s="96"/>
      <c r="J341" s="96"/>
      <c r="K341" s="96"/>
      <c r="L341" s="96">
        <f>IFERROR(__xludf.DUMMYFUNCTION("""COMPUTED_VALUE"""),0.0)</f>
        <v>0</v>
      </c>
      <c r="M341" s="96">
        <f>IFERROR(__xludf.DUMMYFUNCTION("""COMPUTED_VALUE"""),0.0)</f>
        <v>0</v>
      </c>
      <c r="N341" s="96">
        <f>IFERROR(__xludf.DUMMYFUNCTION("""COMPUTED_VALUE"""),0.0)</f>
        <v>0</v>
      </c>
      <c r="O341" s="96">
        <f>IFERROR(__xludf.DUMMYFUNCTION("""COMPUTED_VALUE"""),100000.0)</f>
        <v>100000</v>
      </c>
      <c r="P341" s="129">
        <f>IFERROR(__xludf.DUMMYFUNCTION("""COMPUTED_VALUE"""),0.0)</f>
        <v>0</v>
      </c>
      <c r="Q341" s="99"/>
      <c r="R341" s="99">
        <f>IFERROR(__xludf.DUMMYFUNCTION("""COMPUTED_VALUE"""),587000.0)</f>
        <v>587000</v>
      </c>
    </row>
    <row r="342">
      <c r="B342" s="96">
        <f>IFERROR(__xludf.DUMMYFUNCTION("""COMPUTED_VALUE"""),2.0)</f>
        <v>2</v>
      </c>
      <c r="C342" s="98">
        <f>IFERROR(__xludf.DUMMYFUNCTION("""COMPUTED_VALUE"""),44085.0)</f>
        <v>44085</v>
      </c>
      <c r="D342" s="96" t="str">
        <f>IFERROR(__xludf.DUMMYFUNCTION("""COMPUTED_VALUE"""),"AGEGE BOY")</f>
        <v>AGEGE BOY</v>
      </c>
      <c r="E342" s="96"/>
      <c r="F342" s="96"/>
      <c r="G342" s="96"/>
      <c r="H342" s="96"/>
      <c r="I342" s="96"/>
      <c r="J342" s="96"/>
      <c r="K342" s="96"/>
      <c r="L342" s="96">
        <f>IFERROR(__xludf.DUMMYFUNCTION("""COMPUTED_VALUE"""),0.0)</f>
        <v>0</v>
      </c>
      <c r="M342" s="96">
        <f>IFERROR(__xludf.DUMMYFUNCTION("""COMPUTED_VALUE"""),0.0)</f>
        <v>0</v>
      </c>
      <c r="N342" s="96">
        <f>IFERROR(__xludf.DUMMYFUNCTION("""COMPUTED_VALUE"""),0.0)</f>
        <v>0</v>
      </c>
      <c r="O342" s="96">
        <f>IFERROR(__xludf.DUMMYFUNCTION("""COMPUTED_VALUE"""),311280.0)</f>
        <v>311280</v>
      </c>
      <c r="P342" s="129">
        <f>IFERROR(__xludf.DUMMYFUNCTION("""COMPUTED_VALUE"""),0.0)</f>
        <v>0</v>
      </c>
      <c r="Q342" s="99"/>
      <c r="R342" s="99">
        <f>IFERROR(__xludf.DUMMYFUNCTION("""COMPUTED_VALUE"""),611280.0)</f>
        <v>611280</v>
      </c>
    </row>
    <row r="343">
      <c r="B343" s="96">
        <f>IFERROR(__xludf.DUMMYFUNCTION("""COMPUTED_VALUE"""),2.0)</f>
        <v>2</v>
      </c>
      <c r="C343" s="98">
        <f>IFERROR(__xludf.DUMMYFUNCTION("""COMPUTED_VALUE"""),44085.0)</f>
        <v>44085</v>
      </c>
      <c r="D343" s="96" t="str">
        <f>IFERROR(__xludf.DUMMYFUNCTION("""COMPUTED_VALUE"""),"MATIAT REINA")</f>
        <v>MATIAT REINA</v>
      </c>
      <c r="E343" s="96"/>
      <c r="F343" s="96"/>
      <c r="G343" s="96"/>
      <c r="H343" s="96"/>
      <c r="I343" s="96"/>
      <c r="J343" s="96"/>
      <c r="K343" s="96"/>
      <c r="L343" s="96">
        <f>IFERROR(__xludf.DUMMYFUNCTION("""COMPUTED_VALUE"""),0.0)</f>
        <v>0</v>
      </c>
      <c r="M343" s="96">
        <f>IFERROR(__xludf.DUMMYFUNCTION("""COMPUTED_VALUE"""),0.0)</f>
        <v>0</v>
      </c>
      <c r="N343" s="96">
        <f>IFERROR(__xludf.DUMMYFUNCTION("""COMPUTED_VALUE"""),0.0)</f>
        <v>0</v>
      </c>
      <c r="O343" s="96">
        <f>IFERROR(__xludf.DUMMYFUNCTION("""COMPUTED_VALUE"""),50000.0)</f>
        <v>50000</v>
      </c>
      <c r="P343" s="129">
        <f>IFERROR(__xludf.DUMMYFUNCTION("""COMPUTED_VALUE"""),0.0)</f>
        <v>0</v>
      </c>
      <c r="Q343" s="99"/>
      <c r="R343" s="99">
        <f>IFERROR(__xludf.DUMMYFUNCTION("""COMPUTED_VALUE"""),250000.0)</f>
        <v>250000</v>
      </c>
    </row>
    <row r="344">
      <c r="B344" s="96">
        <f>IFERROR(__xludf.DUMMYFUNCTION("""COMPUTED_VALUE"""),2.0)</f>
        <v>2</v>
      </c>
      <c r="C344" s="98">
        <f>IFERROR(__xludf.DUMMYFUNCTION("""COMPUTED_VALUE"""),44085.0)</f>
        <v>44085</v>
      </c>
      <c r="D344" s="96" t="str">
        <f>IFERROR(__xludf.DUMMYFUNCTION("""COMPUTED_VALUE"""),"OSIM MARIAM")</f>
        <v>OSIM MARIAM</v>
      </c>
      <c r="E344" s="96"/>
      <c r="F344" s="96"/>
      <c r="G344" s="96"/>
      <c r="H344" s="96"/>
      <c r="I344" s="96"/>
      <c r="J344" s="96"/>
      <c r="K344" s="96"/>
      <c r="L344" s="96">
        <f>IFERROR(__xludf.DUMMYFUNCTION("""COMPUTED_VALUE"""),0.0)</f>
        <v>0</v>
      </c>
      <c r="M344" s="96">
        <f>IFERROR(__xludf.DUMMYFUNCTION("""COMPUTED_VALUE"""),0.0)</f>
        <v>0</v>
      </c>
      <c r="N344" s="96">
        <f>IFERROR(__xludf.DUMMYFUNCTION("""COMPUTED_VALUE"""),0.0)</f>
        <v>0</v>
      </c>
      <c r="O344" s="96">
        <f>IFERROR(__xludf.DUMMYFUNCTION("""COMPUTED_VALUE"""),250000.0)</f>
        <v>250000</v>
      </c>
      <c r="P344" s="129">
        <f>IFERROR(__xludf.DUMMYFUNCTION("""COMPUTED_VALUE"""),0.0)</f>
        <v>0</v>
      </c>
      <c r="Q344" s="99"/>
      <c r="R344" s="99">
        <f>IFERROR(__xludf.DUMMYFUNCTION("""COMPUTED_VALUE"""),650000.0)</f>
        <v>650000</v>
      </c>
    </row>
    <row r="345">
      <c r="B345" s="96">
        <f>IFERROR(__xludf.DUMMYFUNCTION("""COMPUTED_VALUE"""),4.0)</f>
        <v>4</v>
      </c>
      <c r="C345" s="98">
        <f>IFERROR(__xludf.DUMMYFUNCTION("""COMPUTED_VALUE"""),44085.0)</f>
        <v>44085</v>
      </c>
      <c r="D345" s="96" t="str">
        <f>IFERROR(__xludf.DUMMYFUNCTION("""COMPUTED_VALUE"""),"PRINNESS")</f>
        <v>PRINNESS</v>
      </c>
      <c r="E345" s="96"/>
      <c r="F345" s="96"/>
      <c r="G345" s="96"/>
      <c r="H345" s="96"/>
      <c r="I345" s="96"/>
      <c r="J345" s="96"/>
      <c r="K345" s="96"/>
      <c r="L345" s="96">
        <f>IFERROR(__xludf.DUMMYFUNCTION("""COMPUTED_VALUE"""),0.0)</f>
        <v>0</v>
      </c>
      <c r="M345" s="96">
        <f>IFERROR(__xludf.DUMMYFUNCTION("""COMPUTED_VALUE"""),0.0)</f>
        <v>0</v>
      </c>
      <c r="N345" s="96">
        <f>IFERROR(__xludf.DUMMYFUNCTION("""COMPUTED_VALUE"""),0.0)</f>
        <v>0</v>
      </c>
      <c r="O345" s="96">
        <f>IFERROR(__xludf.DUMMYFUNCTION("""COMPUTED_VALUE"""),400000.0)</f>
        <v>400000</v>
      </c>
      <c r="P345" s="129">
        <f>IFERROR(__xludf.DUMMYFUNCTION("""COMPUTED_VALUE"""),0.0)</f>
        <v>0</v>
      </c>
      <c r="Q345" s="99"/>
      <c r="R345" s="99">
        <f>IFERROR(__xludf.DUMMYFUNCTION("""COMPUTED_VALUE"""),814980.0)</f>
        <v>814980</v>
      </c>
    </row>
    <row r="346">
      <c r="B346" s="96">
        <f>IFERROR(__xludf.DUMMYFUNCTION("""COMPUTED_VALUE"""),1.0)</f>
        <v>1</v>
      </c>
      <c r="C346" s="98">
        <f>IFERROR(__xludf.DUMMYFUNCTION("""COMPUTED_VALUE"""),44085.0)</f>
        <v>44085</v>
      </c>
      <c r="D346" s="96" t="str">
        <f>IFERROR(__xludf.DUMMYFUNCTION("""COMPUTED_VALUE"""),"MALACHY")</f>
        <v>MALACHY</v>
      </c>
      <c r="E346" s="96"/>
      <c r="F346" s="96"/>
      <c r="G346" s="96"/>
      <c r="H346" s="96"/>
      <c r="I346" s="96"/>
      <c r="J346" s="96"/>
      <c r="K346" s="96"/>
      <c r="L346" s="96">
        <f>IFERROR(__xludf.DUMMYFUNCTION("""COMPUTED_VALUE"""),0.0)</f>
        <v>0</v>
      </c>
      <c r="M346" s="96">
        <f>IFERROR(__xludf.DUMMYFUNCTION("""COMPUTED_VALUE"""),0.0)</f>
        <v>0</v>
      </c>
      <c r="N346" s="96">
        <f>IFERROR(__xludf.DUMMYFUNCTION("""COMPUTED_VALUE"""),0.0)</f>
        <v>0</v>
      </c>
      <c r="O346" s="96">
        <f>IFERROR(__xludf.DUMMYFUNCTION("""COMPUTED_VALUE"""),100000.0)</f>
        <v>100000</v>
      </c>
      <c r="P346" s="129">
        <f>IFERROR(__xludf.DUMMYFUNCTION("""COMPUTED_VALUE"""),0.0)</f>
        <v>0</v>
      </c>
      <c r="Q346" s="99"/>
      <c r="R346" s="99">
        <f>IFERROR(__xludf.DUMMYFUNCTION("""COMPUTED_VALUE"""),100000.0)</f>
        <v>100000</v>
      </c>
    </row>
    <row r="347">
      <c r="B347" s="96">
        <f>IFERROR(__xludf.DUMMYFUNCTION("""COMPUTED_VALUE"""),11.0)</f>
        <v>11</v>
      </c>
      <c r="C347" s="98">
        <f>IFERROR(__xludf.DUMMYFUNCTION("""COMPUTED_VALUE"""),44085.0)</f>
        <v>44085</v>
      </c>
      <c r="D347" s="96" t="str">
        <f>IFERROR(__xludf.DUMMYFUNCTION("""COMPUTED_VALUE"""),"ETUK EFFI")</f>
        <v>ETUK EFFI</v>
      </c>
      <c r="E347" s="96"/>
      <c r="F347" s="96"/>
      <c r="G347" s="96"/>
      <c r="H347" s="96"/>
      <c r="I347" s="96"/>
      <c r="J347" s="96"/>
      <c r="K347" s="96"/>
      <c r="L347" s="96">
        <f>IFERROR(__xludf.DUMMYFUNCTION("""COMPUTED_VALUE"""),0.0)</f>
        <v>0</v>
      </c>
      <c r="M347" s="96">
        <f>IFERROR(__xludf.DUMMYFUNCTION("""COMPUTED_VALUE"""),0.0)</f>
        <v>0</v>
      </c>
      <c r="N347" s="96">
        <f>IFERROR(__xludf.DUMMYFUNCTION("""COMPUTED_VALUE"""),0.0)</f>
        <v>0</v>
      </c>
      <c r="O347" s="96">
        <f>IFERROR(__xludf.DUMMYFUNCTION("""COMPUTED_VALUE"""),1281400.0)</f>
        <v>1281400</v>
      </c>
      <c r="P347" s="129">
        <f>IFERROR(__xludf.DUMMYFUNCTION("""COMPUTED_VALUE"""),0.0)</f>
        <v>0</v>
      </c>
      <c r="Q347" s="99"/>
      <c r="R347" s="99">
        <f>IFERROR(__xludf.DUMMYFUNCTION("""COMPUTED_VALUE"""),2781400.0)</f>
        <v>2781400</v>
      </c>
    </row>
    <row r="348">
      <c r="B348" s="96">
        <f>IFERROR(__xludf.DUMMYFUNCTION("""COMPUTED_VALUE"""),2.0)</f>
        <v>2</v>
      </c>
      <c r="C348" s="98">
        <f>IFERROR(__xludf.DUMMYFUNCTION("""COMPUTED_VALUE"""),44085.0)</f>
        <v>44085</v>
      </c>
      <c r="D348" s="96" t="str">
        <f>IFERROR(__xludf.DUMMYFUNCTION("""COMPUTED_VALUE"""),"CHINWE CHIDI")</f>
        <v>CHINWE CHIDI</v>
      </c>
      <c r="E348" s="96"/>
      <c r="F348" s="96"/>
      <c r="G348" s="96"/>
      <c r="H348" s="96"/>
      <c r="I348" s="96"/>
      <c r="J348" s="96"/>
      <c r="K348" s="96"/>
      <c r="L348" s="96">
        <f>IFERROR(__xludf.DUMMYFUNCTION("""COMPUTED_VALUE"""),0.0)</f>
        <v>0</v>
      </c>
      <c r="M348" s="96">
        <f>IFERROR(__xludf.DUMMYFUNCTION("""COMPUTED_VALUE"""),0.0)</f>
        <v>0</v>
      </c>
      <c r="N348" s="96">
        <f>IFERROR(__xludf.DUMMYFUNCTION("""COMPUTED_VALUE"""),0.0)</f>
        <v>0</v>
      </c>
      <c r="O348" s="96">
        <f>IFERROR(__xludf.DUMMYFUNCTION("""COMPUTED_VALUE"""),6000.0)</f>
        <v>6000</v>
      </c>
      <c r="P348" s="129">
        <f>IFERROR(__xludf.DUMMYFUNCTION("""COMPUTED_VALUE"""),0.0)</f>
        <v>0</v>
      </c>
      <c r="Q348" s="99"/>
      <c r="R348" s="99">
        <f>IFERROR(__xludf.DUMMYFUNCTION("""COMPUTED_VALUE"""),106000.0)</f>
        <v>106000</v>
      </c>
    </row>
    <row r="349">
      <c r="B349" s="96">
        <f>IFERROR(__xludf.DUMMYFUNCTION("""COMPUTED_VALUE"""),12.0)</f>
        <v>12</v>
      </c>
      <c r="C349" s="98">
        <f>IFERROR(__xludf.DUMMYFUNCTION("""COMPUTED_VALUE"""),44085.0)</f>
        <v>44085</v>
      </c>
      <c r="D349" s="96" t="str">
        <f>IFERROR(__xludf.DUMMYFUNCTION("""COMPUTED_VALUE"""),"ETUK EFFI")</f>
        <v>ETUK EFFI</v>
      </c>
      <c r="E349" s="96">
        <f>IFERROR(__xludf.DUMMYFUNCTION("""COMPUTED_VALUE"""),1531.0)</f>
        <v>1531</v>
      </c>
      <c r="F349" s="96">
        <f>IFERROR(__xludf.DUMMYFUNCTION("""COMPUTED_VALUE"""),211.0)</f>
        <v>211</v>
      </c>
      <c r="G349" s="96"/>
      <c r="H349" s="96">
        <f>IFERROR(__xludf.DUMMYFUNCTION("""COMPUTED_VALUE"""),23.0)</f>
        <v>23</v>
      </c>
      <c r="I349" s="96"/>
      <c r="J349" s="96">
        <f>IFERROR(__xludf.DUMMYFUNCTION("""COMPUTED_VALUE"""),860.0)</f>
        <v>860</v>
      </c>
      <c r="K349" s="96">
        <f>IFERROR(__xludf.DUMMYFUNCTION("""COMPUTED_VALUE"""),9.17)</f>
        <v>9.17</v>
      </c>
      <c r="L349" s="96">
        <f>IFERROR(__xludf.DUMMYFUNCTION("""COMPUTED_VALUE"""),18.0)</f>
        <v>18</v>
      </c>
      <c r="M349" s="96">
        <f>IFERROR(__xludf.DUMMYFUNCTION("""COMPUTED_VALUE"""),23.0)</f>
        <v>23</v>
      </c>
      <c r="N349" s="96">
        <f>IFERROR(__xludf.DUMMYFUNCTION("""COMPUTED_VALUE"""),41.0)</f>
        <v>41</v>
      </c>
      <c r="O349" s="96"/>
      <c r="P349" s="129">
        <f>IFERROR(__xludf.DUMMYFUNCTION("""COMPUTED_VALUE"""),1490.0)</f>
        <v>1490</v>
      </c>
      <c r="Q349" s="99">
        <f>IFERROR(__xludf.DUMMYFUNCTION("""COMPUTED_VALUE"""),1281400.0)</f>
        <v>1281400</v>
      </c>
      <c r="R349" s="99">
        <f>IFERROR(__xludf.DUMMYFUNCTION("""COMPUTED_VALUE"""),1500000.0)</f>
        <v>1500000</v>
      </c>
    </row>
    <row r="350">
      <c r="B350" s="96">
        <f>IFERROR(__xludf.DUMMYFUNCTION("""COMPUTED_VALUE"""),2.0)</f>
        <v>2</v>
      </c>
      <c r="C350" s="98">
        <f>IFERROR(__xludf.DUMMYFUNCTION("""COMPUTED_VALUE"""),44086.0)</f>
        <v>44086</v>
      </c>
      <c r="D350" s="96" t="str">
        <f>IFERROR(__xludf.DUMMYFUNCTION("""COMPUTED_VALUE"""),"ABANG FREDINARD")</f>
        <v>ABANG FREDINARD</v>
      </c>
      <c r="E350" s="96">
        <f>IFERROR(__xludf.DUMMYFUNCTION("""COMPUTED_VALUE"""),122.0)</f>
        <v>122</v>
      </c>
      <c r="F350" s="96">
        <f>IFERROR(__xludf.DUMMYFUNCTION("""COMPUTED_VALUE"""),16.0)</f>
        <v>16</v>
      </c>
      <c r="G350" s="96"/>
      <c r="H350" s="96">
        <f>IFERROR(__xludf.DUMMYFUNCTION("""COMPUTED_VALUE"""),2.0)</f>
        <v>2</v>
      </c>
      <c r="I350" s="96"/>
      <c r="J350" s="96">
        <f>IFERROR(__xludf.DUMMYFUNCTION("""COMPUTED_VALUE"""),666.67)</f>
        <v>666.67</v>
      </c>
      <c r="K350" s="96">
        <f>IFERROR(__xludf.DUMMYFUNCTION("""COMPUTED_VALUE"""),8.0)</f>
        <v>8</v>
      </c>
      <c r="L350" s="96">
        <f>IFERROR(__xludf.DUMMYFUNCTION("""COMPUTED_VALUE"""),0.0)</f>
        <v>0</v>
      </c>
      <c r="M350" s="96">
        <f>IFERROR(__xludf.DUMMYFUNCTION("""COMPUTED_VALUE"""),1.0)</f>
        <v>1</v>
      </c>
      <c r="N350" s="96">
        <f>IFERROR(__xludf.DUMMYFUNCTION("""COMPUTED_VALUE"""),57.0)</f>
        <v>57</v>
      </c>
      <c r="O350" s="96"/>
      <c r="P350" s="129">
        <f>IFERROR(__xludf.DUMMYFUNCTION("""COMPUTED_VALUE"""),120.0)</f>
        <v>120</v>
      </c>
      <c r="Q350" s="99">
        <f>IFERROR(__xludf.DUMMYFUNCTION("""COMPUTED_VALUE"""),80000.0)</f>
        <v>80000</v>
      </c>
      <c r="R350" s="99">
        <f>IFERROR(__xludf.DUMMYFUNCTION("""COMPUTED_VALUE"""),-50000.0)</f>
        <v>-50000</v>
      </c>
    </row>
    <row r="351">
      <c r="B351" s="96"/>
      <c r="C351" s="98">
        <f>IFERROR(__xludf.DUMMYFUNCTION("""COMPUTED_VALUE"""),44073.0)</f>
        <v>44073</v>
      </c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129"/>
      <c r="Q351" s="99"/>
      <c r="R351" s="99"/>
    </row>
    <row r="352">
      <c r="B352" s="96">
        <f>IFERROR(__xludf.DUMMYFUNCTION("""COMPUTED_VALUE"""),13.0)</f>
        <v>13</v>
      </c>
      <c r="C352" s="98">
        <f>IFERROR(__xludf.DUMMYFUNCTION("""COMPUTED_VALUE"""),44086.0)</f>
        <v>44086</v>
      </c>
      <c r="D352" s="96" t="str">
        <f>IFERROR(__xludf.DUMMYFUNCTION("""COMPUTED_VALUE""")," MAXWELL AGRO")</f>
        <v> MAXWELL AGRO</v>
      </c>
      <c r="E352" s="96"/>
      <c r="F352" s="96"/>
      <c r="G352" s="96"/>
      <c r="H352" s="96"/>
      <c r="I352" s="96"/>
      <c r="J352" s="96"/>
      <c r="K352" s="96"/>
      <c r="L352" s="96">
        <f>IFERROR(__xludf.DUMMYFUNCTION("""COMPUTED_VALUE"""),0.0)</f>
        <v>0</v>
      </c>
      <c r="M352" s="96">
        <f>IFERROR(__xludf.DUMMYFUNCTION("""COMPUTED_VALUE"""),0.0)</f>
        <v>0</v>
      </c>
      <c r="N352" s="96">
        <f>IFERROR(__xludf.DUMMYFUNCTION("""COMPUTED_VALUE"""),0.0)</f>
        <v>0</v>
      </c>
      <c r="O352" s="96">
        <f>IFERROR(__xludf.DUMMYFUNCTION("""COMPUTED_VALUE"""),100000.0)</f>
        <v>100000</v>
      </c>
      <c r="P352" s="129">
        <f>IFERROR(__xludf.DUMMYFUNCTION("""COMPUTED_VALUE"""),0.0)</f>
        <v>0</v>
      </c>
      <c r="Q352" s="99"/>
      <c r="R352" s="99">
        <f>IFERROR(__xludf.DUMMYFUNCTION("""COMPUTED_VALUE"""),600000.0)</f>
        <v>600000</v>
      </c>
    </row>
    <row r="353">
      <c r="B353" s="96">
        <f>IFERROR(__xludf.DUMMYFUNCTION("""COMPUTED_VALUE"""),3.0)</f>
        <v>3</v>
      </c>
      <c r="C353" s="98">
        <f>IFERROR(__xludf.DUMMYFUNCTION("""COMPUTED_VALUE"""),44086.0)</f>
        <v>44086</v>
      </c>
      <c r="D353" s="96" t="str">
        <f>IFERROR(__xludf.DUMMYFUNCTION("""COMPUTED_VALUE"""),"ABANG FREDINARD")</f>
        <v>ABANG FREDINARD</v>
      </c>
      <c r="E353" s="96"/>
      <c r="F353" s="96"/>
      <c r="G353" s="96"/>
      <c r="H353" s="96"/>
      <c r="I353" s="96"/>
      <c r="J353" s="96"/>
      <c r="K353" s="96"/>
      <c r="L353" s="96">
        <f>IFERROR(__xludf.DUMMYFUNCTION("""COMPUTED_VALUE"""),0.0)</f>
        <v>0</v>
      </c>
      <c r="M353" s="96">
        <f>IFERROR(__xludf.DUMMYFUNCTION("""COMPUTED_VALUE"""),0.0)</f>
        <v>0</v>
      </c>
      <c r="N353" s="96">
        <f>IFERROR(__xludf.DUMMYFUNCTION("""COMPUTED_VALUE"""),0.0)</f>
        <v>0</v>
      </c>
      <c r="O353" s="96">
        <f>IFERROR(__xludf.DUMMYFUNCTION("""COMPUTED_VALUE"""),80000.0)</f>
        <v>80000</v>
      </c>
      <c r="P353" s="129">
        <f>IFERROR(__xludf.DUMMYFUNCTION("""COMPUTED_VALUE"""),0.0)</f>
        <v>0</v>
      </c>
      <c r="Q353" s="99"/>
      <c r="R353" s="99">
        <f>IFERROR(__xludf.DUMMYFUNCTION("""COMPUTED_VALUE"""),30000.0)</f>
        <v>30000</v>
      </c>
    </row>
    <row r="354">
      <c r="B354" s="96">
        <f>IFERROR(__xludf.DUMMYFUNCTION("""COMPUTED_VALUE"""),1.0)</f>
        <v>1</v>
      </c>
      <c r="C354" s="98">
        <f>IFERROR(__xludf.DUMMYFUNCTION("""COMPUTED_VALUE"""),44088.0)</f>
        <v>44088</v>
      </c>
      <c r="D354" s="96" t="str">
        <f>IFERROR(__xludf.DUMMYFUNCTION("""COMPUTED_VALUE"""),"ABANG. AM")</f>
        <v>ABANG. AM</v>
      </c>
      <c r="E354" s="96"/>
      <c r="F354" s="96"/>
      <c r="G354" s="96"/>
      <c r="H354" s="96"/>
      <c r="I354" s="96"/>
      <c r="J354" s="96"/>
      <c r="K354" s="96"/>
      <c r="L354" s="96">
        <f>IFERROR(__xludf.DUMMYFUNCTION("""COMPUTED_VALUE"""),0.0)</f>
        <v>0</v>
      </c>
      <c r="M354" s="96">
        <f>IFERROR(__xludf.DUMMYFUNCTION("""COMPUTED_VALUE"""),0.0)</f>
        <v>0</v>
      </c>
      <c r="N354" s="96">
        <f>IFERROR(__xludf.DUMMYFUNCTION("""COMPUTED_VALUE"""),0.0)</f>
        <v>0</v>
      </c>
      <c r="O354" s="96">
        <f>IFERROR(__xludf.DUMMYFUNCTION("""COMPUTED_VALUE"""),100000.0)</f>
        <v>100000</v>
      </c>
      <c r="P354" s="129">
        <f>IFERROR(__xludf.DUMMYFUNCTION("""COMPUTED_VALUE"""),0.0)</f>
        <v>0</v>
      </c>
      <c r="Q354" s="99"/>
      <c r="R354" s="99">
        <f>IFERROR(__xludf.DUMMYFUNCTION("""COMPUTED_VALUE"""),100000.0)</f>
        <v>100000</v>
      </c>
    </row>
    <row r="355">
      <c r="B355" s="96">
        <f>IFERROR(__xludf.DUMMYFUNCTION("""COMPUTED_VALUE"""),8.0)</f>
        <v>8</v>
      </c>
      <c r="C355" s="98">
        <f>IFERROR(__xludf.DUMMYFUNCTION("""COMPUTED_VALUE"""),44088.0)</f>
        <v>44088</v>
      </c>
      <c r="D355" s="96" t="str">
        <f>IFERROR(__xludf.DUMMYFUNCTION("""COMPUTED_VALUE"""),"A. D. FREDERICK")</f>
        <v>A. D. FREDERICK</v>
      </c>
      <c r="E355" s="96"/>
      <c r="F355" s="96"/>
      <c r="G355" s="96"/>
      <c r="H355" s="96"/>
      <c r="I355" s="96"/>
      <c r="J355" s="96"/>
      <c r="K355" s="96"/>
      <c r="L355" s="96">
        <f>IFERROR(__xludf.DUMMYFUNCTION("""COMPUTED_VALUE"""),0.0)</f>
        <v>0</v>
      </c>
      <c r="M355" s="96">
        <f>IFERROR(__xludf.DUMMYFUNCTION("""COMPUTED_VALUE"""),0.0)</f>
        <v>0</v>
      </c>
      <c r="N355" s="96">
        <f>IFERROR(__xludf.DUMMYFUNCTION("""COMPUTED_VALUE"""),0.0)</f>
        <v>0</v>
      </c>
      <c r="O355" s="96">
        <f>IFERROR(__xludf.DUMMYFUNCTION("""COMPUTED_VALUE"""),200000.0)</f>
        <v>200000</v>
      </c>
      <c r="P355" s="129">
        <f>IFERROR(__xludf.DUMMYFUNCTION("""COMPUTED_VALUE"""),0.0)</f>
        <v>0</v>
      </c>
      <c r="Q355" s="99"/>
      <c r="R355" s="99">
        <f>IFERROR(__xludf.DUMMYFUNCTION("""COMPUTED_VALUE"""),1443410.0)</f>
        <v>1443410</v>
      </c>
    </row>
    <row r="356">
      <c r="B356" s="96">
        <f>IFERROR(__xludf.DUMMYFUNCTION("""COMPUTED_VALUE"""),1.0)</f>
        <v>1</v>
      </c>
      <c r="C356" s="98">
        <f>IFERROR(__xludf.DUMMYFUNCTION("""COMPUTED_VALUE"""),44088.0)</f>
        <v>44088</v>
      </c>
      <c r="D356" s="96" t="str">
        <f>IFERROR(__xludf.DUMMYFUNCTION("""COMPUTED_VALUE"""),"FREDERICK")</f>
        <v>FREDERICK</v>
      </c>
      <c r="E356" s="96"/>
      <c r="F356" s="96"/>
      <c r="G356" s="96"/>
      <c r="H356" s="96"/>
      <c r="I356" s="96"/>
      <c r="J356" s="96"/>
      <c r="K356" s="96"/>
      <c r="L356" s="96">
        <f>IFERROR(__xludf.DUMMYFUNCTION("""COMPUTED_VALUE"""),0.0)</f>
        <v>0</v>
      </c>
      <c r="M356" s="96">
        <f>IFERROR(__xludf.DUMMYFUNCTION("""COMPUTED_VALUE"""),0.0)</f>
        <v>0</v>
      </c>
      <c r="N356" s="96">
        <f>IFERROR(__xludf.DUMMYFUNCTION("""COMPUTED_VALUE"""),0.0)</f>
        <v>0</v>
      </c>
      <c r="O356" s="96">
        <f>IFERROR(__xludf.DUMMYFUNCTION("""COMPUTED_VALUE"""),50000.0)</f>
        <v>50000</v>
      </c>
      <c r="P356" s="129">
        <f>IFERROR(__xludf.DUMMYFUNCTION("""COMPUTED_VALUE"""),0.0)</f>
        <v>0</v>
      </c>
      <c r="Q356" s="99"/>
      <c r="R356" s="99">
        <f>IFERROR(__xludf.DUMMYFUNCTION("""COMPUTED_VALUE"""),50000.0)</f>
        <v>50000</v>
      </c>
    </row>
    <row r="357">
      <c r="B357" s="96">
        <f>IFERROR(__xludf.DUMMYFUNCTION("""COMPUTED_VALUE"""),3.0)</f>
        <v>3</v>
      </c>
      <c r="C357" s="98">
        <f>IFERROR(__xludf.DUMMYFUNCTION("""COMPUTED_VALUE"""),44088.0)</f>
        <v>44088</v>
      </c>
      <c r="D357" s="96" t="str">
        <f>IFERROR(__xludf.DUMMYFUNCTION("""COMPUTED_VALUE"""),"AGEGE BOY")</f>
        <v>AGEGE BOY</v>
      </c>
      <c r="E357" s="96"/>
      <c r="F357" s="96"/>
      <c r="G357" s="96"/>
      <c r="H357" s="96"/>
      <c r="I357" s="96"/>
      <c r="J357" s="96"/>
      <c r="K357" s="96"/>
      <c r="L357" s="96">
        <f>IFERROR(__xludf.DUMMYFUNCTION("""COMPUTED_VALUE"""),0.0)</f>
        <v>0</v>
      </c>
      <c r="M357" s="96">
        <f>IFERROR(__xludf.DUMMYFUNCTION("""COMPUTED_VALUE"""),0.0)</f>
        <v>0</v>
      </c>
      <c r="N357" s="96">
        <f>IFERROR(__xludf.DUMMYFUNCTION("""COMPUTED_VALUE"""),0.0)</f>
        <v>0</v>
      </c>
      <c r="O357" s="96">
        <f>IFERROR(__xludf.DUMMYFUNCTION("""COMPUTED_VALUE"""),3000.0)</f>
        <v>3000</v>
      </c>
      <c r="P357" s="129">
        <f>IFERROR(__xludf.DUMMYFUNCTION("""COMPUTED_VALUE"""),0.0)</f>
        <v>0</v>
      </c>
      <c r="Q357" s="99"/>
      <c r="R357" s="99">
        <f>IFERROR(__xludf.DUMMYFUNCTION("""COMPUTED_VALUE"""),614280.0)</f>
        <v>614280</v>
      </c>
    </row>
    <row r="358">
      <c r="B358" s="96">
        <f>IFERROR(__xludf.DUMMYFUNCTION("""COMPUTED_VALUE"""),9.0)</f>
        <v>9</v>
      </c>
      <c r="C358" s="98">
        <f>IFERROR(__xludf.DUMMYFUNCTION("""COMPUTED_VALUE"""),44088.0)</f>
        <v>44088</v>
      </c>
      <c r="D358" s="96" t="str">
        <f>IFERROR(__xludf.DUMMYFUNCTION("""COMPUTED_VALUE"""),"CORNWELL")</f>
        <v>CORNWELL</v>
      </c>
      <c r="E358" s="96"/>
      <c r="F358" s="96"/>
      <c r="G358" s="96"/>
      <c r="H358" s="96"/>
      <c r="I358" s="96"/>
      <c r="J358" s="96"/>
      <c r="K358" s="96"/>
      <c r="L358" s="96">
        <f>IFERROR(__xludf.DUMMYFUNCTION("""COMPUTED_VALUE"""),0.0)</f>
        <v>0</v>
      </c>
      <c r="M358" s="96">
        <f>IFERROR(__xludf.DUMMYFUNCTION("""COMPUTED_VALUE"""),0.0)</f>
        <v>0</v>
      </c>
      <c r="N358" s="96">
        <f>IFERROR(__xludf.DUMMYFUNCTION("""COMPUTED_VALUE"""),0.0)</f>
        <v>0</v>
      </c>
      <c r="O358" s="96">
        <f>IFERROR(__xludf.DUMMYFUNCTION("""COMPUTED_VALUE"""),250000.0)</f>
        <v>250000</v>
      </c>
      <c r="P358" s="129">
        <f>IFERROR(__xludf.DUMMYFUNCTION("""COMPUTED_VALUE"""),0.0)</f>
        <v>0</v>
      </c>
      <c r="Q358" s="99"/>
      <c r="R358" s="99">
        <f>IFERROR(__xludf.DUMMYFUNCTION("""COMPUTED_VALUE"""),3.843269E7)</f>
        <v>38432690</v>
      </c>
    </row>
    <row r="359">
      <c r="B359" s="96">
        <f>IFERROR(__xludf.DUMMYFUNCTION("""COMPUTED_VALUE"""),17.0)</f>
        <v>17</v>
      </c>
      <c r="C359" s="98">
        <f>IFERROR(__xludf.DUMMYFUNCTION("""COMPUTED_VALUE"""),44088.0)</f>
        <v>44088</v>
      </c>
      <c r="D359" s="96" t="str">
        <f>IFERROR(__xludf.DUMMYFUNCTION("""COMPUTED_VALUE"""),"BOSURU  BOSURU")</f>
        <v>BOSURU  BOSURU</v>
      </c>
      <c r="E359" s="96"/>
      <c r="F359" s="96"/>
      <c r="G359" s="96"/>
      <c r="H359" s="96"/>
      <c r="I359" s="96"/>
      <c r="J359" s="96"/>
      <c r="K359" s="96"/>
      <c r="L359" s="96">
        <f>IFERROR(__xludf.DUMMYFUNCTION("""COMPUTED_VALUE"""),0.0)</f>
        <v>0</v>
      </c>
      <c r="M359" s="96">
        <f>IFERROR(__xludf.DUMMYFUNCTION("""COMPUTED_VALUE"""),0.0)</f>
        <v>0</v>
      </c>
      <c r="N359" s="96">
        <f>IFERROR(__xludf.DUMMYFUNCTION("""COMPUTED_VALUE"""),0.0)</f>
        <v>0</v>
      </c>
      <c r="O359" s="96">
        <f>IFERROR(__xludf.DUMMYFUNCTION("""COMPUTED_VALUE"""),70000.0)</f>
        <v>70000</v>
      </c>
      <c r="P359" s="129">
        <f>IFERROR(__xludf.DUMMYFUNCTION("""COMPUTED_VALUE"""),0.0)</f>
        <v>0</v>
      </c>
      <c r="Q359" s="99"/>
      <c r="R359" s="99">
        <f>IFERROR(__xludf.DUMMYFUNCTION("""COMPUTED_VALUE"""),1569700.0)</f>
        <v>1569700</v>
      </c>
    </row>
    <row r="360">
      <c r="B360" s="96">
        <f>IFERROR(__xludf.DUMMYFUNCTION("""COMPUTED_VALUE"""),8.0)</f>
        <v>8</v>
      </c>
      <c r="C360" s="98">
        <f>IFERROR(__xludf.DUMMYFUNCTION("""COMPUTED_VALUE"""),44088.0)</f>
        <v>44088</v>
      </c>
      <c r="D360" s="96" t="str">
        <f>IFERROR(__xludf.DUMMYFUNCTION("""COMPUTED_VALUE"""),"REMMY BODES")</f>
        <v>REMMY BODES</v>
      </c>
      <c r="E360" s="96"/>
      <c r="F360" s="96"/>
      <c r="G360" s="96"/>
      <c r="H360" s="96"/>
      <c r="I360" s="96"/>
      <c r="J360" s="96"/>
      <c r="K360" s="96"/>
      <c r="L360" s="96">
        <f>IFERROR(__xludf.DUMMYFUNCTION("""COMPUTED_VALUE"""),0.0)</f>
        <v>0</v>
      </c>
      <c r="M360" s="96">
        <f>IFERROR(__xludf.DUMMYFUNCTION("""COMPUTED_VALUE"""),0.0)</f>
        <v>0</v>
      </c>
      <c r="N360" s="96">
        <f>IFERROR(__xludf.DUMMYFUNCTION("""COMPUTED_VALUE"""),0.0)</f>
        <v>0</v>
      </c>
      <c r="O360" s="96">
        <f>IFERROR(__xludf.DUMMYFUNCTION("""COMPUTED_VALUE"""),48000.0)</f>
        <v>48000</v>
      </c>
      <c r="P360" s="129">
        <f>IFERROR(__xludf.DUMMYFUNCTION("""COMPUTED_VALUE"""),0.0)</f>
        <v>0</v>
      </c>
      <c r="Q360" s="99"/>
      <c r="R360" s="99">
        <f>IFERROR(__xludf.DUMMYFUNCTION("""COMPUTED_VALUE"""),891000.0)</f>
        <v>891000</v>
      </c>
    </row>
    <row r="361">
      <c r="B361" s="96">
        <f>IFERROR(__xludf.DUMMYFUNCTION("""COMPUTED_VALUE"""),18.0)</f>
        <v>18</v>
      </c>
      <c r="C361" s="98">
        <f>IFERROR(__xludf.DUMMYFUNCTION("""COMPUTED_VALUE"""),44088.0)</f>
        <v>44088</v>
      </c>
      <c r="D361" s="96" t="str">
        <f>IFERROR(__xludf.DUMMYFUNCTION("""COMPUTED_VALUE"""),"BOSURU  BOSURU")</f>
        <v>BOSURU  BOSURU</v>
      </c>
      <c r="E361" s="96"/>
      <c r="F361" s="96"/>
      <c r="G361" s="96"/>
      <c r="H361" s="96"/>
      <c r="I361" s="96"/>
      <c r="J361" s="96"/>
      <c r="K361" s="96"/>
      <c r="L361" s="96">
        <f>IFERROR(__xludf.DUMMYFUNCTION("""COMPUTED_VALUE"""),0.0)</f>
        <v>0</v>
      </c>
      <c r="M361" s="96">
        <f>IFERROR(__xludf.DUMMYFUNCTION("""COMPUTED_VALUE"""),0.0)</f>
        <v>0</v>
      </c>
      <c r="N361" s="96">
        <f>IFERROR(__xludf.DUMMYFUNCTION("""COMPUTED_VALUE"""),0.0)</f>
        <v>0</v>
      </c>
      <c r="O361" s="96">
        <f>IFERROR(__xludf.DUMMYFUNCTION("""COMPUTED_VALUE"""),48000.0)</f>
        <v>48000</v>
      </c>
      <c r="P361" s="129">
        <f>IFERROR(__xludf.DUMMYFUNCTION("""COMPUTED_VALUE"""),0.0)</f>
        <v>0</v>
      </c>
      <c r="Q361" s="99"/>
      <c r="R361" s="99">
        <f>IFERROR(__xludf.DUMMYFUNCTION("""COMPUTED_VALUE"""),1617700.0)</f>
        <v>1617700</v>
      </c>
    </row>
    <row r="362">
      <c r="B362" s="96">
        <f>IFERROR(__xludf.DUMMYFUNCTION("""COMPUTED_VALUE"""),8.0)</f>
        <v>8</v>
      </c>
      <c r="C362" s="98">
        <f>IFERROR(__xludf.DUMMYFUNCTION("""COMPUTED_VALUE"""),44088.0)</f>
        <v>44088</v>
      </c>
      <c r="D362" s="96" t="str">
        <f>IFERROR(__xludf.DUMMYFUNCTION("""COMPUTED_VALUE"""),"OTU KOKO KEIBO")</f>
        <v>OTU KOKO KEIBO</v>
      </c>
      <c r="E362" s="96"/>
      <c r="F362" s="96"/>
      <c r="G362" s="96"/>
      <c r="H362" s="96"/>
      <c r="I362" s="96"/>
      <c r="J362" s="96"/>
      <c r="K362" s="96"/>
      <c r="L362" s="96">
        <f>IFERROR(__xludf.DUMMYFUNCTION("""COMPUTED_VALUE"""),0.0)</f>
        <v>0</v>
      </c>
      <c r="M362" s="96">
        <f>IFERROR(__xludf.DUMMYFUNCTION("""COMPUTED_VALUE"""),0.0)</f>
        <v>0</v>
      </c>
      <c r="N362" s="96">
        <f>IFERROR(__xludf.DUMMYFUNCTION("""COMPUTED_VALUE"""),0.0)</f>
        <v>0</v>
      </c>
      <c r="O362" s="96">
        <f>IFERROR(__xludf.DUMMYFUNCTION("""COMPUTED_VALUE"""),56000.0)</f>
        <v>56000</v>
      </c>
      <c r="P362" s="129">
        <f>IFERROR(__xludf.DUMMYFUNCTION("""COMPUTED_VALUE"""),0.0)</f>
        <v>0</v>
      </c>
      <c r="Q362" s="99"/>
      <c r="R362" s="99">
        <f>IFERROR(__xludf.DUMMYFUNCTION("""COMPUTED_VALUE"""),2.6165925E7)</f>
        <v>26165925</v>
      </c>
    </row>
    <row r="363">
      <c r="B363" s="96">
        <f>IFERROR(__xludf.DUMMYFUNCTION("""COMPUTED_VALUE"""),10.0)</f>
        <v>10</v>
      </c>
      <c r="C363" s="98">
        <f>IFERROR(__xludf.DUMMYFUNCTION("""COMPUTED_VALUE"""),44088.0)</f>
        <v>44088</v>
      </c>
      <c r="D363" s="96" t="str">
        <f>IFERROR(__xludf.DUMMYFUNCTION("""COMPUTED_VALUE"""),"CORNWELL")</f>
        <v>CORNWELL</v>
      </c>
      <c r="E363" s="96"/>
      <c r="F363" s="96"/>
      <c r="G363" s="96"/>
      <c r="H363" s="96"/>
      <c r="I363" s="96"/>
      <c r="J363" s="96"/>
      <c r="K363" s="96"/>
      <c r="L363" s="96">
        <f>IFERROR(__xludf.DUMMYFUNCTION("""COMPUTED_VALUE"""),0.0)</f>
        <v>0</v>
      </c>
      <c r="M363" s="96">
        <f>IFERROR(__xludf.DUMMYFUNCTION("""COMPUTED_VALUE"""),0.0)</f>
        <v>0</v>
      </c>
      <c r="N363" s="96">
        <f>IFERROR(__xludf.DUMMYFUNCTION("""COMPUTED_VALUE"""),0.0)</f>
        <v>0</v>
      </c>
      <c r="O363" s="96">
        <f>IFERROR(__xludf.DUMMYFUNCTION("""COMPUTED_VALUE"""),36000.0)</f>
        <v>36000</v>
      </c>
      <c r="P363" s="129">
        <f>IFERROR(__xludf.DUMMYFUNCTION("""COMPUTED_VALUE"""),0.0)</f>
        <v>0</v>
      </c>
      <c r="Q363" s="99"/>
      <c r="R363" s="99">
        <f>IFERROR(__xludf.DUMMYFUNCTION("""COMPUTED_VALUE"""),3.846869E7)</f>
        <v>38468690</v>
      </c>
    </row>
    <row r="364">
      <c r="B364" s="96">
        <f>IFERROR(__xludf.DUMMYFUNCTION("""COMPUTED_VALUE"""),11.0)</f>
        <v>11</v>
      </c>
      <c r="C364" s="98">
        <f>IFERROR(__xludf.DUMMYFUNCTION("""COMPUTED_VALUE"""),44089.0)</f>
        <v>44089</v>
      </c>
      <c r="D364" s="96" t="str">
        <f>IFERROR(__xludf.DUMMYFUNCTION("""COMPUTED_VALUE"""),"ALFRED ALABI")</f>
        <v>ALFRED ALABI</v>
      </c>
      <c r="E364" s="96">
        <f>IFERROR(__xludf.DUMMYFUNCTION("""COMPUTED_VALUE"""),1429.0)</f>
        <v>1429</v>
      </c>
      <c r="F364" s="96">
        <f>IFERROR(__xludf.DUMMYFUNCTION("""COMPUTED_VALUE"""),199.0)</f>
        <v>199</v>
      </c>
      <c r="G364" s="96"/>
      <c r="H364" s="96">
        <f>IFERROR(__xludf.DUMMYFUNCTION("""COMPUTED_VALUE"""),21.0)</f>
        <v>21</v>
      </c>
      <c r="I364" s="96">
        <f>IFERROR(__xludf.DUMMYFUNCTION("""COMPUTED_VALUE"""),0.0)</f>
        <v>0</v>
      </c>
      <c r="J364" s="96">
        <f>IFERROR(__xludf.DUMMYFUNCTION("""COMPUTED_VALUE"""),837.06)</f>
        <v>837.06</v>
      </c>
      <c r="K364" s="96">
        <f>IFERROR(__xludf.DUMMYFUNCTION("""COMPUTED_VALUE"""),9.48)</f>
        <v>9.48</v>
      </c>
      <c r="L364" s="96">
        <f>IFERROR(__xludf.DUMMYFUNCTION("""COMPUTED_VALUE"""),21.0)</f>
        <v>21</v>
      </c>
      <c r="M364" s="96">
        <f>IFERROR(__xludf.DUMMYFUNCTION("""COMPUTED_VALUE"""),22.0)</f>
        <v>22</v>
      </c>
      <c r="N364" s="96">
        <f>IFERROR(__xludf.DUMMYFUNCTION("""COMPUTED_VALUE"""),0.0)</f>
        <v>0</v>
      </c>
      <c r="O364" s="96"/>
      <c r="P364" s="129">
        <f>IFERROR(__xludf.DUMMYFUNCTION("""COMPUTED_VALUE"""),1387.0)</f>
        <v>1387</v>
      </c>
      <c r="Q364" s="99">
        <f>IFERROR(__xludf.DUMMYFUNCTION("""COMPUTED_VALUE"""),1161000.0)</f>
        <v>1161000</v>
      </c>
      <c r="R364" s="99">
        <f>IFERROR(__xludf.DUMMYFUNCTION("""COMPUTED_VALUE"""),-160980.0)</f>
        <v>-160980</v>
      </c>
    </row>
    <row r="365">
      <c r="B365" s="96">
        <f>IFERROR(__xludf.DUMMYFUNCTION("""COMPUTED_VALUE"""),4.0)</f>
        <v>4</v>
      </c>
      <c r="C365" s="98">
        <f>IFERROR(__xludf.DUMMYFUNCTION("""COMPUTED_VALUE"""),44085.0)</f>
        <v>44085</v>
      </c>
      <c r="D365" s="96" t="str">
        <f>IFERROR(__xludf.DUMMYFUNCTION("""COMPUTED_VALUE"""),"AGEGE BOY")</f>
        <v>AGEGE BOY</v>
      </c>
      <c r="E365" s="96"/>
      <c r="F365" s="96"/>
      <c r="G365" s="96"/>
      <c r="H365" s="96"/>
      <c r="I365" s="96"/>
      <c r="J365" s="96"/>
      <c r="K365" s="96"/>
      <c r="L365" s="96">
        <f>IFERROR(__xludf.DUMMYFUNCTION("""COMPUTED_VALUE"""),0.0)</f>
        <v>0</v>
      </c>
      <c r="M365" s="96">
        <f>IFERROR(__xludf.DUMMYFUNCTION("""COMPUTED_VALUE"""),0.0)</f>
        <v>0</v>
      </c>
      <c r="N365" s="96">
        <f>IFERROR(__xludf.DUMMYFUNCTION("""COMPUTED_VALUE"""),0.0)</f>
        <v>0</v>
      </c>
      <c r="O365" s="96">
        <f>IFERROR(__xludf.DUMMYFUNCTION("""COMPUTED_VALUE"""),600.0)</f>
        <v>600</v>
      </c>
      <c r="P365" s="129">
        <f>IFERROR(__xludf.DUMMYFUNCTION("""COMPUTED_VALUE"""),0.0)</f>
        <v>0</v>
      </c>
      <c r="Q365" s="99"/>
      <c r="R365" s="99">
        <f>IFERROR(__xludf.DUMMYFUNCTION("""COMPUTED_VALUE"""),614880.0)</f>
        <v>614880</v>
      </c>
    </row>
    <row r="366">
      <c r="B366" s="96">
        <f>IFERROR(__xludf.DUMMYFUNCTION("""COMPUTED_VALUE"""),21.0)</f>
        <v>21</v>
      </c>
      <c r="C366" s="98">
        <f>IFERROR(__xludf.DUMMYFUNCTION("""COMPUTED_VALUE"""),44074.0)</f>
        <v>44074</v>
      </c>
      <c r="D366" s="96" t="str">
        <f>IFERROR(__xludf.DUMMYFUNCTION("""COMPUTED_VALUE"""),"LYDIA HNSON ")</f>
        <v>LYDIA HNSON </v>
      </c>
      <c r="E366" s="96"/>
      <c r="F366" s="96"/>
      <c r="G366" s="96"/>
      <c r="H366" s="96"/>
      <c r="I366" s="96"/>
      <c r="J366" s="96"/>
      <c r="K366" s="96"/>
      <c r="L366" s="96">
        <f>IFERROR(__xludf.DUMMYFUNCTION("""COMPUTED_VALUE"""),0.0)</f>
        <v>0</v>
      </c>
      <c r="M366" s="96">
        <f>IFERROR(__xludf.DUMMYFUNCTION("""COMPUTED_VALUE"""),0.0)</f>
        <v>0</v>
      </c>
      <c r="N366" s="96">
        <f>IFERROR(__xludf.DUMMYFUNCTION("""COMPUTED_VALUE"""),0.0)</f>
        <v>0</v>
      </c>
      <c r="O366" s="96">
        <f>IFERROR(__xludf.DUMMYFUNCTION("""COMPUTED_VALUE"""),-35000.0)</f>
        <v>-35000</v>
      </c>
      <c r="P366" s="129">
        <f>IFERROR(__xludf.DUMMYFUNCTION("""COMPUTED_VALUE"""),0.0)</f>
        <v>0</v>
      </c>
      <c r="Q366" s="99"/>
      <c r="R366" s="99">
        <f>IFERROR(__xludf.DUMMYFUNCTION("""COMPUTED_VALUE"""),3218640.0)</f>
        <v>3218640</v>
      </c>
    </row>
    <row r="367">
      <c r="B367" s="96">
        <f>IFERROR(__xludf.DUMMYFUNCTION("""COMPUTED_VALUE"""),5.0)</f>
        <v>5</v>
      </c>
      <c r="C367" s="98">
        <f>IFERROR(__xludf.DUMMYFUNCTION("""COMPUTED_VALUE"""),44074.0)</f>
        <v>44074</v>
      </c>
      <c r="D367" s="96" t="str">
        <f>IFERROR(__xludf.DUMMYFUNCTION("""COMPUTED_VALUE"""),"AGEGE BOY")</f>
        <v>AGEGE BOY</v>
      </c>
      <c r="E367" s="96"/>
      <c r="F367" s="96"/>
      <c r="G367" s="96"/>
      <c r="H367" s="96"/>
      <c r="I367" s="96"/>
      <c r="J367" s="96"/>
      <c r="K367" s="96"/>
      <c r="L367" s="96">
        <f>IFERROR(__xludf.DUMMYFUNCTION("""COMPUTED_VALUE"""),0.0)</f>
        <v>0</v>
      </c>
      <c r="M367" s="96">
        <f>IFERROR(__xludf.DUMMYFUNCTION("""COMPUTED_VALUE"""),0.0)</f>
        <v>0</v>
      </c>
      <c r="N367" s="96">
        <f>IFERROR(__xludf.DUMMYFUNCTION("""COMPUTED_VALUE"""),0.0)</f>
        <v>0</v>
      </c>
      <c r="O367" s="96">
        <f>IFERROR(__xludf.DUMMYFUNCTION("""COMPUTED_VALUE"""),35000.0)</f>
        <v>35000</v>
      </c>
      <c r="P367" s="129">
        <f>IFERROR(__xludf.DUMMYFUNCTION("""COMPUTED_VALUE"""),0.0)</f>
        <v>0</v>
      </c>
      <c r="Q367" s="99"/>
      <c r="R367" s="99">
        <f>IFERROR(__xludf.DUMMYFUNCTION("""COMPUTED_VALUE"""),649880.0)</f>
        <v>649880</v>
      </c>
    </row>
    <row r="368">
      <c r="B368" s="96">
        <f>IFERROR(__xludf.DUMMYFUNCTION("""COMPUTED_VALUE"""),1.0)</f>
        <v>1</v>
      </c>
      <c r="C368" s="98">
        <f>IFERROR(__xludf.DUMMYFUNCTION("""COMPUTED_VALUE"""),44089.0)</f>
        <v>44089</v>
      </c>
      <c r="D368" s="96" t="str">
        <f>IFERROR(__xludf.DUMMYFUNCTION("""COMPUTED_VALUE"""),"ABANG. ODI")</f>
        <v>ABANG. ODI</v>
      </c>
      <c r="E368" s="96"/>
      <c r="F368" s="96"/>
      <c r="G368" s="96"/>
      <c r="H368" s="96"/>
      <c r="I368" s="96"/>
      <c r="J368" s="96"/>
      <c r="K368" s="96"/>
      <c r="L368" s="96">
        <f>IFERROR(__xludf.DUMMYFUNCTION("""COMPUTED_VALUE"""),0.0)</f>
        <v>0</v>
      </c>
      <c r="M368" s="96">
        <f>IFERROR(__xludf.DUMMYFUNCTION("""COMPUTED_VALUE"""),0.0)</f>
        <v>0</v>
      </c>
      <c r="N368" s="96">
        <f>IFERROR(__xludf.DUMMYFUNCTION("""COMPUTED_VALUE"""),0.0)</f>
        <v>0</v>
      </c>
      <c r="O368" s="96">
        <f>IFERROR(__xludf.DUMMYFUNCTION("""COMPUTED_VALUE"""),10000.0)</f>
        <v>10000</v>
      </c>
      <c r="P368" s="129">
        <f>IFERROR(__xludf.DUMMYFUNCTION("""COMPUTED_VALUE"""),0.0)</f>
        <v>0</v>
      </c>
      <c r="Q368" s="99"/>
      <c r="R368" s="99">
        <f>IFERROR(__xludf.DUMMYFUNCTION("""COMPUTED_VALUE"""),10000.0)</f>
        <v>10000</v>
      </c>
    </row>
    <row r="369">
      <c r="B369" s="96">
        <f>IFERROR(__xludf.DUMMYFUNCTION("""COMPUTED_VALUE"""),1.0)</f>
        <v>1</v>
      </c>
      <c r="C369" s="98">
        <f>IFERROR(__xludf.DUMMYFUNCTION("""COMPUTED_VALUE"""),44089.0)</f>
        <v>44089</v>
      </c>
      <c r="D369" s="96" t="str">
        <f>IFERROR(__xludf.DUMMYFUNCTION("""COMPUTED_VALUE"""),"ABANG. ORU")</f>
        <v>ABANG. ORU</v>
      </c>
      <c r="E369" s="96"/>
      <c r="F369" s="96"/>
      <c r="G369" s="96"/>
      <c r="H369" s="96"/>
      <c r="I369" s="96"/>
      <c r="J369" s="96"/>
      <c r="K369" s="96"/>
      <c r="L369" s="96">
        <f>IFERROR(__xludf.DUMMYFUNCTION("""COMPUTED_VALUE"""),0.0)</f>
        <v>0</v>
      </c>
      <c r="M369" s="96">
        <f>IFERROR(__xludf.DUMMYFUNCTION("""COMPUTED_VALUE"""),0.0)</f>
        <v>0</v>
      </c>
      <c r="N369" s="96">
        <f>IFERROR(__xludf.DUMMYFUNCTION("""COMPUTED_VALUE"""),0.0)</f>
        <v>0</v>
      </c>
      <c r="O369" s="96">
        <f>IFERROR(__xludf.DUMMYFUNCTION("""COMPUTED_VALUE"""),50000.0)</f>
        <v>50000</v>
      </c>
      <c r="P369" s="129">
        <f>IFERROR(__xludf.DUMMYFUNCTION("""COMPUTED_VALUE"""),0.0)</f>
        <v>0</v>
      </c>
      <c r="Q369" s="99"/>
      <c r="R369" s="99">
        <f>IFERROR(__xludf.DUMMYFUNCTION("""COMPUTED_VALUE"""),50000.0)</f>
        <v>50000</v>
      </c>
    </row>
    <row r="370">
      <c r="B370" s="96">
        <f>IFERROR(__xludf.DUMMYFUNCTION("""COMPUTED_VALUE"""),14.0)</f>
        <v>14</v>
      </c>
      <c r="C370" s="98">
        <f>IFERROR(__xludf.DUMMYFUNCTION("""COMPUTED_VALUE"""),44089.0)</f>
        <v>44089</v>
      </c>
      <c r="D370" s="96" t="str">
        <f>IFERROR(__xludf.DUMMYFUNCTION("""COMPUTED_VALUE""")," MAXWELL AGRO")</f>
        <v> MAXWELL AGRO</v>
      </c>
      <c r="E370" s="96"/>
      <c r="F370" s="96"/>
      <c r="G370" s="96"/>
      <c r="H370" s="96"/>
      <c r="I370" s="96"/>
      <c r="J370" s="96"/>
      <c r="K370" s="96"/>
      <c r="L370" s="96">
        <f>IFERROR(__xludf.DUMMYFUNCTION("""COMPUTED_VALUE"""),0.0)</f>
        <v>0</v>
      </c>
      <c r="M370" s="96">
        <f>IFERROR(__xludf.DUMMYFUNCTION("""COMPUTED_VALUE"""),0.0)</f>
        <v>0</v>
      </c>
      <c r="N370" s="96">
        <f>IFERROR(__xludf.DUMMYFUNCTION("""COMPUTED_VALUE"""),0.0)</f>
        <v>0</v>
      </c>
      <c r="O370" s="96">
        <f>IFERROR(__xludf.DUMMYFUNCTION("""COMPUTED_VALUE"""),4500.0)</f>
        <v>4500</v>
      </c>
      <c r="P370" s="129">
        <f>IFERROR(__xludf.DUMMYFUNCTION("""COMPUTED_VALUE"""),0.0)</f>
        <v>0</v>
      </c>
      <c r="Q370" s="99"/>
      <c r="R370" s="99">
        <f>IFERROR(__xludf.DUMMYFUNCTION("""COMPUTED_VALUE"""),604500.0)</f>
        <v>604500</v>
      </c>
    </row>
    <row r="371">
      <c r="B371" s="96">
        <f>IFERROR(__xludf.DUMMYFUNCTION("""COMPUTED_VALUE"""),19.0)</f>
        <v>19</v>
      </c>
      <c r="C371" s="98">
        <f>IFERROR(__xludf.DUMMYFUNCTION("""COMPUTED_VALUE"""),44089.0)</f>
        <v>44089</v>
      </c>
      <c r="D371" s="96" t="str">
        <f>IFERROR(__xludf.DUMMYFUNCTION("""COMPUTED_VALUE"""),"BOSURU  BOSURU")</f>
        <v>BOSURU  BOSURU</v>
      </c>
      <c r="E371" s="96"/>
      <c r="F371" s="96"/>
      <c r="G371" s="96"/>
      <c r="H371" s="96"/>
      <c r="I371" s="96"/>
      <c r="J371" s="96"/>
      <c r="K371" s="96"/>
      <c r="L371" s="96">
        <f>IFERROR(__xludf.DUMMYFUNCTION("""COMPUTED_VALUE"""),0.0)</f>
        <v>0</v>
      </c>
      <c r="M371" s="96">
        <f>IFERROR(__xludf.DUMMYFUNCTION("""COMPUTED_VALUE"""),0.0)</f>
        <v>0</v>
      </c>
      <c r="N371" s="96">
        <f>IFERROR(__xludf.DUMMYFUNCTION("""COMPUTED_VALUE"""),0.0)</f>
        <v>0</v>
      </c>
      <c r="O371" s="96">
        <f>IFERROR(__xludf.DUMMYFUNCTION("""COMPUTED_VALUE"""),750000.0)</f>
        <v>750000</v>
      </c>
      <c r="P371" s="129">
        <f>IFERROR(__xludf.DUMMYFUNCTION("""COMPUTED_VALUE"""),0.0)</f>
        <v>0</v>
      </c>
      <c r="Q371" s="99"/>
      <c r="R371" s="99">
        <f>IFERROR(__xludf.DUMMYFUNCTION("""COMPUTED_VALUE"""),2367700.0)</f>
        <v>2367700</v>
      </c>
    </row>
    <row r="372">
      <c r="B372" s="96">
        <f>IFERROR(__xludf.DUMMYFUNCTION("""COMPUTED_VALUE"""),9.0)</f>
        <v>9</v>
      </c>
      <c r="C372" s="98">
        <f>IFERROR(__xludf.DUMMYFUNCTION("""COMPUTED_VALUE"""),44089.0)</f>
        <v>44089</v>
      </c>
      <c r="D372" s="96" t="str">
        <f>IFERROR(__xludf.DUMMYFUNCTION("""COMPUTED_VALUE"""),"REMMY BODES")</f>
        <v>REMMY BODES</v>
      </c>
      <c r="E372" s="96"/>
      <c r="F372" s="96"/>
      <c r="G372" s="96"/>
      <c r="H372" s="96"/>
      <c r="I372" s="96"/>
      <c r="J372" s="96"/>
      <c r="K372" s="96"/>
      <c r="L372" s="96">
        <f>IFERROR(__xludf.DUMMYFUNCTION("""COMPUTED_VALUE"""),0.0)</f>
        <v>0</v>
      </c>
      <c r="M372" s="96">
        <f>IFERROR(__xludf.DUMMYFUNCTION("""COMPUTED_VALUE"""),0.0)</f>
        <v>0</v>
      </c>
      <c r="N372" s="96">
        <f>IFERROR(__xludf.DUMMYFUNCTION("""COMPUTED_VALUE"""),0.0)</f>
        <v>0</v>
      </c>
      <c r="O372" s="96">
        <f>IFERROR(__xludf.DUMMYFUNCTION("""COMPUTED_VALUE"""),500000.0)</f>
        <v>500000</v>
      </c>
      <c r="P372" s="129">
        <f>IFERROR(__xludf.DUMMYFUNCTION("""COMPUTED_VALUE"""),0.0)</f>
        <v>0</v>
      </c>
      <c r="Q372" s="99"/>
      <c r="R372" s="99">
        <f>IFERROR(__xludf.DUMMYFUNCTION("""COMPUTED_VALUE"""),1391000.0)</f>
        <v>1391000</v>
      </c>
    </row>
    <row r="373">
      <c r="B373" s="96">
        <f>IFERROR(__xludf.DUMMYFUNCTION("""COMPUTED_VALUE"""),9.0)</f>
        <v>9</v>
      </c>
      <c r="C373" s="98">
        <f>IFERROR(__xludf.DUMMYFUNCTION("""COMPUTED_VALUE"""),44089.0)</f>
        <v>44089</v>
      </c>
      <c r="D373" s="96" t="str">
        <f>IFERROR(__xludf.DUMMYFUNCTION("""COMPUTED_VALUE"""),"A. D. FREDERICK")</f>
        <v>A. D. FREDERICK</v>
      </c>
      <c r="E373" s="96"/>
      <c r="F373" s="96"/>
      <c r="G373" s="96"/>
      <c r="H373" s="96"/>
      <c r="I373" s="96"/>
      <c r="J373" s="96"/>
      <c r="K373" s="96"/>
      <c r="L373" s="96">
        <f>IFERROR(__xludf.DUMMYFUNCTION("""COMPUTED_VALUE"""),0.0)</f>
        <v>0</v>
      </c>
      <c r="M373" s="96">
        <f>IFERROR(__xludf.DUMMYFUNCTION("""COMPUTED_VALUE"""),0.0)</f>
        <v>0</v>
      </c>
      <c r="N373" s="96">
        <f>IFERROR(__xludf.DUMMYFUNCTION("""COMPUTED_VALUE"""),0.0)</f>
        <v>0</v>
      </c>
      <c r="O373" s="96">
        <f>IFERROR(__xludf.DUMMYFUNCTION("""COMPUTED_VALUE"""),340000.0)</f>
        <v>340000</v>
      </c>
      <c r="P373" s="129">
        <f>IFERROR(__xludf.DUMMYFUNCTION("""COMPUTED_VALUE"""),0.0)</f>
        <v>0</v>
      </c>
      <c r="Q373" s="99"/>
      <c r="R373" s="99">
        <f>IFERROR(__xludf.DUMMYFUNCTION("""COMPUTED_VALUE"""),1783410.0)</f>
        <v>1783410</v>
      </c>
    </row>
    <row r="374">
      <c r="B374" s="96">
        <f>IFERROR(__xludf.DUMMYFUNCTION("""COMPUTED_VALUE"""),5.0)</f>
        <v>5</v>
      </c>
      <c r="C374" s="98">
        <f>IFERROR(__xludf.DUMMYFUNCTION("""COMPUTED_VALUE"""),44089.0)</f>
        <v>44089</v>
      </c>
      <c r="D374" s="96" t="str">
        <f>IFERROR(__xludf.DUMMYFUNCTION("""COMPUTED_VALUE"""),"PRINNESS")</f>
        <v>PRINNESS</v>
      </c>
      <c r="E374" s="96"/>
      <c r="F374" s="96"/>
      <c r="G374" s="96"/>
      <c r="H374" s="96"/>
      <c r="I374" s="96"/>
      <c r="J374" s="96"/>
      <c r="K374" s="96"/>
      <c r="L374" s="96">
        <f>IFERROR(__xludf.DUMMYFUNCTION("""COMPUTED_VALUE"""),0.0)</f>
        <v>0</v>
      </c>
      <c r="M374" s="96">
        <f>IFERROR(__xludf.DUMMYFUNCTION("""COMPUTED_VALUE"""),0.0)</f>
        <v>0</v>
      </c>
      <c r="N374" s="96">
        <f>IFERROR(__xludf.DUMMYFUNCTION("""COMPUTED_VALUE"""),0.0)</f>
        <v>0</v>
      </c>
      <c r="O374" s="96">
        <f>IFERROR(__xludf.DUMMYFUNCTION("""COMPUTED_VALUE"""),10000.0)</f>
        <v>10000</v>
      </c>
      <c r="P374" s="129">
        <f>IFERROR(__xludf.DUMMYFUNCTION("""COMPUTED_VALUE"""),0.0)</f>
        <v>0</v>
      </c>
      <c r="Q374" s="99"/>
      <c r="R374" s="99">
        <f>IFERROR(__xludf.DUMMYFUNCTION("""COMPUTED_VALUE"""),824980.0)</f>
        <v>824980</v>
      </c>
    </row>
    <row r="375">
      <c r="B375" s="96">
        <f>IFERROR(__xludf.DUMMYFUNCTION("""COMPUTED_VALUE"""),22.0)</f>
        <v>22</v>
      </c>
      <c r="C375" s="98">
        <f>IFERROR(__xludf.DUMMYFUNCTION("""COMPUTED_VALUE"""),44076.0)</f>
        <v>44076</v>
      </c>
      <c r="D375" s="96" t="str">
        <f>IFERROR(__xludf.DUMMYFUNCTION("""COMPUTED_VALUE"""),"LYDIA HNSON ")</f>
        <v>LYDIA HNSON </v>
      </c>
      <c r="E375" s="96">
        <f>IFERROR(__xludf.DUMMYFUNCTION("""COMPUTED_VALUE"""),203.0)</f>
        <v>203</v>
      </c>
      <c r="F375" s="96">
        <f>IFERROR(__xludf.DUMMYFUNCTION("""COMPUTED_VALUE"""),32.0)</f>
        <v>32</v>
      </c>
      <c r="G375" s="96"/>
      <c r="H375" s="96">
        <f>IFERROR(__xludf.DUMMYFUNCTION("""COMPUTED_VALUE"""),4.0)</f>
        <v>4</v>
      </c>
      <c r="I375" s="96"/>
      <c r="J375" s="96">
        <f>IFERROR(__xludf.DUMMYFUNCTION("""COMPUTED_VALUE"""),890.0)</f>
        <v>890</v>
      </c>
      <c r="K375" s="96">
        <f>IFERROR(__xludf.DUMMYFUNCTION("""COMPUTED_VALUE"""),8.0)</f>
        <v>8</v>
      </c>
      <c r="L375" s="96">
        <f>IFERROR(__xludf.DUMMYFUNCTION("""COMPUTED_VALUE"""),0.0)</f>
        <v>0</v>
      </c>
      <c r="M375" s="96">
        <f>IFERROR(__xludf.DUMMYFUNCTION("""COMPUTED_VALUE"""),3.0)</f>
        <v>3</v>
      </c>
      <c r="N375" s="96">
        <f>IFERROR(__xludf.DUMMYFUNCTION("""COMPUTED_VALUE"""),9.0)</f>
        <v>9</v>
      </c>
      <c r="O375" s="96"/>
      <c r="P375" s="129">
        <f>IFERROR(__xludf.DUMMYFUNCTION("""COMPUTED_VALUE"""),199.0)</f>
        <v>199</v>
      </c>
      <c r="Q375" s="99">
        <f>IFERROR(__xludf.DUMMYFUNCTION("""COMPUTED_VALUE"""),177110.0)</f>
        <v>177110</v>
      </c>
      <c r="R375" s="99">
        <f>IFERROR(__xludf.DUMMYFUNCTION("""COMPUTED_VALUE"""),3041530.0)</f>
        <v>3041530</v>
      </c>
    </row>
    <row r="376">
      <c r="B376" s="96">
        <f>IFERROR(__xludf.DUMMYFUNCTION("""COMPUTED_VALUE"""),23.0)</f>
        <v>23</v>
      </c>
      <c r="C376" s="98">
        <f>IFERROR(__xludf.DUMMYFUNCTION("""COMPUTED_VALUE"""),44086.0)</f>
        <v>44086</v>
      </c>
      <c r="D376" s="96" t="str">
        <f>IFERROR(__xludf.DUMMYFUNCTION("""COMPUTED_VALUE"""),"LYDIA HNSON ")</f>
        <v>LYDIA HNSON </v>
      </c>
      <c r="E376" s="96">
        <f>IFERROR(__xludf.DUMMYFUNCTION("""COMPUTED_VALUE"""),502.0)</f>
        <v>502</v>
      </c>
      <c r="F376" s="96">
        <f>IFERROR(__xludf.DUMMYFUNCTION("""COMPUTED_VALUE"""),64.0)</f>
        <v>64</v>
      </c>
      <c r="G376" s="96"/>
      <c r="H376" s="96">
        <f>IFERROR(__xludf.DUMMYFUNCTION("""COMPUTED_VALUE"""),8.0)</f>
        <v>8</v>
      </c>
      <c r="I376" s="96"/>
      <c r="J376" s="96">
        <f>IFERROR(__xludf.DUMMYFUNCTION("""COMPUTED_VALUE"""),890.0)</f>
        <v>890</v>
      </c>
      <c r="K376" s="96">
        <f>IFERROR(__xludf.DUMMYFUNCTION("""COMPUTED_VALUE"""),8.0)</f>
        <v>8</v>
      </c>
      <c r="L376" s="96">
        <f>IFERROR(__xludf.DUMMYFUNCTION("""COMPUTED_VALUE"""),0.0)</f>
        <v>0</v>
      </c>
      <c r="M376" s="96">
        <f>IFERROR(__xludf.DUMMYFUNCTION("""COMPUTED_VALUE"""),7.0)</f>
        <v>7</v>
      </c>
      <c r="N376" s="96">
        <f>IFERROR(__xludf.DUMMYFUNCTION("""COMPUTED_VALUE"""),53.0)</f>
        <v>53</v>
      </c>
      <c r="O376" s="96"/>
      <c r="P376" s="129">
        <f>IFERROR(__xludf.DUMMYFUNCTION("""COMPUTED_VALUE"""),494.0)</f>
        <v>494</v>
      </c>
      <c r="Q376" s="99">
        <f>IFERROR(__xludf.DUMMYFUNCTION("""COMPUTED_VALUE"""),439660.0)</f>
        <v>439660</v>
      </c>
      <c r="R376" s="99">
        <f>IFERROR(__xludf.DUMMYFUNCTION("""COMPUTED_VALUE"""),2601870.0)</f>
        <v>2601870</v>
      </c>
    </row>
    <row r="377">
      <c r="B377" s="96">
        <f>IFERROR(__xludf.DUMMYFUNCTION("""COMPUTED_VALUE"""),24.0)</f>
        <v>24</v>
      </c>
      <c r="C377" s="98">
        <f>IFERROR(__xludf.DUMMYFUNCTION("""COMPUTED_VALUE"""),44088.0)</f>
        <v>44088</v>
      </c>
      <c r="D377" s="96" t="str">
        <f>IFERROR(__xludf.DUMMYFUNCTION("""COMPUTED_VALUE"""),"LYDIA HNSON ")</f>
        <v>LYDIA HNSON </v>
      </c>
      <c r="E377" s="96">
        <f>IFERROR(__xludf.DUMMYFUNCTION("""COMPUTED_VALUE"""),179.0)</f>
        <v>179</v>
      </c>
      <c r="F377" s="96">
        <f>IFERROR(__xludf.DUMMYFUNCTION("""COMPUTED_VALUE"""),24.0)</f>
        <v>24</v>
      </c>
      <c r="G377" s="96"/>
      <c r="H377" s="96">
        <f>IFERROR(__xludf.DUMMYFUNCTION("""COMPUTED_VALUE"""),3.0)</f>
        <v>3</v>
      </c>
      <c r="I377" s="96"/>
      <c r="J377" s="96">
        <f>IFERROR(__xludf.DUMMYFUNCTION("""COMPUTED_VALUE"""),890.0)</f>
        <v>890</v>
      </c>
      <c r="K377" s="96">
        <f>IFERROR(__xludf.DUMMYFUNCTION("""COMPUTED_VALUE"""),8.0)</f>
        <v>8</v>
      </c>
      <c r="L377" s="96">
        <f>IFERROR(__xludf.DUMMYFUNCTION("""COMPUTED_VALUE"""),0.0)</f>
        <v>0</v>
      </c>
      <c r="M377" s="96">
        <f>IFERROR(__xludf.DUMMYFUNCTION("""COMPUTED_VALUE"""),2.0)</f>
        <v>2</v>
      </c>
      <c r="N377" s="96">
        <f>IFERROR(__xludf.DUMMYFUNCTION("""COMPUTED_VALUE"""),50.0)</f>
        <v>50</v>
      </c>
      <c r="O377" s="96"/>
      <c r="P377" s="129">
        <f>IFERROR(__xludf.DUMMYFUNCTION("""COMPUTED_VALUE"""),176.0)</f>
        <v>176</v>
      </c>
      <c r="Q377" s="99">
        <f>IFERROR(__xludf.DUMMYFUNCTION("""COMPUTED_VALUE"""),156640.0)</f>
        <v>156640</v>
      </c>
      <c r="R377" s="99">
        <f>IFERROR(__xludf.DUMMYFUNCTION("""COMPUTED_VALUE"""),2445230.0)</f>
        <v>2445230</v>
      </c>
    </row>
    <row r="378">
      <c r="B378" s="96">
        <f>IFERROR(__xludf.DUMMYFUNCTION("""COMPUTED_VALUE"""),25.0)</f>
        <v>25</v>
      </c>
      <c r="C378" s="98">
        <f>IFERROR(__xludf.DUMMYFUNCTION("""COMPUTED_VALUE"""),44088.0)</f>
        <v>44088</v>
      </c>
      <c r="D378" s="96" t="str">
        <f>IFERROR(__xludf.DUMMYFUNCTION("""COMPUTED_VALUE"""),"LYDIA HNSON ")</f>
        <v>LYDIA HNSON </v>
      </c>
      <c r="E378" s="96">
        <f>IFERROR(__xludf.DUMMYFUNCTION("""COMPUTED_VALUE"""),39.0)</f>
        <v>39</v>
      </c>
      <c r="F378" s="96">
        <f>IFERROR(__xludf.DUMMYFUNCTION("""COMPUTED_VALUE"""),8.0)</f>
        <v>8</v>
      </c>
      <c r="G378" s="96"/>
      <c r="H378" s="96">
        <f>IFERROR(__xludf.DUMMYFUNCTION("""COMPUTED_VALUE"""),1.0)</f>
        <v>1</v>
      </c>
      <c r="I378" s="96">
        <f>IFERROR(__xludf.DUMMYFUNCTION("""COMPUTED_VALUE"""),1.0)</f>
        <v>1</v>
      </c>
      <c r="J378" s="96">
        <f>IFERROR(__xludf.DUMMYFUNCTION("""COMPUTED_VALUE"""),890.0)</f>
        <v>890</v>
      </c>
      <c r="K378" s="96">
        <f>IFERROR(__xludf.DUMMYFUNCTION("""COMPUTED_VALUE"""),8.0)</f>
        <v>8</v>
      </c>
      <c r="L378" s="96">
        <f>IFERROR(__xludf.DUMMYFUNCTION("""COMPUTED_VALUE"""),0.0)</f>
        <v>0</v>
      </c>
      <c r="M378" s="96">
        <f>IFERROR(__xludf.DUMMYFUNCTION("""COMPUTED_VALUE"""),0.0)</f>
        <v>0</v>
      </c>
      <c r="N378" s="96">
        <f>IFERROR(__xludf.DUMMYFUNCTION("""COMPUTED_VALUE"""),39.0)</f>
        <v>39</v>
      </c>
      <c r="O378" s="96"/>
      <c r="P378" s="129">
        <f>IFERROR(__xludf.DUMMYFUNCTION("""COMPUTED_VALUE"""),39.0)</f>
        <v>39</v>
      </c>
      <c r="Q378" s="99">
        <f>IFERROR(__xludf.DUMMYFUNCTION("""COMPUTED_VALUE"""),34710.0)</f>
        <v>34710</v>
      </c>
      <c r="R378" s="99">
        <f>IFERROR(__xludf.DUMMYFUNCTION("""COMPUTED_VALUE"""),2410520.0)</f>
        <v>2410520</v>
      </c>
    </row>
    <row r="379">
      <c r="B379" s="96">
        <f>IFERROR(__xludf.DUMMYFUNCTION("""COMPUTED_VALUE"""),15.0)</f>
        <v>15</v>
      </c>
      <c r="C379" s="98">
        <f>IFERROR(__xludf.DUMMYFUNCTION("""COMPUTED_VALUE"""),44089.0)</f>
        <v>44089</v>
      </c>
      <c r="D379" s="96" t="str">
        <f>IFERROR(__xludf.DUMMYFUNCTION("""COMPUTED_VALUE""")," MAXWELL AGRO")</f>
        <v> MAXWELL AGRO</v>
      </c>
      <c r="E379" s="96">
        <f>IFERROR(__xludf.DUMMYFUNCTION("""COMPUTED_VALUE"""),668.0)</f>
        <v>668</v>
      </c>
      <c r="F379" s="96">
        <f>IFERROR(__xludf.DUMMYFUNCTION("""COMPUTED_VALUE"""),160.0)</f>
        <v>160</v>
      </c>
      <c r="G379" s="96"/>
      <c r="H379" s="96">
        <f>IFERROR(__xludf.DUMMYFUNCTION("""COMPUTED_VALUE"""),10.0)</f>
        <v>10</v>
      </c>
      <c r="I379" s="96"/>
      <c r="J379" s="96">
        <f>IFERROR(__xludf.DUMMYFUNCTION("""COMPUTED_VALUE"""),2568.54)</f>
        <v>2568.54</v>
      </c>
      <c r="K379" s="96">
        <f>IFERROR(__xludf.DUMMYFUNCTION("""COMPUTED_VALUE"""),16.0)</f>
        <v>16</v>
      </c>
      <c r="L379" s="96">
        <f>IFERROR(__xludf.DUMMYFUNCTION("""COMPUTED_VALUE"""),53.0)</f>
        <v>53</v>
      </c>
      <c r="M379" s="96">
        <f>IFERROR(__xludf.DUMMYFUNCTION("""COMPUTED_VALUE"""),9.0)</f>
        <v>9</v>
      </c>
      <c r="N379" s="96">
        <f>IFERROR(__xludf.DUMMYFUNCTION("""COMPUTED_VALUE"""),38.0)</f>
        <v>38</v>
      </c>
      <c r="O379" s="96"/>
      <c r="P379" s="129">
        <f>IFERROR(__xludf.DUMMYFUNCTION("""COMPUTED_VALUE"""),605.0)</f>
        <v>605</v>
      </c>
      <c r="Q379" s="99">
        <f>IFERROR(__xludf.DUMMYFUNCTION("""COMPUTED_VALUE"""),1553968.0)</f>
        <v>1553968</v>
      </c>
      <c r="R379" s="99">
        <f>IFERROR(__xludf.DUMMYFUNCTION("""COMPUTED_VALUE"""),-949468.0)</f>
        <v>-949468</v>
      </c>
    </row>
    <row r="380">
      <c r="B380" s="96">
        <f>IFERROR(__xludf.DUMMYFUNCTION("""COMPUTED_VALUE"""),6.0)</f>
        <v>6</v>
      </c>
      <c r="C380" s="98">
        <f>IFERROR(__xludf.DUMMYFUNCTION("""COMPUTED_VALUE"""),44089.0)</f>
        <v>44089</v>
      </c>
      <c r="D380" s="96" t="str">
        <f>IFERROR(__xludf.DUMMYFUNCTION("""COMPUTED_VALUE"""),"PRINNESS")</f>
        <v>PRINNESS</v>
      </c>
      <c r="E380" s="96">
        <f>IFERROR(__xludf.DUMMYFUNCTION("""COMPUTED_VALUE"""),324.0)</f>
        <v>324</v>
      </c>
      <c r="F380" s="96">
        <f>IFERROR(__xludf.DUMMYFUNCTION("""COMPUTED_VALUE"""),57.0)</f>
        <v>57</v>
      </c>
      <c r="G380" s="96"/>
      <c r="H380" s="96">
        <f>IFERROR(__xludf.DUMMYFUNCTION("""COMPUTED_VALUE"""),4.0)</f>
        <v>4</v>
      </c>
      <c r="I380" s="96"/>
      <c r="J380" s="96">
        <f>IFERROR(__xludf.DUMMYFUNCTION("""COMPUTED_VALUE"""),1766.67)</f>
        <v>1766.67</v>
      </c>
      <c r="K380" s="96">
        <f>IFERROR(__xludf.DUMMYFUNCTION("""COMPUTED_VALUE"""),14.25)</f>
        <v>14.25</v>
      </c>
      <c r="L380" s="96">
        <f>IFERROR(__xludf.DUMMYFUNCTION("""COMPUTED_VALUE"""),20.0)</f>
        <v>20</v>
      </c>
      <c r="M380" s="96">
        <f>IFERROR(__xludf.DUMMYFUNCTION("""COMPUTED_VALUE"""),4.0)</f>
        <v>4</v>
      </c>
      <c r="N380" s="96">
        <f>IFERROR(__xludf.DUMMYFUNCTION("""COMPUTED_VALUE"""),48.0)</f>
        <v>48</v>
      </c>
      <c r="O380" s="96"/>
      <c r="P380" s="129">
        <f>IFERROR(__xludf.DUMMYFUNCTION("""COMPUTED_VALUE"""),300.0)</f>
        <v>300</v>
      </c>
      <c r="Q380" s="99">
        <f>IFERROR(__xludf.DUMMYFUNCTION("""COMPUTED_VALUE"""),530000.0)</f>
        <v>530000</v>
      </c>
      <c r="R380" s="99">
        <f>IFERROR(__xludf.DUMMYFUNCTION("""COMPUTED_VALUE"""),294980.0)</f>
        <v>294980</v>
      </c>
    </row>
    <row r="381">
      <c r="B381" s="96">
        <f>IFERROR(__xludf.DUMMYFUNCTION("""COMPUTED_VALUE"""),10.0)</f>
        <v>10</v>
      </c>
      <c r="C381" s="98">
        <f>IFERROR(__xludf.DUMMYFUNCTION("""COMPUTED_VALUE"""),44091.0)</f>
        <v>44091</v>
      </c>
      <c r="D381" s="96" t="str">
        <f>IFERROR(__xludf.DUMMYFUNCTION("""COMPUTED_VALUE"""),"ANDRDEW GREAT")</f>
        <v>ANDRDEW GREAT</v>
      </c>
      <c r="E381" s="96">
        <f>IFERROR(__xludf.DUMMYFUNCTION("""COMPUTED_VALUE"""),1458.0)</f>
        <v>1458</v>
      </c>
      <c r="F381" s="96">
        <f>IFERROR(__xludf.DUMMYFUNCTION("""COMPUTED_VALUE"""),228.5)</f>
        <v>228.5</v>
      </c>
      <c r="G381" s="96"/>
      <c r="H381" s="96">
        <f>IFERROR(__xludf.DUMMYFUNCTION("""COMPUTED_VALUE"""),19.0)</f>
        <v>19</v>
      </c>
      <c r="I381" s="96"/>
      <c r="J381" s="96">
        <f>IFERROR(__xludf.DUMMYFUNCTION("""COMPUTED_VALUE"""),890.0)</f>
        <v>890</v>
      </c>
      <c r="K381" s="96">
        <f>IFERROR(__xludf.DUMMYFUNCTION("""COMPUTED_VALUE"""),12.03)</f>
        <v>12.03</v>
      </c>
      <c r="L381" s="96">
        <f>IFERROR(__xludf.DUMMYFUNCTION("""COMPUTED_VALUE"""),58.0)</f>
        <v>58</v>
      </c>
      <c r="M381" s="96">
        <f>IFERROR(__xludf.DUMMYFUNCTION("""COMPUTED_VALUE"""),21.0)</f>
        <v>21</v>
      </c>
      <c r="N381" s="96">
        <f>IFERROR(__xludf.DUMMYFUNCTION("""COMPUTED_VALUE"""),58.0)</f>
        <v>58</v>
      </c>
      <c r="O381" s="96"/>
      <c r="P381" s="129">
        <f>IFERROR(__xludf.DUMMYFUNCTION("""COMPUTED_VALUE"""),1381.0)</f>
        <v>1381</v>
      </c>
      <c r="Q381" s="99">
        <f>IFERROR(__xludf.DUMMYFUNCTION("""COMPUTED_VALUE"""),1229090.0)</f>
        <v>1229090</v>
      </c>
      <c r="R381" s="99">
        <f>IFERROR(__xludf.DUMMYFUNCTION("""COMPUTED_VALUE"""),1227860.0)</f>
        <v>1227860</v>
      </c>
    </row>
    <row r="382">
      <c r="B382" s="96">
        <f>IFERROR(__xludf.DUMMYFUNCTION("""COMPUTED_VALUE"""),16.0)</f>
        <v>16</v>
      </c>
      <c r="C382" s="98">
        <f>IFERROR(__xludf.DUMMYFUNCTION("""COMPUTED_VALUE"""),44090.0)</f>
        <v>44090</v>
      </c>
      <c r="D382" s="96" t="str">
        <f>IFERROR(__xludf.DUMMYFUNCTION("""COMPUTED_VALUE""")," MAXWELL AGRO")</f>
        <v> MAXWELL AGRO</v>
      </c>
      <c r="E382" s="96"/>
      <c r="F382" s="96"/>
      <c r="G382" s="96"/>
      <c r="H382" s="96"/>
      <c r="I382" s="96"/>
      <c r="J382" s="96"/>
      <c r="K382" s="96"/>
      <c r="L382" s="96">
        <f>IFERROR(__xludf.DUMMYFUNCTION("""COMPUTED_VALUE"""),0.0)</f>
        <v>0</v>
      </c>
      <c r="M382" s="96">
        <f>IFERROR(__xludf.DUMMYFUNCTION("""COMPUTED_VALUE"""),0.0)</f>
        <v>0</v>
      </c>
      <c r="N382" s="96">
        <f>IFERROR(__xludf.DUMMYFUNCTION("""COMPUTED_VALUE"""),0.0)</f>
        <v>0</v>
      </c>
      <c r="O382" s="96">
        <f>IFERROR(__xludf.DUMMYFUNCTION("""COMPUTED_VALUE"""),1553900.0)</f>
        <v>1553900</v>
      </c>
      <c r="P382" s="129">
        <f>IFERROR(__xludf.DUMMYFUNCTION("""COMPUTED_VALUE"""),0.0)</f>
        <v>0</v>
      </c>
      <c r="Q382" s="99"/>
      <c r="R382" s="99">
        <f>IFERROR(__xludf.DUMMYFUNCTION("""COMPUTED_VALUE"""),604432.0)</f>
        <v>604432</v>
      </c>
    </row>
    <row r="383">
      <c r="B383" s="96">
        <f>IFERROR(__xludf.DUMMYFUNCTION("""COMPUTED_VALUE"""),12.0)</f>
        <v>12</v>
      </c>
      <c r="C383" s="98">
        <f>IFERROR(__xludf.DUMMYFUNCTION("""COMPUTED_VALUE"""),44090.0)</f>
        <v>44090</v>
      </c>
      <c r="D383" s="96" t="str">
        <f>IFERROR(__xludf.DUMMYFUNCTION("""COMPUTED_VALUE"""),"ALFRED ALABI")</f>
        <v>ALFRED ALABI</v>
      </c>
      <c r="E383" s="96"/>
      <c r="F383" s="96"/>
      <c r="G383" s="96"/>
      <c r="H383" s="96"/>
      <c r="I383" s="96"/>
      <c r="J383" s="96"/>
      <c r="K383" s="96"/>
      <c r="L383" s="96">
        <f>IFERROR(__xludf.DUMMYFUNCTION("""COMPUTED_VALUE"""),0.0)</f>
        <v>0</v>
      </c>
      <c r="M383" s="96">
        <f>IFERROR(__xludf.DUMMYFUNCTION("""COMPUTED_VALUE"""),0.0)</f>
        <v>0</v>
      </c>
      <c r="N383" s="96">
        <f>IFERROR(__xludf.DUMMYFUNCTION("""COMPUTED_VALUE"""),0.0)</f>
        <v>0</v>
      </c>
      <c r="O383" s="96">
        <f>IFERROR(__xludf.DUMMYFUNCTION("""COMPUTED_VALUE"""),1161000.0)</f>
        <v>1161000</v>
      </c>
      <c r="P383" s="129">
        <f>IFERROR(__xludf.DUMMYFUNCTION("""COMPUTED_VALUE"""),0.0)</f>
        <v>0</v>
      </c>
      <c r="Q383" s="99"/>
      <c r="R383" s="99">
        <f>IFERROR(__xludf.DUMMYFUNCTION("""COMPUTED_VALUE"""),1000020.0)</f>
        <v>1000020</v>
      </c>
    </row>
    <row r="384">
      <c r="B384" s="96">
        <f>IFERROR(__xludf.DUMMYFUNCTION("""COMPUTED_VALUE"""),7.0)</f>
        <v>7</v>
      </c>
      <c r="C384" s="98">
        <f>IFERROR(__xludf.DUMMYFUNCTION("""COMPUTED_VALUE"""),44090.0)</f>
        <v>44090</v>
      </c>
      <c r="D384" s="96" t="str">
        <f>IFERROR(__xludf.DUMMYFUNCTION("""COMPUTED_VALUE"""),"AUGUSTINE IGBA")</f>
        <v>AUGUSTINE IGBA</v>
      </c>
      <c r="E384" s="96"/>
      <c r="F384" s="96"/>
      <c r="G384" s="96"/>
      <c r="H384" s="96"/>
      <c r="I384" s="96"/>
      <c r="J384" s="96"/>
      <c r="K384" s="96"/>
      <c r="L384" s="96">
        <f>IFERROR(__xludf.DUMMYFUNCTION("""COMPUTED_VALUE"""),0.0)</f>
        <v>0</v>
      </c>
      <c r="M384" s="96">
        <f>IFERROR(__xludf.DUMMYFUNCTION("""COMPUTED_VALUE"""),0.0)</f>
        <v>0</v>
      </c>
      <c r="N384" s="96">
        <f>IFERROR(__xludf.DUMMYFUNCTION("""COMPUTED_VALUE"""),0.0)</f>
        <v>0</v>
      </c>
      <c r="O384" s="96">
        <f>IFERROR(__xludf.DUMMYFUNCTION("""COMPUTED_VALUE"""),2000000.0)</f>
        <v>2000000</v>
      </c>
      <c r="P384" s="129">
        <f>IFERROR(__xludf.DUMMYFUNCTION("""COMPUTED_VALUE"""),0.0)</f>
        <v>0</v>
      </c>
      <c r="Q384" s="99"/>
      <c r="R384" s="99">
        <f>IFERROR(__xludf.DUMMYFUNCTION("""COMPUTED_VALUE"""),2.913414E7)</f>
        <v>29134140</v>
      </c>
    </row>
    <row r="385">
      <c r="B385" s="96">
        <f>IFERROR(__xludf.DUMMYFUNCTION("""COMPUTED_VALUE"""),4.0)</f>
        <v>4</v>
      </c>
      <c r="C385" s="98">
        <f>IFERROR(__xludf.DUMMYFUNCTION("""COMPUTED_VALUE"""),44090.0)</f>
        <v>44090</v>
      </c>
      <c r="D385" s="96" t="str">
        <f>IFERROR(__xludf.DUMMYFUNCTION("""COMPUTED_VALUE"""),"NDOMA PRIN")</f>
        <v>NDOMA PRIN</v>
      </c>
      <c r="E385" s="96"/>
      <c r="F385" s="96"/>
      <c r="G385" s="96"/>
      <c r="H385" s="96"/>
      <c r="I385" s="96"/>
      <c r="J385" s="96"/>
      <c r="K385" s="96"/>
      <c r="L385" s="96">
        <f>IFERROR(__xludf.DUMMYFUNCTION("""COMPUTED_VALUE"""),0.0)</f>
        <v>0</v>
      </c>
      <c r="M385" s="96">
        <f>IFERROR(__xludf.DUMMYFUNCTION("""COMPUTED_VALUE"""),0.0)</f>
        <v>0</v>
      </c>
      <c r="N385" s="96">
        <f>IFERROR(__xludf.DUMMYFUNCTION("""COMPUTED_VALUE"""),0.0)</f>
        <v>0</v>
      </c>
      <c r="O385" s="96">
        <f>IFERROR(__xludf.DUMMYFUNCTION("""COMPUTED_VALUE"""),261700.0)</f>
        <v>261700</v>
      </c>
      <c r="P385" s="129">
        <f>IFERROR(__xludf.DUMMYFUNCTION("""COMPUTED_VALUE"""),0.0)</f>
        <v>0</v>
      </c>
      <c r="Q385" s="99"/>
      <c r="R385" s="99">
        <f>IFERROR(__xludf.DUMMYFUNCTION("""COMPUTED_VALUE"""),419900.0)</f>
        <v>419900</v>
      </c>
    </row>
    <row r="386">
      <c r="B386" s="96">
        <f>IFERROR(__xludf.DUMMYFUNCTION("""COMPUTED_VALUE"""),7.0)</f>
        <v>7</v>
      </c>
      <c r="C386" s="98">
        <f>IFERROR(__xludf.DUMMYFUNCTION("""COMPUTED_VALUE"""),44090.0)</f>
        <v>44090</v>
      </c>
      <c r="D386" s="96" t="str">
        <f>IFERROR(__xludf.DUMMYFUNCTION("""COMPUTED_VALUE"""),"PRINNESS")</f>
        <v>PRINNESS</v>
      </c>
      <c r="E386" s="96"/>
      <c r="F386" s="96"/>
      <c r="G386" s="96"/>
      <c r="H386" s="96"/>
      <c r="I386" s="96"/>
      <c r="J386" s="96"/>
      <c r="K386" s="96"/>
      <c r="L386" s="96">
        <f>IFERROR(__xludf.DUMMYFUNCTION("""COMPUTED_VALUE"""),0.0)</f>
        <v>0</v>
      </c>
      <c r="M386" s="96">
        <f>IFERROR(__xludf.DUMMYFUNCTION("""COMPUTED_VALUE"""),0.0)</f>
        <v>0</v>
      </c>
      <c r="N386" s="96">
        <f>IFERROR(__xludf.DUMMYFUNCTION("""COMPUTED_VALUE"""),0.0)</f>
        <v>0</v>
      </c>
      <c r="O386" s="96">
        <f>IFERROR(__xludf.DUMMYFUNCTION("""COMPUTED_VALUE"""),520000.0)</f>
        <v>520000</v>
      </c>
      <c r="P386" s="129">
        <f>IFERROR(__xludf.DUMMYFUNCTION("""COMPUTED_VALUE"""),0.0)</f>
        <v>0</v>
      </c>
      <c r="Q386" s="99"/>
      <c r="R386" s="99">
        <f>IFERROR(__xludf.DUMMYFUNCTION("""COMPUTED_VALUE"""),814980.0)</f>
        <v>814980</v>
      </c>
    </row>
    <row r="387">
      <c r="B387" s="96">
        <f>IFERROR(__xludf.DUMMYFUNCTION("""COMPUTED_VALUE"""),17.0)</f>
        <v>17</v>
      </c>
      <c r="C387" s="98">
        <f>IFERROR(__xludf.DUMMYFUNCTION("""COMPUTED_VALUE"""),44091.0)</f>
        <v>44091</v>
      </c>
      <c r="D387" s="96" t="str">
        <f>IFERROR(__xludf.DUMMYFUNCTION("""COMPUTED_VALUE"""),"LIVINUS")</f>
        <v>LIVINUS</v>
      </c>
      <c r="E387" s="96"/>
      <c r="F387" s="96"/>
      <c r="G387" s="96"/>
      <c r="H387" s="96"/>
      <c r="I387" s="96"/>
      <c r="J387" s="96"/>
      <c r="K387" s="96"/>
      <c r="L387" s="96">
        <f>IFERROR(__xludf.DUMMYFUNCTION("""COMPUTED_VALUE"""),0.0)</f>
        <v>0</v>
      </c>
      <c r="M387" s="96">
        <f>IFERROR(__xludf.DUMMYFUNCTION("""COMPUTED_VALUE"""),0.0)</f>
        <v>0</v>
      </c>
      <c r="N387" s="96">
        <f>IFERROR(__xludf.DUMMYFUNCTION("""COMPUTED_VALUE"""),0.0)</f>
        <v>0</v>
      </c>
      <c r="O387" s="96">
        <f>IFERROR(__xludf.DUMMYFUNCTION("""COMPUTED_VALUE"""),1060000.0)</f>
        <v>1060000</v>
      </c>
      <c r="P387" s="129">
        <f>IFERROR(__xludf.DUMMYFUNCTION("""COMPUTED_VALUE"""),0.0)</f>
        <v>0</v>
      </c>
      <c r="Q387" s="99"/>
      <c r="R387" s="99">
        <f>IFERROR(__xludf.DUMMYFUNCTION("""COMPUTED_VALUE"""),1.04145E7)</f>
        <v>10414500</v>
      </c>
    </row>
    <row r="388">
      <c r="B388" s="96">
        <f>IFERROR(__xludf.DUMMYFUNCTION("""COMPUTED_VALUE"""),11.0)</f>
        <v>11</v>
      </c>
      <c r="C388" s="98">
        <f>IFERROR(__xludf.DUMMYFUNCTION("""COMPUTED_VALUE"""),44091.0)</f>
        <v>44091</v>
      </c>
      <c r="D388" s="96" t="str">
        <f>IFERROR(__xludf.DUMMYFUNCTION("""COMPUTED_VALUE"""),"ANDRDEW GREAT")</f>
        <v>ANDRDEW GREAT</v>
      </c>
      <c r="E388" s="96"/>
      <c r="F388" s="96"/>
      <c r="G388" s="96"/>
      <c r="H388" s="96"/>
      <c r="I388" s="96"/>
      <c r="J388" s="96"/>
      <c r="K388" s="96"/>
      <c r="L388" s="96">
        <f>IFERROR(__xludf.DUMMYFUNCTION("""COMPUTED_VALUE"""),0.0)</f>
        <v>0</v>
      </c>
      <c r="M388" s="96">
        <f>IFERROR(__xludf.DUMMYFUNCTION("""COMPUTED_VALUE"""),0.0)</f>
        <v>0</v>
      </c>
      <c r="N388" s="96">
        <f>IFERROR(__xludf.DUMMYFUNCTION("""COMPUTED_VALUE"""),0.0)</f>
        <v>0</v>
      </c>
      <c r="O388" s="96">
        <f>IFERROR(__xludf.DUMMYFUNCTION("""COMPUTED_VALUE"""),1229000.0)</f>
        <v>1229000</v>
      </c>
      <c r="P388" s="129">
        <f>IFERROR(__xludf.DUMMYFUNCTION("""COMPUTED_VALUE"""),0.0)</f>
        <v>0</v>
      </c>
      <c r="Q388" s="99"/>
      <c r="R388" s="99">
        <f>IFERROR(__xludf.DUMMYFUNCTION("""COMPUTED_VALUE"""),2456860.0)</f>
        <v>2456860</v>
      </c>
    </row>
    <row r="389">
      <c r="B389" s="96">
        <f>IFERROR(__xludf.DUMMYFUNCTION("""COMPUTED_VALUE"""),18.0)</f>
        <v>18</v>
      </c>
      <c r="C389" s="98">
        <f>IFERROR(__xludf.DUMMYFUNCTION("""COMPUTED_VALUE"""),44091.0)</f>
        <v>44091</v>
      </c>
      <c r="D389" s="96" t="str">
        <f>IFERROR(__xludf.DUMMYFUNCTION("""COMPUTED_VALUE"""),"CONNECT")</f>
        <v>CONNECT</v>
      </c>
      <c r="E389" s="96"/>
      <c r="F389" s="96"/>
      <c r="G389" s="96"/>
      <c r="H389" s="96"/>
      <c r="I389" s="96"/>
      <c r="J389" s="96"/>
      <c r="K389" s="96"/>
      <c r="L389" s="96">
        <f>IFERROR(__xludf.DUMMYFUNCTION("""COMPUTED_VALUE"""),0.0)</f>
        <v>0</v>
      </c>
      <c r="M389" s="96">
        <f>IFERROR(__xludf.DUMMYFUNCTION("""COMPUTED_VALUE"""),0.0)</f>
        <v>0</v>
      </c>
      <c r="N389" s="96">
        <f>IFERROR(__xludf.DUMMYFUNCTION("""COMPUTED_VALUE"""),0.0)</f>
        <v>0</v>
      </c>
      <c r="O389" s="96">
        <f>IFERROR(__xludf.DUMMYFUNCTION("""COMPUTED_VALUE"""),1000000.0)</f>
        <v>1000000</v>
      </c>
      <c r="P389" s="129">
        <f>IFERROR(__xludf.DUMMYFUNCTION("""COMPUTED_VALUE"""),0.0)</f>
        <v>0</v>
      </c>
      <c r="Q389" s="99"/>
      <c r="R389" s="99">
        <f>IFERROR(__xludf.DUMMYFUNCTION("""COMPUTED_VALUE"""),4007450.0)</f>
        <v>4007450</v>
      </c>
    </row>
    <row r="390">
      <c r="B390" s="96">
        <f>IFERROR(__xludf.DUMMYFUNCTION("""COMPUTED_VALUE"""),26.0)</f>
        <v>26</v>
      </c>
      <c r="C390" s="98">
        <f>IFERROR(__xludf.DUMMYFUNCTION("""COMPUTED_VALUE"""),44092.0)</f>
        <v>44092</v>
      </c>
      <c r="D390" s="96" t="str">
        <f>IFERROR(__xludf.DUMMYFUNCTION("""COMPUTED_VALUE"""),"LYDIA HNSON ")</f>
        <v>LYDIA HNSON </v>
      </c>
      <c r="E390" s="96"/>
      <c r="F390" s="96"/>
      <c r="G390" s="96"/>
      <c r="H390" s="96"/>
      <c r="I390" s="96"/>
      <c r="J390" s="96"/>
      <c r="K390" s="96"/>
      <c r="L390" s="96">
        <f>IFERROR(__xludf.DUMMYFUNCTION("""COMPUTED_VALUE"""),0.0)</f>
        <v>0</v>
      </c>
      <c r="M390" s="96">
        <f>IFERROR(__xludf.DUMMYFUNCTION("""COMPUTED_VALUE"""),0.0)</f>
        <v>0</v>
      </c>
      <c r="N390" s="96">
        <f>IFERROR(__xludf.DUMMYFUNCTION("""COMPUTED_VALUE"""),0.0)</f>
        <v>0</v>
      </c>
      <c r="O390" s="96">
        <f>IFERROR(__xludf.DUMMYFUNCTION("""COMPUTED_VALUE"""),2000000.0)</f>
        <v>2000000</v>
      </c>
      <c r="P390" s="129">
        <f>IFERROR(__xludf.DUMMYFUNCTION("""COMPUTED_VALUE"""),0.0)</f>
        <v>0</v>
      </c>
      <c r="Q390" s="99"/>
      <c r="R390" s="99">
        <f>IFERROR(__xludf.DUMMYFUNCTION("""COMPUTED_VALUE"""),4410520.0)</f>
        <v>4410520</v>
      </c>
    </row>
    <row r="391">
      <c r="B391" s="96">
        <f>IFERROR(__xludf.DUMMYFUNCTION("""COMPUTED_VALUE"""),27.0)</f>
        <v>27</v>
      </c>
      <c r="C391" s="98">
        <f>IFERROR(__xludf.DUMMYFUNCTION("""COMPUTED_VALUE"""),44092.0)</f>
        <v>44092</v>
      </c>
      <c r="D391" s="96" t="str">
        <f>IFERROR(__xludf.DUMMYFUNCTION("""COMPUTED_VALUE"""),"LYDIA HNSON ")</f>
        <v>LYDIA HNSON </v>
      </c>
      <c r="E391" s="96"/>
      <c r="F391" s="96"/>
      <c r="G391" s="96"/>
      <c r="H391" s="96"/>
      <c r="I391" s="96"/>
      <c r="J391" s="96"/>
      <c r="K391" s="96"/>
      <c r="L391" s="96">
        <f>IFERROR(__xludf.DUMMYFUNCTION("""COMPUTED_VALUE"""),0.0)</f>
        <v>0</v>
      </c>
      <c r="M391" s="96">
        <f>IFERROR(__xludf.DUMMYFUNCTION("""COMPUTED_VALUE"""),0.0)</f>
        <v>0</v>
      </c>
      <c r="N391" s="96">
        <f>IFERROR(__xludf.DUMMYFUNCTION("""COMPUTED_VALUE"""),0.0)</f>
        <v>0</v>
      </c>
      <c r="O391" s="96">
        <f>IFERROR(__xludf.DUMMYFUNCTION("""COMPUTED_VALUE"""),300000.0)</f>
        <v>300000</v>
      </c>
      <c r="P391" s="129">
        <f>IFERROR(__xludf.DUMMYFUNCTION("""COMPUTED_VALUE"""),0.0)</f>
        <v>0</v>
      </c>
      <c r="Q391" s="99"/>
      <c r="R391" s="99">
        <f>IFERROR(__xludf.DUMMYFUNCTION("""COMPUTED_VALUE"""),4710520.0)</f>
        <v>4710520</v>
      </c>
    </row>
    <row r="392">
      <c r="B392" s="96">
        <f>IFERROR(__xludf.DUMMYFUNCTION("""COMPUTED_VALUE"""),3.0)</f>
        <v>3</v>
      </c>
      <c r="C392" s="98">
        <f>IFERROR(__xludf.DUMMYFUNCTION("""COMPUTED_VALUE"""),44092.0)</f>
        <v>44092</v>
      </c>
      <c r="D392" s="96" t="str">
        <f>IFERROR(__xludf.DUMMYFUNCTION("""COMPUTED_VALUE"""),"ZULU ")</f>
        <v>ZULU </v>
      </c>
      <c r="E392" s="96"/>
      <c r="F392" s="96"/>
      <c r="G392" s="96"/>
      <c r="H392" s="96"/>
      <c r="I392" s="96"/>
      <c r="J392" s="96"/>
      <c r="K392" s="96"/>
      <c r="L392" s="96">
        <f>IFERROR(__xludf.DUMMYFUNCTION("""COMPUTED_VALUE"""),0.0)</f>
        <v>0</v>
      </c>
      <c r="M392" s="96">
        <f>IFERROR(__xludf.DUMMYFUNCTION("""COMPUTED_VALUE"""),0.0)</f>
        <v>0</v>
      </c>
      <c r="N392" s="96">
        <f>IFERROR(__xludf.DUMMYFUNCTION("""COMPUTED_VALUE"""),0.0)</f>
        <v>0</v>
      </c>
      <c r="O392" s="96">
        <f>IFERROR(__xludf.DUMMYFUNCTION("""COMPUTED_VALUE"""),275000.0)</f>
        <v>275000</v>
      </c>
      <c r="P392" s="129">
        <f>IFERROR(__xludf.DUMMYFUNCTION("""COMPUTED_VALUE"""),0.0)</f>
        <v>0</v>
      </c>
      <c r="Q392" s="99"/>
      <c r="R392" s="99">
        <f>IFERROR(__xludf.DUMMYFUNCTION("""COMPUTED_VALUE"""),479000.0)</f>
        <v>479000</v>
      </c>
    </row>
    <row r="393">
      <c r="B393" s="96">
        <f>IFERROR(__xludf.DUMMYFUNCTION("""COMPUTED_VALUE"""),9.0)</f>
        <v>9</v>
      </c>
      <c r="C393" s="98">
        <f>IFERROR(__xludf.DUMMYFUNCTION("""COMPUTED_VALUE"""),44092.0)</f>
        <v>44092</v>
      </c>
      <c r="D393" s="96" t="str">
        <f>IFERROR(__xludf.DUMMYFUNCTION("""COMPUTED_VALUE"""),"OTU KOKO KEIBO")</f>
        <v>OTU KOKO KEIBO</v>
      </c>
      <c r="E393" s="96"/>
      <c r="F393" s="96"/>
      <c r="G393" s="96"/>
      <c r="H393" s="96"/>
      <c r="I393" s="96"/>
      <c r="J393" s="96"/>
      <c r="K393" s="96"/>
      <c r="L393" s="96">
        <f>IFERROR(__xludf.DUMMYFUNCTION("""COMPUTED_VALUE"""),0.0)</f>
        <v>0</v>
      </c>
      <c r="M393" s="96">
        <f>IFERROR(__xludf.DUMMYFUNCTION("""COMPUTED_VALUE"""),0.0)</f>
        <v>0</v>
      </c>
      <c r="N393" s="96">
        <f>IFERROR(__xludf.DUMMYFUNCTION("""COMPUTED_VALUE"""),0.0)</f>
        <v>0</v>
      </c>
      <c r="O393" s="96">
        <f>IFERROR(__xludf.DUMMYFUNCTION("""COMPUTED_VALUE"""),20500.0)</f>
        <v>20500</v>
      </c>
      <c r="P393" s="129">
        <f>IFERROR(__xludf.DUMMYFUNCTION("""COMPUTED_VALUE"""),0.0)</f>
        <v>0</v>
      </c>
      <c r="Q393" s="99"/>
      <c r="R393" s="99">
        <f>IFERROR(__xludf.DUMMYFUNCTION("""COMPUTED_VALUE"""),2.6186425E7)</f>
        <v>26186425</v>
      </c>
    </row>
    <row r="394">
      <c r="B394" s="96">
        <f>IFERROR(__xludf.DUMMYFUNCTION("""COMPUTED_VALUE"""),10.0)</f>
        <v>10</v>
      </c>
      <c r="C394" s="98">
        <f>IFERROR(__xludf.DUMMYFUNCTION("""COMPUTED_VALUE"""),44092.0)</f>
        <v>44092</v>
      </c>
      <c r="D394" s="96" t="str">
        <f>IFERROR(__xludf.DUMMYFUNCTION("""COMPUTED_VALUE"""),"OTU KOKO KEIBO")</f>
        <v>OTU KOKO KEIBO</v>
      </c>
      <c r="E394" s="96"/>
      <c r="F394" s="96"/>
      <c r="G394" s="96"/>
      <c r="H394" s="96"/>
      <c r="I394" s="96"/>
      <c r="J394" s="96"/>
      <c r="K394" s="96"/>
      <c r="L394" s="96">
        <f>IFERROR(__xludf.DUMMYFUNCTION("""COMPUTED_VALUE"""),0.0)</f>
        <v>0</v>
      </c>
      <c r="M394" s="96">
        <f>IFERROR(__xludf.DUMMYFUNCTION("""COMPUTED_VALUE"""),0.0)</f>
        <v>0</v>
      </c>
      <c r="N394" s="96">
        <f>IFERROR(__xludf.DUMMYFUNCTION("""COMPUTED_VALUE"""),0.0)</f>
        <v>0</v>
      </c>
      <c r="O394" s="96">
        <f>IFERROR(__xludf.DUMMYFUNCTION("""COMPUTED_VALUE"""),116000.0)</f>
        <v>116000</v>
      </c>
      <c r="P394" s="129">
        <f>IFERROR(__xludf.DUMMYFUNCTION("""COMPUTED_VALUE"""),0.0)</f>
        <v>0</v>
      </c>
      <c r="Q394" s="99"/>
      <c r="R394" s="99">
        <f>IFERROR(__xludf.DUMMYFUNCTION("""COMPUTED_VALUE"""),2.6302425E7)</f>
        <v>26302425</v>
      </c>
    </row>
    <row r="395">
      <c r="B395" s="96">
        <f>IFERROR(__xludf.DUMMYFUNCTION("""COMPUTED_VALUE"""),3.0)</f>
        <v>3</v>
      </c>
      <c r="C395" s="98">
        <f>IFERROR(__xludf.DUMMYFUNCTION("""COMPUTED_VALUE"""),44092.0)</f>
        <v>44092</v>
      </c>
      <c r="D395" s="96" t="str">
        <f>IFERROR(__xludf.DUMMYFUNCTION("""COMPUTED_VALUE"""),"ABANG. DUNLOP")</f>
        <v>ABANG. DUNLOP</v>
      </c>
      <c r="E395" s="96"/>
      <c r="F395" s="96"/>
      <c r="G395" s="96"/>
      <c r="H395" s="96"/>
      <c r="I395" s="96"/>
      <c r="J395" s="96"/>
      <c r="K395" s="96"/>
      <c r="L395" s="96">
        <f>IFERROR(__xludf.DUMMYFUNCTION("""COMPUTED_VALUE"""),0.0)</f>
        <v>0</v>
      </c>
      <c r="M395" s="96">
        <f>IFERROR(__xludf.DUMMYFUNCTION("""COMPUTED_VALUE"""),0.0)</f>
        <v>0</v>
      </c>
      <c r="N395" s="96">
        <f>IFERROR(__xludf.DUMMYFUNCTION("""COMPUTED_VALUE"""),0.0)</f>
        <v>0</v>
      </c>
      <c r="O395" s="96">
        <f>IFERROR(__xludf.DUMMYFUNCTION("""COMPUTED_VALUE"""),500000.0)</f>
        <v>500000</v>
      </c>
      <c r="P395" s="129">
        <f>IFERROR(__xludf.DUMMYFUNCTION("""COMPUTED_VALUE"""),0.0)</f>
        <v>0</v>
      </c>
      <c r="Q395" s="99"/>
      <c r="R395" s="99">
        <f>IFERROR(__xludf.DUMMYFUNCTION("""COMPUTED_VALUE"""),500000.0)</f>
        <v>500000</v>
      </c>
    </row>
    <row r="396">
      <c r="B396" s="96">
        <f>IFERROR(__xludf.DUMMYFUNCTION("""COMPUTED_VALUE"""),19.0)</f>
        <v>19</v>
      </c>
      <c r="C396" s="98">
        <f>IFERROR(__xludf.DUMMYFUNCTION("""COMPUTED_VALUE"""),44093.0)</f>
        <v>44093</v>
      </c>
      <c r="D396" s="96" t="str">
        <f>IFERROR(__xludf.DUMMYFUNCTION("""COMPUTED_VALUE"""),"CONNECT")</f>
        <v>CONNECT</v>
      </c>
      <c r="E396" s="96">
        <f>IFERROR(__xludf.DUMMYFUNCTION("""COMPUTED_VALUE"""),1907.0)</f>
        <v>1907</v>
      </c>
      <c r="F396" s="96">
        <f>IFERROR(__xludf.DUMMYFUNCTION("""COMPUTED_VALUE"""),232.0)</f>
        <v>232</v>
      </c>
      <c r="G396" s="96"/>
      <c r="H396" s="96">
        <f>IFERROR(__xludf.DUMMYFUNCTION("""COMPUTED_VALUE"""),29.0)</f>
        <v>29</v>
      </c>
      <c r="I396" s="96"/>
      <c r="J396" s="96">
        <f>IFERROR(__xludf.DUMMYFUNCTION("""COMPUTED_VALUE"""),900.0)</f>
        <v>900</v>
      </c>
      <c r="K396" s="96">
        <f>IFERROR(__xludf.DUMMYFUNCTION("""COMPUTED_VALUE"""),8.0)</f>
        <v>8</v>
      </c>
      <c r="L396" s="96">
        <f>IFERROR(__xludf.DUMMYFUNCTION("""COMPUTED_VALUE"""),0.0)</f>
        <v>0</v>
      </c>
      <c r="M396" s="96">
        <f>IFERROR(__xludf.DUMMYFUNCTION("""COMPUTED_VALUE"""),29.0)</f>
        <v>29</v>
      </c>
      <c r="N396" s="96">
        <f>IFERROR(__xludf.DUMMYFUNCTION("""COMPUTED_VALUE"""),51.0)</f>
        <v>51</v>
      </c>
      <c r="O396" s="96"/>
      <c r="P396" s="129">
        <f>IFERROR(__xludf.DUMMYFUNCTION("""COMPUTED_VALUE"""),1878.0)</f>
        <v>1878</v>
      </c>
      <c r="Q396" s="99">
        <f>IFERROR(__xludf.DUMMYFUNCTION("""COMPUTED_VALUE"""),1690200.0)</f>
        <v>1690200</v>
      </c>
      <c r="R396" s="99">
        <f>IFERROR(__xludf.DUMMYFUNCTION("""COMPUTED_VALUE"""),2317250.0)</f>
        <v>2317250</v>
      </c>
    </row>
    <row r="397">
      <c r="B397" s="96">
        <f>IFERROR(__xludf.DUMMYFUNCTION("""COMPUTED_VALUE"""),3.0)</f>
        <v>3</v>
      </c>
      <c r="C397" s="98">
        <f>IFERROR(__xludf.DUMMYFUNCTION("""COMPUTED_VALUE"""),44093.0)</f>
        <v>44093</v>
      </c>
      <c r="D397" s="96" t="str">
        <f>IFERROR(__xludf.DUMMYFUNCTION("""COMPUTED_VALUE"""),"OSIM MARIAM")</f>
        <v>OSIM MARIAM</v>
      </c>
      <c r="E397" s="96"/>
      <c r="F397" s="96"/>
      <c r="G397" s="96"/>
      <c r="H397" s="96"/>
      <c r="I397" s="96"/>
      <c r="J397" s="96"/>
      <c r="K397" s="96"/>
      <c r="L397" s="96">
        <f>IFERROR(__xludf.DUMMYFUNCTION("""COMPUTED_VALUE"""),0.0)</f>
        <v>0</v>
      </c>
      <c r="M397" s="96">
        <f>IFERROR(__xludf.DUMMYFUNCTION("""COMPUTED_VALUE"""),0.0)</f>
        <v>0</v>
      </c>
      <c r="N397" s="96">
        <f>IFERROR(__xludf.DUMMYFUNCTION("""COMPUTED_VALUE"""),0.0)</f>
        <v>0</v>
      </c>
      <c r="O397" s="96">
        <f>IFERROR(__xludf.DUMMYFUNCTION("""COMPUTED_VALUE"""),50000.0)</f>
        <v>50000</v>
      </c>
      <c r="P397" s="129">
        <f>IFERROR(__xludf.DUMMYFUNCTION("""COMPUTED_VALUE"""),0.0)</f>
        <v>0</v>
      </c>
      <c r="Q397" s="99"/>
      <c r="R397" s="99">
        <f>IFERROR(__xludf.DUMMYFUNCTION("""COMPUTED_VALUE"""),700000.0)</f>
        <v>700000</v>
      </c>
    </row>
    <row r="398">
      <c r="B398" s="96">
        <f>IFERROR(__xludf.DUMMYFUNCTION("""COMPUTED_VALUE"""),4.0)</f>
        <v>4</v>
      </c>
      <c r="C398" s="98">
        <f>IFERROR(__xludf.DUMMYFUNCTION("""COMPUTED_VALUE"""),44095.0)</f>
        <v>44095</v>
      </c>
      <c r="D398" s="96" t="str">
        <f>IFERROR(__xludf.DUMMYFUNCTION("""COMPUTED_VALUE"""),"OSIM MARIAM")</f>
        <v>OSIM MARIAM</v>
      </c>
      <c r="E398" s="96"/>
      <c r="F398" s="96"/>
      <c r="G398" s="96"/>
      <c r="H398" s="96"/>
      <c r="I398" s="96"/>
      <c r="J398" s="96"/>
      <c r="K398" s="96"/>
      <c r="L398" s="96">
        <f>IFERROR(__xludf.DUMMYFUNCTION("""COMPUTED_VALUE"""),0.0)</f>
        <v>0</v>
      </c>
      <c r="M398" s="96">
        <f>IFERROR(__xludf.DUMMYFUNCTION("""COMPUTED_VALUE"""),0.0)</f>
        <v>0</v>
      </c>
      <c r="N398" s="96">
        <f>IFERROR(__xludf.DUMMYFUNCTION("""COMPUTED_VALUE"""),0.0)</f>
        <v>0</v>
      </c>
      <c r="O398" s="96">
        <f>IFERROR(__xludf.DUMMYFUNCTION("""COMPUTED_VALUE"""),500000.0)</f>
        <v>500000</v>
      </c>
      <c r="P398" s="129">
        <f>IFERROR(__xludf.DUMMYFUNCTION("""COMPUTED_VALUE"""),0.0)</f>
        <v>0</v>
      </c>
      <c r="Q398" s="99"/>
      <c r="R398" s="99">
        <f>IFERROR(__xludf.DUMMYFUNCTION("""COMPUTED_VALUE"""),1200000.0)</f>
        <v>1200000</v>
      </c>
    </row>
    <row r="399">
      <c r="B399" s="96">
        <f>IFERROR(__xludf.DUMMYFUNCTION("""COMPUTED_VALUE"""),7.0)</f>
        <v>7</v>
      </c>
      <c r="C399" s="98">
        <f>IFERROR(__xludf.DUMMYFUNCTION("""COMPUTED_VALUE"""),44095.0)</f>
        <v>44095</v>
      </c>
      <c r="D399" s="96" t="str">
        <f>IFERROR(__xludf.DUMMYFUNCTION("""COMPUTED_VALUE"""),"EUGENE")</f>
        <v>EUGENE</v>
      </c>
      <c r="E399" s="96"/>
      <c r="F399" s="96"/>
      <c r="G399" s="96"/>
      <c r="H399" s="96"/>
      <c r="I399" s="96"/>
      <c r="J399" s="96"/>
      <c r="K399" s="96"/>
      <c r="L399" s="96">
        <f>IFERROR(__xludf.DUMMYFUNCTION("""COMPUTED_VALUE"""),0.0)</f>
        <v>0</v>
      </c>
      <c r="M399" s="96">
        <f>IFERROR(__xludf.DUMMYFUNCTION("""COMPUTED_VALUE"""),0.0)</f>
        <v>0</v>
      </c>
      <c r="N399" s="96">
        <f>IFERROR(__xludf.DUMMYFUNCTION("""COMPUTED_VALUE"""),0.0)</f>
        <v>0</v>
      </c>
      <c r="O399" s="96">
        <f>IFERROR(__xludf.DUMMYFUNCTION("""COMPUTED_VALUE"""),600000.0)</f>
        <v>600000</v>
      </c>
      <c r="P399" s="129">
        <f>IFERROR(__xludf.DUMMYFUNCTION("""COMPUTED_VALUE"""),0.0)</f>
        <v>0</v>
      </c>
      <c r="Q399" s="99"/>
      <c r="R399" s="99">
        <f>IFERROR(__xludf.DUMMYFUNCTION("""COMPUTED_VALUE"""),1650000.0)</f>
        <v>1650000</v>
      </c>
    </row>
    <row r="400">
      <c r="B400" s="96">
        <f>IFERROR(__xludf.DUMMYFUNCTION("""COMPUTED_VALUE"""),11.0)</f>
        <v>11</v>
      </c>
      <c r="C400" s="98">
        <f>IFERROR(__xludf.DUMMYFUNCTION("""COMPUTED_VALUE"""),44095.0)</f>
        <v>44095</v>
      </c>
      <c r="D400" s="96" t="str">
        <f>IFERROR(__xludf.DUMMYFUNCTION("""COMPUTED_VALUE"""),"OTU KOKO KEIBO")</f>
        <v>OTU KOKO KEIBO</v>
      </c>
      <c r="E400" s="96"/>
      <c r="F400" s="96"/>
      <c r="G400" s="96"/>
      <c r="H400" s="96"/>
      <c r="I400" s="96"/>
      <c r="J400" s="96"/>
      <c r="K400" s="96"/>
      <c r="L400" s="96">
        <f>IFERROR(__xludf.DUMMYFUNCTION("""COMPUTED_VALUE"""),0.0)</f>
        <v>0</v>
      </c>
      <c r="M400" s="96">
        <f>IFERROR(__xludf.DUMMYFUNCTION("""COMPUTED_VALUE"""),0.0)</f>
        <v>0</v>
      </c>
      <c r="N400" s="96">
        <f>IFERROR(__xludf.DUMMYFUNCTION("""COMPUTED_VALUE"""),0.0)</f>
        <v>0</v>
      </c>
      <c r="O400" s="96">
        <f>IFERROR(__xludf.DUMMYFUNCTION("""COMPUTED_VALUE"""),200000.0)</f>
        <v>200000</v>
      </c>
      <c r="P400" s="129">
        <f>IFERROR(__xludf.DUMMYFUNCTION("""COMPUTED_VALUE"""),0.0)</f>
        <v>0</v>
      </c>
      <c r="Q400" s="99"/>
      <c r="R400" s="99">
        <f>IFERROR(__xludf.DUMMYFUNCTION("""COMPUTED_VALUE"""),2.6502425E7)</f>
        <v>26502425</v>
      </c>
    </row>
    <row r="401">
      <c r="B401" s="96">
        <f>IFERROR(__xludf.DUMMYFUNCTION("""COMPUTED_VALUE"""),20.0)</f>
        <v>20</v>
      </c>
      <c r="C401" s="98">
        <f>IFERROR(__xludf.DUMMYFUNCTION("""COMPUTED_VALUE"""),44096.0)</f>
        <v>44096</v>
      </c>
      <c r="D401" s="96" t="str">
        <f>IFERROR(__xludf.DUMMYFUNCTION("""COMPUTED_VALUE"""),"CONNECT")</f>
        <v>CONNECT</v>
      </c>
      <c r="E401" s="96"/>
      <c r="F401" s="96"/>
      <c r="G401" s="96"/>
      <c r="H401" s="96"/>
      <c r="I401" s="96"/>
      <c r="J401" s="96"/>
      <c r="K401" s="96"/>
      <c r="L401" s="96">
        <f>IFERROR(__xludf.DUMMYFUNCTION("""COMPUTED_VALUE"""),0.0)</f>
        <v>0</v>
      </c>
      <c r="M401" s="96">
        <f>IFERROR(__xludf.DUMMYFUNCTION("""COMPUTED_VALUE"""),0.0)</f>
        <v>0</v>
      </c>
      <c r="N401" s="96">
        <f>IFERROR(__xludf.DUMMYFUNCTION("""COMPUTED_VALUE"""),0.0)</f>
        <v>0</v>
      </c>
      <c r="O401" s="96">
        <f>IFERROR(__xludf.DUMMYFUNCTION("""COMPUTED_VALUE"""),4000000.0)</f>
        <v>4000000</v>
      </c>
      <c r="P401" s="129">
        <f>IFERROR(__xludf.DUMMYFUNCTION("""COMPUTED_VALUE"""),0.0)</f>
        <v>0</v>
      </c>
      <c r="Q401" s="99"/>
      <c r="R401" s="99">
        <f>IFERROR(__xludf.DUMMYFUNCTION("""COMPUTED_VALUE"""),6317250.0)</f>
        <v>6317250</v>
      </c>
    </row>
    <row r="402">
      <c r="B402" s="96">
        <f>IFERROR(__xludf.DUMMYFUNCTION("""COMPUTED_VALUE"""),2.0)</f>
        <v>2</v>
      </c>
      <c r="C402" s="98">
        <f>IFERROR(__xludf.DUMMYFUNCTION("""COMPUTED_VALUE"""),44096.0)</f>
        <v>44096</v>
      </c>
      <c r="D402" s="96" t="str">
        <f>IFERROR(__xludf.DUMMYFUNCTION("""COMPUTED_VALUE"""),"COLLABS")</f>
        <v>COLLABS</v>
      </c>
      <c r="E402" s="96"/>
      <c r="F402" s="96"/>
      <c r="G402" s="96"/>
      <c r="H402" s="96"/>
      <c r="I402" s="96"/>
      <c r="J402" s="96"/>
      <c r="K402" s="96"/>
      <c r="L402" s="96">
        <f>IFERROR(__xludf.DUMMYFUNCTION("""COMPUTED_VALUE"""),0.0)</f>
        <v>0</v>
      </c>
      <c r="M402" s="96">
        <f>IFERROR(__xludf.DUMMYFUNCTION("""COMPUTED_VALUE"""),0.0)</f>
        <v>0</v>
      </c>
      <c r="N402" s="96">
        <f>IFERROR(__xludf.DUMMYFUNCTION("""COMPUTED_VALUE"""),0.0)</f>
        <v>0</v>
      </c>
      <c r="O402" s="96">
        <f>IFERROR(__xludf.DUMMYFUNCTION("""COMPUTED_VALUE"""),200000.0)</f>
        <v>200000</v>
      </c>
      <c r="P402" s="129">
        <f>IFERROR(__xludf.DUMMYFUNCTION("""COMPUTED_VALUE"""),0.0)</f>
        <v>0</v>
      </c>
      <c r="Q402" s="99"/>
      <c r="R402" s="99">
        <f>IFERROR(__xludf.DUMMYFUNCTION("""COMPUTED_VALUE"""),420000.0)</f>
        <v>420000</v>
      </c>
    </row>
    <row r="403">
      <c r="B403" s="96">
        <f>IFERROR(__xludf.DUMMYFUNCTION("""COMPUTED_VALUE"""),8.0)</f>
        <v>8</v>
      </c>
      <c r="C403" s="98">
        <f>IFERROR(__xludf.DUMMYFUNCTION("""COMPUTED_VALUE"""),44096.0)</f>
        <v>44096</v>
      </c>
      <c r="D403" s="96" t="str">
        <f>IFERROR(__xludf.DUMMYFUNCTION("""COMPUTED_VALUE"""),"KARIEN EBAN")</f>
        <v>KARIEN EBAN</v>
      </c>
      <c r="E403" s="96"/>
      <c r="F403" s="96"/>
      <c r="G403" s="96"/>
      <c r="H403" s="96"/>
      <c r="I403" s="96"/>
      <c r="J403" s="96"/>
      <c r="K403" s="96"/>
      <c r="L403" s="96">
        <f>IFERROR(__xludf.DUMMYFUNCTION("""COMPUTED_VALUE"""),0.0)</f>
        <v>0</v>
      </c>
      <c r="M403" s="96">
        <f>IFERROR(__xludf.DUMMYFUNCTION("""COMPUTED_VALUE"""),0.0)</f>
        <v>0</v>
      </c>
      <c r="N403" s="96">
        <f>IFERROR(__xludf.DUMMYFUNCTION("""COMPUTED_VALUE"""),0.0)</f>
        <v>0</v>
      </c>
      <c r="O403" s="96">
        <f>IFERROR(__xludf.DUMMYFUNCTION("""COMPUTED_VALUE"""),5000.0)</f>
        <v>5000</v>
      </c>
      <c r="P403" s="129">
        <f>IFERROR(__xludf.DUMMYFUNCTION("""COMPUTED_VALUE"""),0.0)</f>
        <v>0</v>
      </c>
      <c r="Q403" s="99"/>
      <c r="R403" s="99">
        <f>IFERROR(__xludf.DUMMYFUNCTION("""COMPUTED_VALUE"""),3004810.0)</f>
        <v>3004810</v>
      </c>
    </row>
    <row r="404">
      <c r="B404" s="96">
        <f>IFERROR(__xludf.DUMMYFUNCTION("""COMPUTED_VALUE"""),5.0)</f>
        <v>5</v>
      </c>
      <c r="C404" s="98">
        <f>IFERROR(__xludf.DUMMYFUNCTION("""COMPUTED_VALUE"""),44096.0)</f>
        <v>44096</v>
      </c>
      <c r="D404" s="96" t="str">
        <f>IFERROR(__xludf.DUMMYFUNCTION("""COMPUTED_VALUE"""),"NDOMA PRIN")</f>
        <v>NDOMA PRIN</v>
      </c>
      <c r="E404" s="96"/>
      <c r="F404" s="96"/>
      <c r="G404" s="96"/>
      <c r="H404" s="96"/>
      <c r="I404" s="96"/>
      <c r="J404" s="96"/>
      <c r="K404" s="96"/>
      <c r="L404" s="96">
        <f>IFERROR(__xludf.DUMMYFUNCTION("""COMPUTED_VALUE"""),0.0)</f>
        <v>0</v>
      </c>
      <c r="M404" s="96">
        <f>IFERROR(__xludf.DUMMYFUNCTION("""COMPUTED_VALUE"""),0.0)</f>
        <v>0</v>
      </c>
      <c r="N404" s="96">
        <f>IFERROR(__xludf.DUMMYFUNCTION("""COMPUTED_VALUE"""),0.0)</f>
        <v>0</v>
      </c>
      <c r="O404" s="96">
        <f>IFERROR(__xludf.DUMMYFUNCTION("""COMPUTED_VALUE"""),456000.0)</f>
        <v>456000</v>
      </c>
      <c r="P404" s="129">
        <f>IFERROR(__xludf.DUMMYFUNCTION("""COMPUTED_VALUE"""),0.0)</f>
        <v>0</v>
      </c>
      <c r="Q404" s="99"/>
      <c r="R404" s="99">
        <f>IFERROR(__xludf.DUMMYFUNCTION("""COMPUTED_VALUE"""),875900.0)</f>
        <v>875900</v>
      </c>
    </row>
    <row r="405">
      <c r="B405" s="96">
        <f>IFERROR(__xludf.DUMMYFUNCTION("""COMPUTED_VALUE"""),3.0)</f>
        <v>3</v>
      </c>
      <c r="C405" s="98">
        <f>IFERROR(__xludf.DUMMYFUNCTION("""COMPUTED_VALUE"""),44096.0)</f>
        <v>44096</v>
      </c>
      <c r="D405" s="96" t="str">
        <f>IFERROR(__xludf.DUMMYFUNCTION("""COMPUTED_VALUE"""),"MAXWELL AGRO PRIN")</f>
        <v>MAXWELL AGRO PRIN</v>
      </c>
      <c r="E405" s="96"/>
      <c r="F405" s="96"/>
      <c r="G405" s="96"/>
      <c r="H405" s="96"/>
      <c r="I405" s="96"/>
      <c r="J405" s="96"/>
      <c r="K405" s="96"/>
      <c r="L405" s="96">
        <f>IFERROR(__xludf.DUMMYFUNCTION("""COMPUTED_VALUE"""),0.0)</f>
        <v>0</v>
      </c>
      <c r="M405" s="96">
        <f>IFERROR(__xludf.DUMMYFUNCTION("""COMPUTED_VALUE"""),0.0)</f>
        <v>0</v>
      </c>
      <c r="N405" s="96">
        <f>IFERROR(__xludf.DUMMYFUNCTION("""COMPUTED_VALUE"""),0.0)</f>
        <v>0</v>
      </c>
      <c r="O405" s="96">
        <f>IFERROR(__xludf.DUMMYFUNCTION("""COMPUTED_VALUE"""),10000.0)</f>
        <v>10000</v>
      </c>
      <c r="P405" s="129">
        <f>IFERROR(__xludf.DUMMYFUNCTION("""COMPUTED_VALUE"""),0.0)</f>
        <v>0</v>
      </c>
      <c r="Q405" s="99"/>
      <c r="R405" s="99">
        <f>IFERROR(__xludf.DUMMYFUNCTION("""COMPUTED_VALUE"""),340000.0)</f>
        <v>340000</v>
      </c>
    </row>
    <row r="406">
      <c r="B406" s="96">
        <f>IFERROR(__xludf.DUMMYFUNCTION("""COMPUTED_VALUE"""),18.0)</f>
        <v>18</v>
      </c>
      <c r="C406" s="98">
        <f>IFERROR(__xludf.DUMMYFUNCTION("""COMPUTED_VALUE"""),44096.0)</f>
        <v>44096</v>
      </c>
      <c r="D406" s="96" t="str">
        <f>IFERROR(__xludf.DUMMYFUNCTION("""COMPUTED_VALUE"""),"LIVINUS")</f>
        <v>LIVINUS</v>
      </c>
      <c r="E406" s="96"/>
      <c r="F406" s="96"/>
      <c r="G406" s="96"/>
      <c r="H406" s="96"/>
      <c r="I406" s="96"/>
      <c r="J406" s="96"/>
      <c r="K406" s="96"/>
      <c r="L406" s="96">
        <f>IFERROR(__xludf.DUMMYFUNCTION("""COMPUTED_VALUE"""),0.0)</f>
        <v>0</v>
      </c>
      <c r="M406" s="96">
        <f>IFERROR(__xludf.DUMMYFUNCTION("""COMPUTED_VALUE"""),0.0)</f>
        <v>0</v>
      </c>
      <c r="N406" s="96">
        <f>IFERROR(__xludf.DUMMYFUNCTION("""COMPUTED_VALUE"""),0.0)</f>
        <v>0</v>
      </c>
      <c r="O406" s="96">
        <f>IFERROR(__xludf.DUMMYFUNCTION("""COMPUTED_VALUE"""),367000.0)</f>
        <v>367000</v>
      </c>
      <c r="P406" s="129">
        <f>IFERROR(__xludf.DUMMYFUNCTION("""COMPUTED_VALUE"""),0.0)</f>
        <v>0</v>
      </c>
      <c r="Q406" s="99"/>
      <c r="R406" s="99">
        <f>IFERROR(__xludf.DUMMYFUNCTION("""COMPUTED_VALUE"""),1.07815E7)</f>
        <v>10781500</v>
      </c>
    </row>
    <row r="407">
      <c r="B407" s="96">
        <f>IFERROR(__xludf.DUMMYFUNCTION("""COMPUTED_VALUE"""),13.0)</f>
        <v>13</v>
      </c>
      <c r="C407" s="98">
        <f>IFERROR(__xludf.DUMMYFUNCTION("""COMPUTED_VALUE"""),44096.0)</f>
        <v>44096</v>
      </c>
      <c r="D407" s="96" t="str">
        <f>IFERROR(__xludf.DUMMYFUNCTION("""COMPUTED_VALUE"""),"ETUK EFFI")</f>
        <v>ETUK EFFI</v>
      </c>
      <c r="E407" s="96"/>
      <c r="F407" s="96"/>
      <c r="G407" s="96"/>
      <c r="H407" s="96"/>
      <c r="I407" s="96"/>
      <c r="J407" s="96"/>
      <c r="K407" s="96"/>
      <c r="L407" s="96">
        <f>IFERROR(__xludf.DUMMYFUNCTION("""COMPUTED_VALUE"""),0.0)</f>
        <v>0</v>
      </c>
      <c r="M407" s="96">
        <f>IFERROR(__xludf.DUMMYFUNCTION("""COMPUTED_VALUE"""),0.0)</f>
        <v>0</v>
      </c>
      <c r="N407" s="96">
        <f>IFERROR(__xludf.DUMMYFUNCTION("""COMPUTED_VALUE"""),0.0)</f>
        <v>0</v>
      </c>
      <c r="O407" s="96">
        <f>IFERROR(__xludf.DUMMYFUNCTION("""COMPUTED_VALUE"""),1500000.0)</f>
        <v>1500000</v>
      </c>
      <c r="P407" s="129">
        <f>IFERROR(__xludf.DUMMYFUNCTION("""COMPUTED_VALUE"""),0.0)</f>
        <v>0</v>
      </c>
      <c r="Q407" s="99"/>
      <c r="R407" s="99">
        <f>IFERROR(__xludf.DUMMYFUNCTION("""COMPUTED_VALUE"""),3000000.0)</f>
        <v>3000000</v>
      </c>
    </row>
    <row r="408">
      <c r="B408" s="96">
        <f>IFERROR(__xludf.DUMMYFUNCTION("""COMPUTED_VALUE"""),15.0)</f>
        <v>15</v>
      </c>
      <c r="C408" s="98">
        <f>IFERROR(__xludf.DUMMYFUNCTION("""COMPUTED_VALUE"""),44096.0)</f>
        <v>44096</v>
      </c>
      <c r="D408" s="96" t="str">
        <f>IFERROR(__xludf.DUMMYFUNCTION("""COMPUTED_VALUE"""),"NDOMA BODE I.D")</f>
        <v>NDOMA BODE I.D</v>
      </c>
      <c r="E408" s="96"/>
      <c r="F408" s="96"/>
      <c r="G408" s="96"/>
      <c r="H408" s="96"/>
      <c r="I408" s="96"/>
      <c r="J408" s="96"/>
      <c r="K408" s="96"/>
      <c r="L408" s="96">
        <f>IFERROR(__xludf.DUMMYFUNCTION("""COMPUTED_VALUE"""),0.0)</f>
        <v>0</v>
      </c>
      <c r="M408" s="96">
        <f>IFERROR(__xludf.DUMMYFUNCTION("""COMPUTED_VALUE"""),0.0)</f>
        <v>0</v>
      </c>
      <c r="N408" s="96">
        <f>IFERROR(__xludf.DUMMYFUNCTION("""COMPUTED_VALUE"""),0.0)</f>
        <v>0</v>
      </c>
      <c r="O408" s="96">
        <f>IFERROR(__xludf.DUMMYFUNCTION("""COMPUTED_VALUE"""),500000.0)</f>
        <v>500000</v>
      </c>
      <c r="P408" s="129">
        <f>IFERROR(__xludf.DUMMYFUNCTION("""COMPUTED_VALUE"""),0.0)</f>
        <v>0</v>
      </c>
      <c r="Q408" s="99"/>
      <c r="R408" s="99">
        <f>IFERROR(__xludf.DUMMYFUNCTION("""COMPUTED_VALUE"""),1499940.0)</f>
        <v>1499940</v>
      </c>
    </row>
    <row r="409">
      <c r="B409" s="96">
        <f>IFERROR(__xludf.DUMMYFUNCTION("""COMPUTED_VALUE"""),10.0)</f>
        <v>10</v>
      </c>
      <c r="C409" s="98">
        <f>IFERROR(__xludf.DUMMYFUNCTION("""COMPUTED_VALUE"""),44097.0)</f>
        <v>44097</v>
      </c>
      <c r="D409" s="96" t="str">
        <f>IFERROR(__xludf.DUMMYFUNCTION("""COMPUTED_VALUE"""),"A. D. FREDERICK")</f>
        <v>A. D. FREDERICK</v>
      </c>
      <c r="E409" s="96"/>
      <c r="F409" s="96"/>
      <c r="G409" s="96"/>
      <c r="H409" s="96"/>
      <c r="I409" s="96"/>
      <c r="J409" s="96"/>
      <c r="K409" s="96"/>
      <c r="L409" s="96">
        <f>IFERROR(__xludf.DUMMYFUNCTION("""COMPUTED_VALUE"""),0.0)</f>
        <v>0</v>
      </c>
      <c r="M409" s="96">
        <f>IFERROR(__xludf.DUMMYFUNCTION("""COMPUTED_VALUE"""),0.0)</f>
        <v>0</v>
      </c>
      <c r="N409" s="96">
        <f>IFERROR(__xludf.DUMMYFUNCTION("""COMPUTED_VALUE"""),0.0)</f>
        <v>0</v>
      </c>
      <c r="O409" s="96">
        <f>IFERROR(__xludf.DUMMYFUNCTION("""COMPUTED_VALUE"""),1824000.0)</f>
        <v>1824000</v>
      </c>
      <c r="P409" s="129">
        <f>IFERROR(__xludf.DUMMYFUNCTION("""COMPUTED_VALUE"""),0.0)</f>
        <v>0</v>
      </c>
      <c r="Q409" s="99"/>
      <c r="R409" s="99">
        <f>IFERROR(__xludf.DUMMYFUNCTION("""COMPUTED_VALUE"""),3607410.0)</f>
        <v>3607410</v>
      </c>
    </row>
    <row r="410">
      <c r="B410" s="96">
        <f>IFERROR(__xludf.DUMMYFUNCTION("""COMPUTED_VALUE"""),5.0)</f>
        <v>5</v>
      </c>
      <c r="C410" s="98">
        <f>IFERROR(__xludf.DUMMYFUNCTION("""COMPUTED_VALUE"""),44097.0)</f>
        <v>44097</v>
      </c>
      <c r="D410" s="96" t="str">
        <f>IFERROR(__xludf.DUMMYFUNCTION("""COMPUTED_VALUE"""),"MATIAT LOVE")</f>
        <v>MATIAT LOVE</v>
      </c>
      <c r="E410" s="96"/>
      <c r="F410" s="96"/>
      <c r="G410" s="96"/>
      <c r="H410" s="96"/>
      <c r="I410" s="96"/>
      <c r="J410" s="96"/>
      <c r="K410" s="96"/>
      <c r="L410" s="96">
        <f>IFERROR(__xludf.DUMMYFUNCTION("""COMPUTED_VALUE"""),0.0)</f>
        <v>0</v>
      </c>
      <c r="M410" s="96">
        <f>IFERROR(__xludf.DUMMYFUNCTION("""COMPUTED_VALUE"""),0.0)</f>
        <v>0</v>
      </c>
      <c r="N410" s="96">
        <f>IFERROR(__xludf.DUMMYFUNCTION("""COMPUTED_VALUE"""),0.0)</f>
        <v>0</v>
      </c>
      <c r="O410" s="96">
        <f>IFERROR(__xludf.DUMMYFUNCTION("""COMPUTED_VALUE"""),20000.0)</f>
        <v>20000</v>
      </c>
      <c r="P410" s="129">
        <f>IFERROR(__xludf.DUMMYFUNCTION("""COMPUTED_VALUE"""),0.0)</f>
        <v>0</v>
      </c>
      <c r="Q410" s="99"/>
      <c r="R410" s="99">
        <f>IFERROR(__xludf.DUMMYFUNCTION("""COMPUTED_VALUE"""),69920.0)</f>
        <v>69920</v>
      </c>
    </row>
    <row r="411">
      <c r="B411" s="96">
        <f>IFERROR(__xludf.DUMMYFUNCTION("""COMPUTED_VALUE"""),12.0)</f>
        <v>12</v>
      </c>
      <c r="C411" s="98">
        <f>IFERROR(__xludf.DUMMYFUNCTION("""COMPUTED_VALUE"""),44097.0)</f>
        <v>44097</v>
      </c>
      <c r="D411" s="96" t="str">
        <f>IFERROR(__xludf.DUMMYFUNCTION("""COMPUTED_VALUE"""),"OTU KOKO KEIBO")</f>
        <v>OTU KOKO KEIBO</v>
      </c>
      <c r="E411" s="96"/>
      <c r="F411" s="96"/>
      <c r="G411" s="96"/>
      <c r="H411" s="96"/>
      <c r="I411" s="96"/>
      <c r="J411" s="96"/>
      <c r="K411" s="96"/>
      <c r="L411" s="96">
        <f>IFERROR(__xludf.DUMMYFUNCTION("""COMPUTED_VALUE"""),0.0)</f>
        <v>0</v>
      </c>
      <c r="M411" s="96">
        <f>IFERROR(__xludf.DUMMYFUNCTION("""COMPUTED_VALUE"""),0.0)</f>
        <v>0</v>
      </c>
      <c r="N411" s="96">
        <f>IFERROR(__xludf.DUMMYFUNCTION("""COMPUTED_VALUE"""),0.0)</f>
        <v>0</v>
      </c>
      <c r="O411" s="96">
        <f>IFERROR(__xludf.DUMMYFUNCTION("""COMPUTED_VALUE"""),1600000.0)</f>
        <v>1600000</v>
      </c>
      <c r="P411" s="129">
        <f>IFERROR(__xludf.DUMMYFUNCTION("""COMPUTED_VALUE"""),0.0)</f>
        <v>0</v>
      </c>
      <c r="Q411" s="99"/>
      <c r="R411" s="99">
        <f>IFERROR(__xludf.DUMMYFUNCTION("""COMPUTED_VALUE"""),2.8102425E7)</f>
        <v>28102425</v>
      </c>
    </row>
    <row r="412">
      <c r="B412" s="96">
        <f>IFERROR(__xludf.DUMMYFUNCTION("""COMPUTED_VALUE"""),11.0)</f>
        <v>11</v>
      </c>
      <c r="C412" s="98">
        <f>IFERROR(__xludf.DUMMYFUNCTION("""COMPUTED_VALUE"""),44097.0)</f>
        <v>44097</v>
      </c>
      <c r="D412" s="96" t="str">
        <f>IFERROR(__xludf.DUMMYFUNCTION("""COMPUTED_VALUE"""),"A. D. FREDERICK")</f>
        <v>A. D. FREDERICK</v>
      </c>
      <c r="E412" s="96">
        <f>IFERROR(__xludf.DUMMYFUNCTION("""COMPUTED_VALUE"""),1960.0)</f>
        <v>1960</v>
      </c>
      <c r="F412" s="96">
        <f>IFERROR(__xludf.DUMMYFUNCTION("""COMPUTED_VALUE"""),269.0)</f>
        <v>269</v>
      </c>
      <c r="G412" s="96"/>
      <c r="H412" s="96">
        <f>IFERROR(__xludf.DUMMYFUNCTION("""COMPUTED_VALUE"""),29.0)</f>
        <v>29</v>
      </c>
      <c r="I412" s="96"/>
      <c r="J412" s="96">
        <f>IFERROR(__xludf.DUMMYFUNCTION("""COMPUTED_VALUE"""),935.68)</f>
        <v>935.68</v>
      </c>
      <c r="K412" s="96">
        <f>IFERROR(__xludf.DUMMYFUNCTION("""COMPUTED_VALUE"""),9.28)</f>
        <v>9.28</v>
      </c>
      <c r="L412" s="96">
        <f>IFERROR(__xludf.DUMMYFUNCTION("""COMPUTED_VALUE"""),25.0)</f>
        <v>25</v>
      </c>
      <c r="M412" s="96">
        <f>IFERROR(__xludf.DUMMYFUNCTION("""COMPUTED_VALUE"""),30.0)</f>
        <v>30</v>
      </c>
      <c r="N412" s="96">
        <f>IFERROR(__xludf.DUMMYFUNCTION("""COMPUTED_VALUE"""),15.0)</f>
        <v>15</v>
      </c>
      <c r="O412" s="96"/>
      <c r="P412" s="129">
        <f>IFERROR(__xludf.DUMMYFUNCTION("""COMPUTED_VALUE"""),1906.0)</f>
        <v>1906</v>
      </c>
      <c r="Q412" s="99">
        <f>IFERROR(__xludf.DUMMYFUNCTION("""COMPUTED_VALUE"""),1783410.0)</f>
        <v>1783410</v>
      </c>
      <c r="R412" s="99">
        <f>IFERROR(__xludf.DUMMYFUNCTION("""COMPUTED_VALUE"""),1824000.0)</f>
        <v>1824000</v>
      </c>
    </row>
    <row r="413">
      <c r="B413" s="96">
        <f>IFERROR(__xludf.DUMMYFUNCTION("""COMPUTED_VALUE"""),14.0)</f>
        <v>14</v>
      </c>
      <c r="C413" s="98">
        <f>IFERROR(__xludf.DUMMYFUNCTION("""COMPUTED_VALUE"""),44097.0)</f>
        <v>44097</v>
      </c>
      <c r="D413" s="96" t="str">
        <f>IFERROR(__xludf.DUMMYFUNCTION("""COMPUTED_VALUE"""),"ETUK EFFI")</f>
        <v>ETUK EFFI</v>
      </c>
      <c r="E413" s="96">
        <f>IFERROR(__xludf.DUMMYFUNCTION("""COMPUTED_VALUE"""),1697.0)</f>
        <v>1697</v>
      </c>
      <c r="F413" s="96">
        <f>IFERROR(__xludf.DUMMYFUNCTION("""COMPUTED_VALUE"""),208.0)</f>
        <v>208</v>
      </c>
      <c r="G413" s="96"/>
      <c r="H413" s="96">
        <f>IFERROR(__xludf.DUMMYFUNCTION("""COMPUTED_VALUE"""),26.0)</f>
        <v>26</v>
      </c>
      <c r="I413" s="96"/>
      <c r="J413" s="96">
        <f>IFERROR(__xludf.DUMMYFUNCTION("""COMPUTED_VALUE"""),900.0)</f>
        <v>900</v>
      </c>
      <c r="K413" s="96">
        <f>IFERROR(__xludf.DUMMYFUNCTION("""COMPUTED_VALUE"""),8.0)</f>
        <v>8</v>
      </c>
      <c r="L413" s="96">
        <f>IFERROR(__xludf.DUMMYFUNCTION("""COMPUTED_VALUE"""),0.0)</f>
        <v>0</v>
      </c>
      <c r="M413" s="96">
        <f>IFERROR(__xludf.DUMMYFUNCTION("""COMPUTED_VALUE"""),26.0)</f>
        <v>26</v>
      </c>
      <c r="N413" s="96">
        <f>IFERROR(__xludf.DUMMYFUNCTION("""COMPUTED_VALUE"""),33.0)</f>
        <v>33</v>
      </c>
      <c r="O413" s="96"/>
      <c r="P413" s="129">
        <f>IFERROR(__xludf.DUMMYFUNCTION("""COMPUTED_VALUE"""),1671.0)</f>
        <v>1671</v>
      </c>
      <c r="Q413" s="99">
        <f>IFERROR(__xludf.DUMMYFUNCTION("""COMPUTED_VALUE"""),1503900.0)</f>
        <v>1503900</v>
      </c>
      <c r="R413" s="99">
        <f>IFERROR(__xludf.DUMMYFUNCTION("""COMPUTED_VALUE"""),1496100.0)</f>
        <v>1496100</v>
      </c>
    </row>
    <row r="414">
      <c r="B414" s="96">
        <f>IFERROR(__xludf.DUMMYFUNCTION("""COMPUTED_VALUE"""),9.0)</f>
        <v>9</v>
      </c>
      <c r="C414" s="98">
        <f>IFERROR(__xludf.DUMMYFUNCTION("""COMPUTED_VALUE"""),44088.0)</f>
        <v>44088</v>
      </c>
      <c r="D414" s="96" t="str">
        <f>IFERROR(__xludf.DUMMYFUNCTION("""COMPUTED_VALUE"""),"KARIEN EBAN")</f>
        <v>KARIEN EBAN</v>
      </c>
      <c r="E414" s="96">
        <f>IFERROR(__xludf.DUMMYFUNCTION("""COMPUTED_VALUE"""),1412.0)</f>
        <v>1412</v>
      </c>
      <c r="F414" s="96">
        <f>IFERROR(__xludf.DUMMYFUNCTION("""COMPUTED_VALUE"""),200.5)</f>
        <v>200.5</v>
      </c>
      <c r="G414" s="96"/>
      <c r="H414" s="96">
        <f>IFERROR(__xludf.DUMMYFUNCTION("""COMPUTED_VALUE"""),22.0)</f>
        <v>22</v>
      </c>
      <c r="I414" s="96"/>
      <c r="J414" s="96">
        <f>IFERROR(__xludf.DUMMYFUNCTION("""COMPUTED_VALUE"""),900.0)</f>
        <v>900</v>
      </c>
      <c r="K414" s="96">
        <f>IFERROR(__xludf.DUMMYFUNCTION("""COMPUTED_VALUE"""),9.11)</f>
        <v>9.11</v>
      </c>
      <c r="L414" s="96">
        <f>IFERROR(__xludf.DUMMYFUNCTION("""COMPUTED_VALUE"""),15.0)</f>
        <v>15</v>
      </c>
      <c r="M414" s="96">
        <f>IFERROR(__xludf.DUMMYFUNCTION("""COMPUTED_VALUE"""),21.0)</f>
        <v>21</v>
      </c>
      <c r="N414" s="96">
        <f>IFERROR(__xludf.DUMMYFUNCTION("""COMPUTED_VALUE"""),52.0)</f>
        <v>52</v>
      </c>
      <c r="O414" s="96"/>
      <c r="P414" s="129">
        <f>IFERROR(__xludf.DUMMYFUNCTION("""COMPUTED_VALUE"""),1375.0)</f>
        <v>1375</v>
      </c>
      <c r="Q414" s="99">
        <f>IFERROR(__xludf.DUMMYFUNCTION("""COMPUTED_VALUE"""),1237500.0)</f>
        <v>1237500</v>
      </c>
      <c r="R414" s="99">
        <f>IFERROR(__xludf.DUMMYFUNCTION("""COMPUTED_VALUE"""),1767310.0)</f>
        <v>1767310</v>
      </c>
    </row>
    <row r="415">
      <c r="B415" s="96">
        <f>IFERROR(__xludf.DUMMYFUNCTION("""COMPUTED_VALUE"""),10.0)</f>
        <v>10</v>
      </c>
      <c r="C415" s="98">
        <f>IFERROR(__xludf.DUMMYFUNCTION("""COMPUTED_VALUE"""),44097.0)</f>
        <v>44097</v>
      </c>
      <c r="D415" s="96" t="str">
        <f>IFERROR(__xludf.DUMMYFUNCTION("""COMPUTED_VALUE"""),"KARIEN EBAN")</f>
        <v>KARIEN EBAN</v>
      </c>
      <c r="E415" s="96">
        <f>IFERROR(__xludf.DUMMYFUNCTION("""COMPUTED_VALUE"""),398.0)</f>
        <v>398</v>
      </c>
      <c r="F415" s="96">
        <f>IFERROR(__xludf.DUMMYFUNCTION("""COMPUTED_VALUE"""),55.0)</f>
        <v>55</v>
      </c>
      <c r="G415" s="96"/>
      <c r="H415" s="96">
        <f>IFERROR(__xludf.DUMMYFUNCTION("""COMPUTED_VALUE"""),6.0)</f>
        <v>6</v>
      </c>
      <c r="I415" s="96"/>
      <c r="J415" s="96">
        <f>IFERROR(__xludf.DUMMYFUNCTION("""COMPUTED_VALUE"""),940.0)</f>
        <v>940</v>
      </c>
      <c r="K415" s="96">
        <f>IFERROR(__xludf.DUMMYFUNCTION("""COMPUTED_VALUE"""),9.17)</f>
        <v>9.17</v>
      </c>
      <c r="L415" s="96">
        <f>IFERROR(__xludf.DUMMYFUNCTION("""COMPUTED_VALUE"""),5.0)</f>
        <v>5</v>
      </c>
      <c r="M415" s="96">
        <f>IFERROR(__xludf.DUMMYFUNCTION("""COMPUTED_VALUE"""),6.0)</f>
        <v>6</v>
      </c>
      <c r="N415" s="96">
        <f>IFERROR(__xludf.DUMMYFUNCTION("""COMPUTED_VALUE"""),9.0)</f>
        <v>9</v>
      </c>
      <c r="O415" s="96"/>
      <c r="P415" s="129">
        <f>IFERROR(__xludf.DUMMYFUNCTION("""COMPUTED_VALUE"""),387.0)</f>
        <v>387</v>
      </c>
      <c r="Q415" s="99">
        <f>IFERROR(__xludf.DUMMYFUNCTION("""COMPUTED_VALUE"""),363780.0)</f>
        <v>363780</v>
      </c>
      <c r="R415" s="99">
        <f>IFERROR(__xludf.DUMMYFUNCTION("""COMPUTED_VALUE"""),1403530.0)</f>
        <v>1403530</v>
      </c>
    </row>
    <row r="416">
      <c r="B416" s="96">
        <f>IFERROR(__xludf.DUMMYFUNCTION("""COMPUTED_VALUE"""),8.0)</f>
        <v>8</v>
      </c>
      <c r="C416" s="98">
        <f>IFERROR(__xludf.DUMMYFUNCTION("""COMPUTED_VALUE"""),44083.0)</f>
        <v>44083</v>
      </c>
      <c r="D416" s="96" t="str">
        <f>IFERROR(__xludf.DUMMYFUNCTION("""COMPUTED_VALUE"""),"AUGUSTINE IGBA")</f>
        <v>AUGUSTINE IGBA</v>
      </c>
      <c r="E416" s="96">
        <f>IFERROR(__xludf.DUMMYFUNCTION("""COMPUTED_VALUE"""),2828.0)</f>
        <v>2828</v>
      </c>
      <c r="F416" s="96">
        <f>IFERROR(__xludf.DUMMYFUNCTION("""COMPUTED_VALUE"""),328.0)</f>
        <v>328</v>
      </c>
      <c r="G416" s="96"/>
      <c r="H416" s="96">
        <f>IFERROR(__xludf.DUMMYFUNCTION("""COMPUTED_VALUE"""),41.0)</f>
        <v>41</v>
      </c>
      <c r="I416" s="96"/>
      <c r="J416" s="96">
        <f>IFERROR(__xludf.DUMMYFUNCTION("""COMPUTED_VALUE"""),900.0)</f>
        <v>900</v>
      </c>
      <c r="K416" s="96">
        <f>IFERROR(__xludf.DUMMYFUNCTION("""COMPUTED_VALUE"""),8.0)</f>
        <v>8</v>
      </c>
      <c r="L416" s="96">
        <f>IFERROR(__xludf.DUMMYFUNCTION("""COMPUTED_VALUE"""),0.0)</f>
        <v>0</v>
      </c>
      <c r="M416" s="96">
        <f>IFERROR(__xludf.DUMMYFUNCTION("""COMPUTED_VALUE"""),44.0)</f>
        <v>44</v>
      </c>
      <c r="N416" s="96">
        <f>IFERROR(__xludf.DUMMYFUNCTION("""COMPUTED_VALUE"""),15.0)</f>
        <v>15</v>
      </c>
      <c r="O416" s="96"/>
      <c r="P416" s="129">
        <f>IFERROR(__xludf.DUMMYFUNCTION("""COMPUTED_VALUE"""),2787.0)</f>
        <v>2787</v>
      </c>
      <c r="Q416" s="99">
        <f>IFERROR(__xludf.DUMMYFUNCTION("""COMPUTED_VALUE"""),2508300.0)</f>
        <v>2508300</v>
      </c>
      <c r="R416" s="99">
        <f>IFERROR(__xludf.DUMMYFUNCTION("""COMPUTED_VALUE"""),2.662584E7)</f>
        <v>26625840</v>
      </c>
    </row>
    <row r="417">
      <c r="B417" s="96">
        <f>IFERROR(__xludf.DUMMYFUNCTION("""COMPUTED_VALUE"""),9.0)</f>
        <v>9</v>
      </c>
      <c r="C417" s="98">
        <f>IFERROR(__xludf.DUMMYFUNCTION("""COMPUTED_VALUE"""),44088.0)</f>
        <v>44088</v>
      </c>
      <c r="D417" s="96" t="str">
        <f>IFERROR(__xludf.DUMMYFUNCTION("""COMPUTED_VALUE"""),"AUGUSTINE IGBA")</f>
        <v>AUGUSTINE IGBA</v>
      </c>
      <c r="E417" s="96">
        <f>IFERROR(__xludf.DUMMYFUNCTION("""COMPUTED_VALUE"""),2070.0)</f>
        <v>2070</v>
      </c>
      <c r="F417" s="96">
        <f>IFERROR(__xludf.DUMMYFUNCTION("""COMPUTED_VALUE"""),348.0)</f>
        <v>348</v>
      </c>
      <c r="G417" s="96"/>
      <c r="H417" s="96">
        <f>IFERROR(__xludf.DUMMYFUNCTION("""COMPUTED_VALUE"""),33.0)</f>
        <v>33</v>
      </c>
      <c r="I417" s="96"/>
      <c r="J417" s="96">
        <f>IFERROR(__xludf.DUMMYFUNCTION("""COMPUTED_VALUE"""),900.0)</f>
        <v>900</v>
      </c>
      <c r="K417" s="96">
        <f>IFERROR(__xludf.DUMMYFUNCTION("""COMPUTED_VALUE"""),10.55)</f>
        <v>10.55</v>
      </c>
      <c r="L417" s="96">
        <f>IFERROR(__xludf.DUMMYFUNCTION("""COMPUTED_VALUE"""),52.0)</f>
        <v>52</v>
      </c>
      <c r="M417" s="96">
        <f>IFERROR(__xludf.DUMMYFUNCTION("""COMPUTED_VALUE"""),31.0)</f>
        <v>31</v>
      </c>
      <c r="N417" s="96">
        <f>IFERROR(__xludf.DUMMYFUNCTION("""COMPUTED_VALUE"""),32.0)</f>
        <v>32</v>
      </c>
      <c r="O417" s="96"/>
      <c r="P417" s="129">
        <f>IFERROR(__xludf.DUMMYFUNCTION("""COMPUTED_VALUE"""),1985.0)</f>
        <v>1985</v>
      </c>
      <c r="Q417" s="99">
        <f>IFERROR(__xludf.DUMMYFUNCTION("""COMPUTED_VALUE"""),1786500.0)</f>
        <v>1786500</v>
      </c>
      <c r="R417" s="99">
        <f>IFERROR(__xludf.DUMMYFUNCTION("""COMPUTED_VALUE"""),2.483934E7)</f>
        <v>24839340</v>
      </c>
    </row>
    <row r="418">
      <c r="B418" s="96">
        <f>IFERROR(__xludf.DUMMYFUNCTION("""COMPUTED_VALUE"""),10.0)</f>
        <v>10</v>
      </c>
      <c r="C418" s="98">
        <f>IFERROR(__xludf.DUMMYFUNCTION("""COMPUTED_VALUE"""),44093.0)</f>
        <v>44093</v>
      </c>
      <c r="D418" s="96" t="str">
        <f>IFERROR(__xludf.DUMMYFUNCTION("""COMPUTED_VALUE"""),"AUGUSTINE IGBA")</f>
        <v>AUGUSTINE IGBA</v>
      </c>
      <c r="E418" s="96">
        <f>IFERROR(__xludf.DUMMYFUNCTION("""COMPUTED_VALUE"""),1509.0)</f>
        <v>1509</v>
      </c>
      <c r="F418" s="96">
        <f>IFERROR(__xludf.DUMMYFUNCTION("""COMPUTED_VALUE"""),325.5)</f>
        <v>325.5</v>
      </c>
      <c r="G418" s="96"/>
      <c r="H418" s="96">
        <f>IFERROR(__xludf.DUMMYFUNCTION("""COMPUTED_VALUE"""),24.0)</f>
        <v>24</v>
      </c>
      <c r="I418" s="96"/>
      <c r="J418" s="96">
        <f>IFERROR(__xludf.DUMMYFUNCTION("""COMPUTED_VALUE"""),900.0)</f>
        <v>900</v>
      </c>
      <c r="K418" s="96">
        <f>IFERROR(__xludf.DUMMYFUNCTION("""COMPUTED_VALUE"""),13.56)</f>
        <v>13.56</v>
      </c>
      <c r="L418" s="96">
        <f>IFERROR(__xludf.DUMMYFUNCTION("""COMPUTED_VALUE"""),83.0)</f>
        <v>83</v>
      </c>
      <c r="M418" s="96">
        <f>IFERROR(__xludf.DUMMYFUNCTION("""COMPUTED_VALUE"""),22.0)</f>
        <v>22</v>
      </c>
      <c r="N418" s="96">
        <f>IFERROR(__xludf.DUMMYFUNCTION("""COMPUTED_VALUE"""),15.0)</f>
        <v>15</v>
      </c>
      <c r="O418" s="96"/>
      <c r="P418" s="129">
        <f>IFERROR(__xludf.DUMMYFUNCTION("""COMPUTED_VALUE"""),1402.0)</f>
        <v>1402</v>
      </c>
      <c r="Q418" s="99">
        <f>IFERROR(__xludf.DUMMYFUNCTION("""COMPUTED_VALUE"""),1261800.0)</f>
        <v>1261800</v>
      </c>
      <c r="R418" s="99">
        <f>IFERROR(__xludf.DUMMYFUNCTION("""COMPUTED_VALUE"""),2.357754E7)</f>
        <v>23577540</v>
      </c>
    </row>
    <row r="419">
      <c r="B419" s="96">
        <f>IFERROR(__xludf.DUMMYFUNCTION("""COMPUTED_VALUE"""),1.0)</f>
        <v>1</v>
      </c>
      <c r="C419" s="98">
        <f>IFERROR(__xludf.DUMMYFUNCTION("""COMPUTED_VALUE"""),44099.0)</f>
        <v>44099</v>
      </c>
      <c r="D419" s="96" t="str">
        <f>IFERROR(__xludf.DUMMYFUNCTION("""COMPUTED_VALUE"""),"ABANG. MOSES")</f>
        <v>ABANG. MOSES</v>
      </c>
      <c r="E419" s="96"/>
      <c r="F419" s="96"/>
      <c r="G419" s="96"/>
      <c r="H419" s="96"/>
      <c r="I419" s="96"/>
      <c r="J419" s="96"/>
      <c r="K419" s="96"/>
      <c r="L419" s="96">
        <f>IFERROR(__xludf.DUMMYFUNCTION("""COMPUTED_VALUE"""),0.0)</f>
        <v>0</v>
      </c>
      <c r="M419" s="96">
        <f>IFERROR(__xludf.DUMMYFUNCTION("""COMPUTED_VALUE"""),0.0)</f>
        <v>0</v>
      </c>
      <c r="N419" s="96">
        <f>IFERROR(__xludf.DUMMYFUNCTION("""COMPUTED_VALUE"""),0.0)</f>
        <v>0</v>
      </c>
      <c r="O419" s="96">
        <f>IFERROR(__xludf.DUMMYFUNCTION("""COMPUTED_VALUE"""),1000000.0)</f>
        <v>1000000</v>
      </c>
      <c r="P419" s="129">
        <f>IFERROR(__xludf.DUMMYFUNCTION("""COMPUTED_VALUE"""),0.0)</f>
        <v>0</v>
      </c>
      <c r="Q419" s="99"/>
      <c r="R419" s="99">
        <f>IFERROR(__xludf.DUMMYFUNCTION("""COMPUTED_VALUE"""),1000000.0)</f>
        <v>1000000</v>
      </c>
    </row>
    <row r="420">
      <c r="B420" s="96">
        <f>IFERROR(__xludf.DUMMYFUNCTION("""COMPUTED_VALUE"""),12.0)</f>
        <v>12</v>
      </c>
      <c r="C420" s="98">
        <f>IFERROR(__xludf.DUMMYFUNCTION("""COMPUTED_VALUE"""),44102.0)</f>
        <v>44102</v>
      </c>
      <c r="D420" s="96" t="str">
        <f>IFERROR(__xludf.DUMMYFUNCTION("""COMPUTED_VALUE"""),"ANDRDEW GREAT")</f>
        <v>ANDRDEW GREAT</v>
      </c>
      <c r="E420" s="96">
        <f>IFERROR(__xludf.DUMMYFUNCTION("""COMPUTED_VALUE"""),1689.0)</f>
        <v>1689</v>
      </c>
      <c r="F420" s="96">
        <f>IFERROR(__xludf.DUMMYFUNCTION("""COMPUTED_VALUE"""),164.0)</f>
        <v>164</v>
      </c>
      <c r="G420" s="96"/>
      <c r="H420" s="96">
        <f>IFERROR(__xludf.DUMMYFUNCTION("""COMPUTED_VALUE"""),16.0)</f>
        <v>16</v>
      </c>
      <c r="I420" s="96"/>
      <c r="J420" s="96">
        <f>IFERROR(__xludf.DUMMYFUNCTION("""COMPUTED_VALUE"""),950.0)</f>
        <v>950</v>
      </c>
      <c r="K420" s="96">
        <f>IFERROR(__xludf.DUMMYFUNCTION("""COMPUTED_VALUE"""),10.25)</f>
        <v>10.25</v>
      </c>
      <c r="L420" s="96">
        <f>IFERROR(__xludf.DUMMYFUNCTION("""COMPUTED_VALUE"""),38.0)</f>
        <v>38</v>
      </c>
      <c r="M420" s="96">
        <f>IFERROR(__xludf.DUMMYFUNCTION("""COMPUTED_VALUE"""),25.0)</f>
        <v>25</v>
      </c>
      <c r="N420" s="96">
        <f>IFERROR(__xludf.DUMMYFUNCTION("""COMPUTED_VALUE"""),60.0)</f>
        <v>60</v>
      </c>
      <c r="O420" s="96"/>
      <c r="P420" s="129">
        <f>IFERROR(__xludf.DUMMYFUNCTION("""COMPUTED_VALUE"""),1635.0)</f>
        <v>1635</v>
      </c>
      <c r="Q420" s="99">
        <f>IFERROR(__xludf.DUMMYFUNCTION("""COMPUTED_VALUE"""),1553250.0)</f>
        <v>1553250</v>
      </c>
      <c r="R420" s="99">
        <f>IFERROR(__xludf.DUMMYFUNCTION("""COMPUTED_VALUE"""),903610.0)</f>
        <v>903610</v>
      </c>
    </row>
    <row r="421">
      <c r="B421" s="96">
        <f>IFERROR(__xludf.DUMMYFUNCTION("""COMPUTED_VALUE"""),2.0)</f>
        <v>2</v>
      </c>
      <c r="C421" s="98">
        <f>IFERROR(__xludf.DUMMYFUNCTION("""COMPUTED_VALUE"""),44100.0)</f>
        <v>44100</v>
      </c>
      <c r="D421" s="96" t="str">
        <f>IFERROR(__xludf.DUMMYFUNCTION("""COMPUTED_VALUE""")," OP OCHICHIE")</f>
        <v> OP OCHICHIE</v>
      </c>
      <c r="E421" s="96"/>
      <c r="F421" s="96"/>
      <c r="G421" s="96"/>
      <c r="H421" s="96"/>
      <c r="I421" s="96"/>
      <c r="J421" s="96"/>
      <c r="K421" s="96"/>
      <c r="L421" s="96">
        <f>IFERROR(__xludf.DUMMYFUNCTION("""COMPUTED_VALUE"""),0.0)</f>
        <v>0</v>
      </c>
      <c r="M421" s="96">
        <f>IFERROR(__xludf.DUMMYFUNCTION("""COMPUTED_VALUE"""),0.0)</f>
        <v>0</v>
      </c>
      <c r="N421" s="96">
        <f>IFERROR(__xludf.DUMMYFUNCTION("""COMPUTED_VALUE"""),0.0)</f>
        <v>0</v>
      </c>
      <c r="O421" s="96">
        <f>IFERROR(__xludf.DUMMYFUNCTION("""COMPUTED_VALUE"""),10000.0)</f>
        <v>10000</v>
      </c>
      <c r="P421" s="129">
        <f>IFERROR(__xludf.DUMMYFUNCTION("""COMPUTED_VALUE"""),0.0)</f>
        <v>0</v>
      </c>
      <c r="Q421" s="99"/>
      <c r="R421" s="99">
        <f>IFERROR(__xludf.DUMMYFUNCTION("""COMPUTED_VALUE"""),545525.0)</f>
        <v>545525</v>
      </c>
    </row>
    <row r="422">
      <c r="B422" s="96">
        <f>IFERROR(__xludf.DUMMYFUNCTION("""COMPUTED_VALUE"""),3.0)</f>
        <v>3</v>
      </c>
      <c r="C422" s="98">
        <f>IFERROR(__xludf.DUMMYFUNCTION("""COMPUTED_VALUE"""),44100.0)</f>
        <v>44100</v>
      </c>
      <c r="D422" s="96" t="str">
        <f>IFERROR(__xludf.DUMMYFUNCTION("""COMPUTED_VALUE"""),"R.  MAXWELL AGRO")</f>
        <v>R.  MAXWELL AGRO</v>
      </c>
      <c r="E422" s="96"/>
      <c r="F422" s="96"/>
      <c r="G422" s="96"/>
      <c r="H422" s="96"/>
      <c r="I422" s="96"/>
      <c r="J422" s="96"/>
      <c r="K422" s="96"/>
      <c r="L422" s="96">
        <f>IFERROR(__xludf.DUMMYFUNCTION("""COMPUTED_VALUE"""),0.0)</f>
        <v>0</v>
      </c>
      <c r="M422" s="96">
        <f>IFERROR(__xludf.DUMMYFUNCTION("""COMPUTED_VALUE"""),0.0)</f>
        <v>0</v>
      </c>
      <c r="N422" s="96">
        <f>IFERROR(__xludf.DUMMYFUNCTION("""COMPUTED_VALUE"""),0.0)</f>
        <v>0</v>
      </c>
      <c r="O422" s="96">
        <f>IFERROR(__xludf.DUMMYFUNCTION("""COMPUTED_VALUE"""),7980000.0)</f>
        <v>7980000</v>
      </c>
      <c r="P422" s="129">
        <f>IFERROR(__xludf.DUMMYFUNCTION("""COMPUTED_VALUE"""),0.0)</f>
        <v>0</v>
      </c>
      <c r="Q422" s="99"/>
      <c r="R422" s="99">
        <f>IFERROR(__xludf.DUMMYFUNCTION("""COMPUTED_VALUE"""),8870000.0)</f>
        <v>8870000</v>
      </c>
    </row>
    <row r="423">
      <c r="B423" s="96">
        <f>IFERROR(__xludf.DUMMYFUNCTION("""COMPUTED_VALUE"""),13.0)</f>
        <v>13</v>
      </c>
      <c r="C423" s="98">
        <f>IFERROR(__xludf.DUMMYFUNCTION("""COMPUTED_VALUE"""),44102.0)</f>
        <v>44102</v>
      </c>
      <c r="D423" s="96" t="str">
        <f>IFERROR(__xludf.DUMMYFUNCTION("""COMPUTED_VALUE"""),"EDWARD OKO")</f>
        <v>EDWARD OKO</v>
      </c>
      <c r="E423" s="96"/>
      <c r="F423" s="96"/>
      <c r="G423" s="96"/>
      <c r="H423" s="96"/>
      <c r="I423" s="96"/>
      <c r="J423" s="96"/>
      <c r="K423" s="96"/>
      <c r="L423" s="96">
        <f>IFERROR(__xludf.DUMMYFUNCTION("""COMPUTED_VALUE"""),0.0)</f>
        <v>0</v>
      </c>
      <c r="M423" s="96">
        <f>IFERROR(__xludf.DUMMYFUNCTION("""COMPUTED_VALUE"""),0.0)</f>
        <v>0</v>
      </c>
      <c r="N423" s="96">
        <f>IFERROR(__xludf.DUMMYFUNCTION("""COMPUTED_VALUE"""),0.0)</f>
        <v>0</v>
      </c>
      <c r="O423" s="96">
        <f>IFERROR(__xludf.DUMMYFUNCTION("""COMPUTED_VALUE"""),3000000.0)</f>
        <v>3000000</v>
      </c>
      <c r="P423" s="129">
        <f>IFERROR(__xludf.DUMMYFUNCTION("""COMPUTED_VALUE"""),0.0)</f>
        <v>0</v>
      </c>
      <c r="Q423" s="99"/>
      <c r="R423" s="99">
        <f>IFERROR(__xludf.DUMMYFUNCTION("""COMPUTED_VALUE"""),7883490.0)</f>
        <v>7883490</v>
      </c>
    </row>
    <row r="424">
      <c r="B424" s="96">
        <f>IFERROR(__xludf.DUMMYFUNCTION("""COMPUTED_VALUE"""),13.0)</f>
        <v>13</v>
      </c>
      <c r="C424" s="98">
        <f>IFERROR(__xludf.DUMMYFUNCTION("""COMPUTED_VALUE"""),44102.0)</f>
        <v>44102</v>
      </c>
      <c r="D424" s="96" t="str">
        <f>IFERROR(__xludf.DUMMYFUNCTION("""COMPUTED_VALUE"""),"ANDRDEW GREAT")</f>
        <v>ANDRDEW GREAT</v>
      </c>
      <c r="E424" s="96"/>
      <c r="F424" s="96"/>
      <c r="G424" s="96"/>
      <c r="H424" s="96"/>
      <c r="I424" s="96"/>
      <c r="J424" s="96"/>
      <c r="K424" s="96"/>
      <c r="L424" s="96">
        <f>IFERROR(__xludf.DUMMYFUNCTION("""COMPUTED_VALUE"""),0.0)</f>
        <v>0</v>
      </c>
      <c r="M424" s="96">
        <f>IFERROR(__xludf.DUMMYFUNCTION("""COMPUTED_VALUE"""),0.0)</f>
        <v>0</v>
      </c>
      <c r="N424" s="96">
        <f>IFERROR(__xludf.DUMMYFUNCTION("""COMPUTED_VALUE"""),0.0)</f>
        <v>0</v>
      </c>
      <c r="O424" s="96">
        <f>IFERROR(__xludf.DUMMYFUNCTION("""COMPUTED_VALUE"""),1050000.0)</f>
        <v>1050000</v>
      </c>
      <c r="P424" s="129">
        <f>IFERROR(__xludf.DUMMYFUNCTION("""COMPUTED_VALUE"""),0.0)</f>
        <v>0</v>
      </c>
      <c r="Q424" s="99"/>
      <c r="R424" s="99">
        <f>IFERROR(__xludf.DUMMYFUNCTION("""COMPUTED_VALUE"""),1953610.0)</f>
        <v>1953610</v>
      </c>
    </row>
    <row r="425">
      <c r="B425" s="96">
        <f>IFERROR(__xludf.DUMMYFUNCTION("""COMPUTED_VALUE"""),14.0)</f>
        <v>14</v>
      </c>
      <c r="C425" s="98">
        <f>IFERROR(__xludf.DUMMYFUNCTION("""COMPUTED_VALUE"""),44102.0)</f>
        <v>44102</v>
      </c>
      <c r="D425" s="96" t="str">
        <f>IFERROR(__xludf.DUMMYFUNCTION("""COMPUTED_VALUE"""),"ANDRDEW GREAT")</f>
        <v>ANDRDEW GREAT</v>
      </c>
      <c r="E425" s="96"/>
      <c r="F425" s="96"/>
      <c r="G425" s="96"/>
      <c r="H425" s="96"/>
      <c r="I425" s="96"/>
      <c r="J425" s="96"/>
      <c r="K425" s="96"/>
      <c r="L425" s="96">
        <f>IFERROR(__xludf.DUMMYFUNCTION("""COMPUTED_VALUE"""),0.0)</f>
        <v>0</v>
      </c>
      <c r="M425" s="96">
        <f>IFERROR(__xludf.DUMMYFUNCTION("""COMPUTED_VALUE"""),0.0)</f>
        <v>0</v>
      </c>
      <c r="N425" s="96">
        <f>IFERROR(__xludf.DUMMYFUNCTION("""COMPUTED_VALUE"""),0.0)</f>
        <v>0</v>
      </c>
      <c r="O425" s="96">
        <f>IFERROR(__xludf.DUMMYFUNCTION("""COMPUTED_VALUE"""),1553250.0)</f>
        <v>1553250</v>
      </c>
      <c r="P425" s="129">
        <f>IFERROR(__xludf.DUMMYFUNCTION("""COMPUTED_VALUE"""),0.0)</f>
        <v>0</v>
      </c>
      <c r="Q425" s="99"/>
      <c r="R425" s="99">
        <f>IFERROR(__xludf.DUMMYFUNCTION("""COMPUTED_VALUE"""),3506860.0)</f>
        <v>3506860</v>
      </c>
    </row>
    <row r="426">
      <c r="B426" s="96">
        <f>IFERROR(__xludf.DUMMYFUNCTION("""COMPUTED_VALUE"""),20.0)</f>
        <v>20</v>
      </c>
      <c r="C426" s="98">
        <f>IFERROR(__xludf.DUMMYFUNCTION("""COMPUTED_VALUE"""),44102.0)</f>
        <v>44102</v>
      </c>
      <c r="D426" s="96" t="str">
        <f>IFERROR(__xludf.DUMMYFUNCTION("""COMPUTED_VALUE"""),"BOSURU  BOSURU")</f>
        <v>BOSURU  BOSURU</v>
      </c>
      <c r="E426" s="96"/>
      <c r="F426" s="96"/>
      <c r="G426" s="96"/>
      <c r="H426" s="96"/>
      <c r="I426" s="96"/>
      <c r="J426" s="96"/>
      <c r="K426" s="96"/>
      <c r="L426" s="96">
        <f>IFERROR(__xludf.DUMMYFUNCTION("""COMPUTED_VALUE"""),0.0)</f>
        <v>0</v>
      </c>
      <c r="M426" s="96">
        <f>IFERROR(__xludf.DUMMYFUNCTION("""COMPUTED_VALUE"""),0.0)</f>
        <v>0</v>
      </c>
      <c r="N426" s="96">
        <f>IFERROR(__xludf.DUMMYFUNCTION("""COMPUTED_VALUE"""),0.0)</f>
        <v>0</v>
      </c>
      <c r="O426" s="96">
        <f>IFERROR(__xludf.DUMMYFUNCTION("""COMPUTED_VALUE"""),500000.0)</f>
        <v>500000</v>
      </c>
      <c r="P426" s="129">
        <f>IFERROR(__xludf.DUMMYFUNCTION("""COMPUTED_VALUE"""),0.0)</f>
        <v>0</v>
      </c>
      <c r="Q426" s="99"/>
      <c r="R426" s="99">
        <f>IFERROR(__xludf.DUMMYFUNCTION("""COMPUTED_VALUE"""),2867700.0)</f>
        <v>2867700</v>
      </c>
    </row>
    <row r="427">
      <c r="B427" s="96">
        <f>IFERROR(__xludf.DUMMYFUNCTION("""COMPUTED_VALUE"""),4.0)</f>
        <v>4</v>
      </c>
      <c r="C427" s="98">
        <f>IFERROR(__xludf.DUMMYFUNCTION("""COMPUTED_VALUE"""),44102.0)</f>
        <v>44102</v>
      </c>
      <c r="D427" s="96" t="str">
        <f>IFERROR(__xludf.DUMMYFUNCTION("""COMPUTED_VALUE"""),"R.  MAXWELL AGRO")</f>
        <v>R.  MAXWELL AGRO</v>
      </c>
      <c r="E427" s="96"/>
      <c r="F427" s="96"/>
      <c r="G427" s="96"/>
      <c r="H427" s="96"/>
      <c r="I427" s="96"/>
      <c r="J427" s="96"/>
      <c r="K427" s="96"/>
      <c r="L427" s="96">
        <f>IFERROR(__xludf.DUMMYFUNCTION("""COMPUTED_VALUE"""),0.0)</f>
        <v>0</v>
      </c>
      <c r="M427" s="96">
        <f>IFERROR(__xludf.DUMMYFUNCTION("""COMPUTED_VALUE"""),0.0)</f>
        <v>0</v>
      </c>
      <c r="N427" s="96">
        <f>IFERROR(__xludf.DUMMYFUNCTION("""COMPUTED_VALUE"""),0.0)</f>
        <v>0</v>
      </c>
      <c r="O427" s="96">
        <f>IFERROR(__xludf.DUMMYFUNCTION("""COMPUTED_VALUE"""),1.17E7)</f>
        <v>11700000</v>
      </c>
      <c r="P427" s="129">
        <f>IFERROR(__xludf.DUMMYFUNCTION("""COMPUTED_VALUE"""),0.0)</f>
        <v>0</v>
      </c>
      <c r="Q427" s="99"/>
      <c r="R427" s="99">
        <f>IFERROR(__xludf.DUMMYFUNCTION("""COMPUTED_VALUE"""),2.057E7)</f>
        <v>20570000</v>
      </c>
    </row>
    <row r="428">
      <c r="B428" s="96">
        <f>IFERROR(__xludf.DUMMYFUNCTION("""COMPUTED_VALUE"""),1.0)</f>
        <v>1</v>
      </c>
      <c r="C428" s="98">
        <f>IFERROR(__xludf.DUMMYFUNCTION("""COMPUTED_VALUE"""),44102.0)</f>
        <v>44102</v>
      </c>
      <c r="D428" s="96" t="str">
        <f>IFERROR(__xludf.DUMMYFUNCTION("""COMPUTED_VALUE"""),"PRIN M. BOSURU")</f>
        <v>PRIN M. BOSURU</v>
      </c>
      <c r="E428" s="96"/>
      <c r="F428" s="96"/>
      <c r="G428" s="96"/>
      <c r="H428" s="96"/>
      <c r="I428" s="96"/>
      <c r="J428" s="96"/>
      <c r="K428" s="96"/>
      <c r="L428" s="96">
        <f>IFERROR(__xludf.DUMMYFUNCTION("""COMPUTED_VALUE"""),0.0)</f>
        <v>0</v>
      </c>
      <c r="M428" s="96">
        <f>IFERROR(__xludf.DUMMYFUNCTION("""COMPUTED_VALUE"""),0.0)</f>
        <v>0</v>
      </c>
      <c r="N428" s="96">
        <f>IFERROR(__xludf.DUMMYFUNCTION("""COMPUTED_VALUE"""),0.0)</f>
        <v>0</v>
      </c>
      <c r="O428" s="96">
        <f>IFERROR(__xludf.DUMMYFUNCTION("""COMPUTED_VALUE"""),1120000.0)</f>
        <v>1120000</v>
      </c>
      <c r="P428" s="129">
        <f>IFERROR(__xludf.DUMMYFUNCTION("""COMPUTED_VALUE"""),0.0)</f>
        <v>0</v>
      </c>
      <c r="Q428" s="99"/>
      <c r="R428" s="99">
        <f>IFERROR(__xludf.DUMMYFUNCTION("""COMPUTED_VALUE"""),1120000.0)</f>
        <v>1120000</v>
      </c>
    </row>
    <row r="429">
      <c r="B429" s="96">
        <f>IFERROR(__xludf.DUMMYFUNCTION("""COMPUTED_VALUE"""),21.0)</f>
        <v>21</v>
      </c>
      <c r="C429" s="98">
        <f>IFERROR(__xludf.DUMMYFUNCTION("""COMPUTED_VALUE"""),44104.0)</f>
        <v>44104</v>
      </c>
      <c r="D429" s="96" t="str">
        <f>IFERROR(__xludf.DUMMYFUNCTION("""COMPUTED_VALUE"""),"CONNECT")</f>
        <v>CONNECT</v>
      </c>
      <c r="E429" s="96">
        <f>IFERROR(__xludf.DUMMYFUNCTION("""COMPUTED_VALUE"""),482.0)</f>
        <v>482</v>
      </c>
      <c r="F429" s="96">
        <f>IFERROR(__xludf.DUMMYFUNCTION("""COMPUTED_VALUE"""),78.0)</f>
        <v>78</v>
      </c>
      <c r="G429" s="96"/>
      <c r="H429" s="96">
        <f>IFERROR(__xludf.DUMMYFUNCTION("""COMPUTED_VALUE"""),7.0)</f>
        <v>7</v>
      </c>
      <c r="I429" s="96"/>
      <c r="J429" s="96">
        <f>IFERROR(__xludf.DUMMYFUNCTION("""COMPUTED_VALUE"""),940.0)</f>
        <v>940</v>
      </c>
      <c r="K429" s="96">
        <f>IFERROR(__xludf.DUMMYFUNCTION("""COMPUTED_VALUE"""),11.14)</f>
        <v>11.14</v>
      </c>
      <c r="L429" s="96">
        <f>IFERROR(__xludf.DUMMYFUNCTION("""COMPUTED_VALUE"""),15.0)</f>
        <v>15</v>
      </c>
      <c r="M429" s="96">
        <f>IFERROR(__xludf.DUMMYFUNCTION("""COMPUTED_VALUE"""),7.0)</f>
        <v>7</v>
      </c>
      <c r="N429" s="96">
        <f>IFERROR(__xludf.DUMMYFUNCTION("""COMPUTED_VALUE"""),19.0)</f>
        <v>19</v>
      </c>
      <c r="O429" s="96"/>
      <c r="P429" s="129">
        <f>IFERROR(__xludf.DUMMYFUNCTION("""COMPUTED_VALUE"""),460.0)</f>
        <v>460</v>
      </c>
      <c r="Q429" s="99">
        <f>IFERROR(__xludf.DUMMYFUNCTION("""COMPUTED_VALUE"""),432400.0)</f>
        <v>432400</v>
      </c>
      <c r="R429" s="99">
        <f>IFERROR(__xludf.DUMMYFUNCTION("""COMPUTED_VALUE"""),5884850.0)</f>
        <v>5884850</v>
      </c>
    </row>
    <row r="430">
      <c r="B430" s="96">
        <f>IFERROR(__xludf.DUMMYFUNCTION("""COMPUTED_VALUE"""),6.0)</f>
        <v>6</v>
      </c>
      <c r="C430" s="98">
        <f>IFERROR(__xludf.DUMMYFUNCTION("""COMPUTED_VALUE"""),44104.0)</f>
        <v>44104</v>
      </c>
      <c r="D430" s="96" t="str">
        <f>IFERROR(__xludf.DUMMYFUNCTION("""COMPUTED_VALUE"""),"CONFIDENCE")</f>
        <v>CONFIDENCE</v>
      </c>
      <c r="E430" s="96">
        <f>IFERROR(__xludf.DUMMYFUNCTION("""COMPUTED_VALUE"""),512.0)</f>
        <v>512</v>
      </c>
      <c r="F430" s="96">
        <f>IFERROR(__xludf.DUMMYFUNCTION("""COMPUTED_VALUE"""),89.0)</f>
        <v>89</v>
      </c>
      <c r="G430" s="96"/>
      <c r="H430" s="96">
        <f>IFERROR(__xludf.DUMMYFUNCTION("""COMPUTED_VALUE"""),8.0)</f>
        <v>8</v>
      </c>
      <c r="I430" s="96"/>
      <c r="J430" s="96">
        <f>IFERROR(__xludf.DUMMYFUNCTION("""COMPUTED_VALUE"""),927.95)</f>
        <v>927.95</v>
      </c>
      <c r="K430" s="96">
        <f>IFERROR(__xludf.DUMMYFUNCTION("""COMPUTED_VALUE"""),11.13)</f>
        <v>11.13</v>
      </c>
      <c r="L430" s="96">
        <f>IFERROR(__xludf.DUMMYFUNCTION("""COMPUTED_VALUE"""),16.0)</f>
        <v>16</v>
      </c>
      <c r="M430" s="96">
        <f>IFERROR(__xludf.DUMMYFUNCTION("""COMPUTED_VALUE"""),7.0)</f>
        <v>7</v>
      </c>
      <c r="N430" s="96">
        <f>IFERROR(__xludf.DUMMYFUNCTION("""COMPUTED_VALUE"""),47.0)</f>
        <v>47</v>
      </c>
      <c r="O430" s="96"/>
      <c r="P430" s="129">
        <f>IFERROR(__xludf.DUMMYFUNCTION("""COMPUTED_VALUE"""),488.0)</f>
        <v>488</v>
      </c>
      <c r="Q430" s="99">
        <f>IFERROR(__xludf.DUMMYFUNCTION("""COMPUTED_VALUE"""),452840.0)</f>
        <v>452840</v>
      </c>
      <c r="R430" s="99">
        <f>IFERROR(__xludf.DUMMYFUNCTION("""COMPUTED_VALUE"""),1847160.0)</f>
        <v>1847160</v>
      </c>
    </row>
    <row r="431">
      <c r="B431" s="96">
        <f>IFERROR(__xludf.DUMMYFUNCTION("""COMPUTED_VALUE"""),3.0)</f>
        <v>3</v>
      </c>
      <c r="C431" s="98">
        <f>IFERROR(__xludf.DUMMYFUNCTION("""COMPUTED_VALUE"""),44103.0)</f>
        <v>44103</v>
      </c>
      <c r="D431" s="96" t="str">
        <f>IFERROR(__xludf.DUMMYFUNCTION("""COMPUTED_VALUE"""),"CHINWE CHIDI")</f>
        <v>CHINWE CHIDI</v>
      </c>
      <c r="E431" s="96"/>
      <c r="F431" s="96"/>
      <c r="G431" s="96"/>
      <c r="H431" s="96"/>
      <c r="I431" s="96"/>
      <c r="J431" s="96"/>
      <c r="K431" s="96"/>
      <c r="L431" s="96">
        <f>IFERROR(__xludf.DUMMYFUNCTION("""COMPUTED_VALUE"""),0.0)</f>
        <v>0</v>
      </c>
      <c r="M431" s="96">
        <f>IFERROR(__xludf.DUMMYFUNCTION("""COMPUTED_VALUE"""),0.0)</f>
        <v>0</v>
      </c>
      <c r="N431" s="96">
        <f>IFERROR(__xludf.DUMMYFUNCTION("""COMPUTED_VALUE"""),0.0)</f>
        <v>0</v>
      </c>
      <c r="O431" s="96">
        <f>IFERROR(__xludf.DUMMYFUNCTION("""COMPUTED_VALUE"""),200000.0)</f>
        <v>200000</v>
      </c>
      <c r="P431" s="129">
        <f>IFERROR(__xludf.DUMMYFUNCTION("""COMPUTED_VALUE"""),0.0)</f>
        <v>0</v>
      </c>
      <c r="Q431" s="99"/>
      <c r="R431" s="99">
        <f>IFERROR(__xludf.DUMMYFUNCTION("""COMPUTED_VALUE"""),306000.0)</f>
        <v>306000</v>
      </c>
    </row>
    <row r="432">
      <c r="B432" s="96">
        <f>IFERROR(__xludf.DUMMYFUNCTION("""COMPUTED_VALUE"""),7.0)</f>
        <v>7</v>
      </c>
      <c r="C432" s="98">
        <f>IFERROR(__xludf.DUMMYFUNCTION("""COMPUTED_VALUE"""),44103.0)</f>
        <v>44103</v>
      </c>
      <c r="D432" s="96" t="str">
        <f>IFERROR(__xludf.DUMMYFUNCTION("""COMPUTED_VALUE"""),"CONFIDENCE")</f>
        <v>CONFIDENCE</v>
      </c>
      <c r="E432" s="96"/>
      <c r="F432" s="96"/>
      <c r="G432" s="96"/>
      <c r="H432" s="96"/>
      <c r="I432" s="96"/>
      <c r="J432" s="96"/>
      <c r="K432" s="96"/>
      <c r="L432" s="96">
        <f>IFERROR(__xludf.DUMMYFUNCTION("""COMPUTED_VALUE"""),0.0)</f>
        <v>0</v>
      </c>
      <c r="M432" s="96">
        <f>IFERROR(__xludf.DUMMYFUNCTION("""COMPUTED_VALUE"""),0.0)</f>
        <v>0</v>
      </c>
      <c r="N432" s="96">
        <f>IFERROR(__xludf.DUMMYFUNCTION("""COMPUTED_VALUE"""),0.0)</f>
        <v>0</v>
      </c>
      <c r="O432" s="96">
        <f>IFERROR(__xludf.DUMMYFUNCTION("""COMPUTED_VALUE"""),150000.0)</f>
        <v>150000</v>
      </c>
      <c r="P432" s="129">
        <f>IFERROR(__xludf.DUMMYFUNCTION("""COMPUTED_VALUE"""),0.0)</f>
        <v>0</v>
      </c>
      <c r="Q432" s="99"/>
      <c r="R432" s="99">
        <f>IFERROR(__xludf.DUMMYFUNCTION("""COMPUTED_VALUE"""),1997160.0)</f>
        <v>1997160</v>
      </c>
    </row>
    <row r="433">
      <c r="B433" s="96">
        <f>IFERROR(__xludf.DUMMYFUNCTION("""COMPUTED_VALUE"""),8.0)</f>
        <v>8</v>
      </c>
      <c r="C433" s="98">
        <f>IFERROR(__xludf.DUMMYFUNCTION("""COMPUTED_VALUE"""),44103.0)</f>
        <v>44103</v>
      </c>
      <c r="D433" s="96" t="str">
        <f>IFERROR(__xludf.DUMMYFUNCTION("""COMPUTED_VALUE"""),"EMMANUEL OKO ")</f>
        <v>EMMANUEL OKO </v>
      </c>
      <c r="E433" s="96"/>
      <c r="F433" s="96"/>
      <c r="G433" s="96"/>
      <c r="H433" s="96"/>
      <c r="I433" s="96"/>
      <c r="J433" s="96"/>
      <c r="K433" s="96"/>
      <c r="L433" s="96">
        <f>IFERROR(__xludf.DUMMYFUNCTION("""COMPUTED_VALUE"""),0.0)</f>
        <v>0</v>
      </c>
      <c r="M433" s="96">
        <f>IFERROR(__xludf.DUMMYFUNCTION("""COMPUTED_VALUE"""),0.0)</f>
        <v>0</v>
      </c>
      <c r="N433" s="96">
        <f>IFERROR(__xludf.DUMMYFUNCTION("""COMPUTED_VALUE"""),0.0)</f>
        <v>0</v>
      </c>
      <c r="O433" s="96">
        <f>IFERROR(__xludf.DUMMYFUNCTION("""COMPUTED_VALUE"""),50000.0)</f>
        <v>50000</v>
      </c>
      <c r="P433" s="129">
        <f>IFERROR(__xludf.DUMMYFUNCTION("""COMPUTED_VALUE"""),0.0)</f>
        <v>0</v>
      </c>
      <c r="Q433" s="99"/>
      <c r="R433" s="99">
        <f>IFERROR(__xludf.DUMMYFUNCTION("""COMPUTED_VALUE"""),1090000.0)</f>
        <v>1090000</v>
      </c>
    </row>
    <row r="434">
      <c r="B434" s="96">
        <f>IFERROR(__xludf.DUMMYFUNCTION("""COMPUTED_VALUE"""),17.0)</f>
        <v>17</v>
      </c>
      <c r="C434" s="98">
        <f>IFERROR(__xludf.DUMMYFUNCTION("""COMPUTED_VALUE"""),44103.0)</f>
        <v>44103</v>
      </c>
      <c r="D434" s="96" t="str">
        <f>IFERROR(__xludf.DUMMYFUNCTION("""COMPUTED_VALUE""")," MAXWELL AGRO")</f>
        <v> MAXWELL AGRO</v>
      </c>
      <c r="E434" s="96"/>
      <c r="F434" s="96"/>
      <c r="G434" s="96"/>
      <c r="H434" s="96"/>
      <c r="I434" s="96"/>
      <c r="J434" s="96"/>
      <c r="K434" s="96"/>
      <c r="L434" s="96">
        <f>IFERROR(__xludf.DUMMYFUNCTION("""COMPUTED_VALUE"""),0.0)</f>
        <v>0</v>
      </c>
      <c r="M434" s="96">
        <f>IFERROR(__xludf.DUMMYFUNCTION("""COMPUTED_VALUE"""),0.0)</f>
        <v>0</v>
      </c>
      <c r="N434" s="96">
        <f>IFERROR(__xludf.DUMMYFUNCTION("""COMPUTED_VALUE"""),0.0)</f>
        <v>0</v>
      </c>
      <c r="O434" s="96">
        <f>IFERROR(__xludf.DUMMYFUNCTION("""COMPUTED_VALUE"""),100000.0)</f>
        <v>100000</v>
      </c>
      <c r="P434" s="129">
        <f>IFERROR(__xludf.DUMMYFUNCTION("""COMPUTED_VALUE"""),0.0)</f>
        <v>0</v>
      </c>
      <c r="Q434" s="99"/>
      <c r="R434" s="99">
        <f>IFERROR(__xludf.DUMMYFUNCTION("""COMPUTED_VALUE"""),704432.0)</f>
        <v>704432</v>
      </c>
    </row>
    <row r="435">
      <c r="B435" s="96">
        <f>IFERROR(__xludf.DUMMYFUNCTION("""COMPUTED_VALUE"""),1.0)</f>
        <v>1</v>
      </c>
      <c r="C435" s="98">
        <f>IFERROR(__xludf.DUMMYFUNCTION("""COMPUTED_VALUE"""),44103.0)</f>
        <v>44103</v>
      </c>
      <c r="D435" s="96" t="str">
        <f>IFERROR(__xludf.DUMMYFUNCTION("""COMPUTED_VALUE"""),"UNCLE BIGGIE")</f>
        <v>UNCLE BIGGIE</v>
      </c>
      <c r="E435" s="96"/>
      <c r="F435" s="96"/>
      <c r="G435" s="96"/>
      <c r="H435" s="96"/>
      <c r="I435" s="96"/>
      <c r="J435" s="96"/>
      <c r="K435" s="96"/>
      <c r="L435" s="96">
        <f>IFERROR(__xludf.DUMMYFUNCTION("""COMPUTED_VALUE"""),0.0)</f>
        <v>0</v>
      </c>
      <c r="M435" s="96">
        <f>IFERROR(__xludf.DUMMYFUNCTION("""COMPUTED_VALUE"""),0.0)</f>
        <v>0</v>
      </c>
      <c r="N435" s="96">
        <f>IFERROR(__xludf.DUMMYFUNCTION("""COMPUTED_VALUE"""),0.0)</f>
        <v>0</v>
      </c>
      <c r="O435" s="96">
        <f>IFERROR(__xludf.DUMMYFUNCTION("""COMPUTED_VALUE"""),40000.0)</f>
        <v>40000</v>
      </c>
      <c r="P435" s="129">
        <f>IFERROR(__xludf.DUMMYFUNCTION("""COMPUTED_VALUE"""),0.0)</f>
        <v>0</v>
      </c>
      <c r="Q435" s="99"/>
      <c r="R435" s="99">
        <f>IFERROR(__xludf.DUMMYFUNCTION("""COMPUTED_VALUE"""),40000.0)</f>
        <v>40000</v>
      </c>
    </row>
    <row r="436">
      <c r="B436" s="96">
        <f>IFERROR(__xludf.DUMMYFUNCTION("""COMPUTED_VALUE"""),15.0)</f>
        <v>15</v>
      </c>
      <c r="C436" s="98">
        <f>IFERROR(__xludf.DUMMYFUNCTION("""COMPUTED_VALUE"""),44104.0)</f>
        <v>44104</v>
      </c>
      <c r="D436" s="96" t="str">
        <f>IFERROR(__xludf.DUMMYFUNCTION("""COMPUTED_VALUE"""),"ETUK EFFI")</f>
        <v>ETUK EFFI</v>
      </c>
      <c r="E436" s="96"/>
      <c r="F436" s="96"/>
      <c r="G436" s="96"/>
      <c r="H436" s="96"/>
      <c r="I436" s="96"/>
      <c r="J436" s="96"/>
      <c r="K436" s="96"/>
      <c r="L436" s="96">
        <f>IFERROR(__xludf.DUMMYFUNCTION("""COMPUTED_VALUE"""),0.0)</f>
        <v>0</v>
      </c>
      <c r="M436" s="96">
        <f>IFERROR(__xludf.DUMMYFUNCTION("""COMPUTED_VALUE"""),0.0)</f>
        <v>0</v>
      </c>
      <c r="N436" s="96">
        <f>IFERROR(__xludf.DUMMYFUNCTION("""COMPUTED_VALUE"""),0.0)</f>
        <v>0</v>
      </c>
      <c r="O436" s="96">
        <f>IFERROR(__xludf.DUMMYFUNCTION("""COMPUTED_VALUE"""),100000.0)</f>
        <v>100000</v>
      </c>
      <c r="P436" s="129">
        <f>IFERROR(__xludf.DUMMYFUNCTION("""COMPUTED_VALUE"""),0.0)</f>
        <v>0</v>
      </c>
      <c r="Q436" s="99"/>
      <c r="R436" s="99">
        <f>IFERROR(__xludf.DUMMYFUNCTION("""COMPUTED_VALUE"""),1596100.0)</f>
        <v>1596100</v>
      </c>
    </row>
    <row r="437">
      <c r="B437" s="96">
        <f>IFERROR(__xludf.DUMMYFUNCTION("""COMPUTED_VALUE"""),16.0)</f>
        <v>16</v>
      </c>
      <c r="C437" s="98">
        <f>IFERROR(__xludf.DUMMYFUNCTION("""COMPUTED_VALUE"""),44104.0)</f>
        <v>44104</v>
      </c>
      <c r="D437" s="96" t="str">
        <f>IFERROR(__xludf.DUMMYFUNCTION("""COMPUTED_VALUE"""),"ETUK EFFI")</f>
        <v>ETUK EFFI</v>
      </c>
      <c r="E437" s="96"/>
      <c r="F437" s="96"/>
      <c r="G437" s="96"/>
      <c r="H437" s="96"/>
      <c r="I437" s="96"/>
      <c r="J437" s="96"/>
      <c r="K437" s="96"/>
      <c r="L437" s="96">
        <f>IFERROR(__xludf.DUMMYFUNCTION("""COMPUTED_VALUE"""),0.0)</f>
        <v>0</v>
      </c>
      <c r="M437" s="96">
        <f>IFERROR(__xludf.DUMMYFUNCTION("""COMPUTED_VALUE"""),0.0)</f>
        <v>0</v>
      </c>
      <c r="N437" s="96">
        <f>IFERROR(__xludf.DUMMYFUNCTION("""COMPUTED_VALUE"""),0.0)</f>
        <v>0</v>
      </c>
      <c r="O437" s="96">
        <f>IFERROR(__xludf.DUMMYFUNCTION("""COMPUTED_VALUE"""),304000.0)</f>
        <v>304000</v>
      </c>
      <c r="P437" s="129">
        <f>IFERROR(__xludf.DUMMYFUNCTION("""COMPUTED_VALUE"""),0.0)</f>
        <v>0</v>
      </c>
      <c r="Q437" s="99"/>
      <c r="R437" s="99">
        <f>IFERROR(__xludf.DUMMYFUNCTION("""COMPUTED_VALUE"""),1900100.0)</f>
        <v>1900100</v>
      </c>
    </row>
    <row r="438">
      <c r="B438" s="96">
        <f>IFERROR(__xludf.DUMMYFUNCTION("""COMPUTED_VALUE"""),2.0)</f>
        <v>2</v>
      </c>
      <c r="C438" s="98">
        <f>IFERROR(__xludf.DUMMYFUNCTION("""COMPUTED_VALUE"""),44104.0)</f>
        <v>44104</v>
      </c>
      <c r="D438" s="96" t="str">
        <f>IFERROR(__xludf.DUMMYFUNCTION("""COMPUTED_VALUE"""),"PRIN M. BOSURU")</f>
        <v>PRIN M. BOSURU</v>
      </c>
      <c r="E438" s="96"/>
      <c r="F438" s="96"/>
      <c r="G438" s="96"/>
      <c r="H438" s="96"/>
      <c r="I438" s="96"/>
      <c r="J438" s="96"/>
      <c r="K438" s="96"/>
      <c r="L438" s="96">
        <f>IFERROR(__xludf.DUMMYFUNCTION("""COMPUTED_VALUE"""),0.0)</f>
        <v>0</v>
      </c>
      <c r="M438" s="96">
        <f>IFERROR(__xludf.DUMMYFUNCTION("""COMPUTED_VALUE"""),0.0)</f>
        <v>0</v>
      </c>
      <c r="N438" s="96">
        <f>IFERROR(__xludf.DUMMYFUNCTION("""COMPUTED_VALUE"""),0.0)</f>
        <v>0</v>
      </c>
      <c r="O438" s="96">
        <f>IFERROR(__xludf.DUMMYFUNCTION("""COMPUTED_VALUE"""),672000.0)</f>
        <v>672000</v>
      </c>
      <c r="P438" s="129">
        <f>IFERROR(__xludf.DUMMYFUNCTION("""COMPUTED_VALUE"""),0.0)</f>
        <v>0</v>
      </c>
      <c r="Q438" s="99"/>
      <c r="R438" s="99">
        <f>IFERROR(__xludf.DUMMYFUNCTION("""COMPUTED_VALUE"""),1792000.0)</f>
        <v>1792000</v>
      </c>
    </row>
    <row r="439">
      <c r="B439" s="96">
        <f>IFERROR(__xludf.DUMMYFUNCTION("""COMPUTED_VALUE"""),8.0)</f>
        <v>8</v>
      </c>
      <c r="C439" s="98">
        <f>IFERROR(__xludf.DUMMYFUNCTION("""COMPUTED_VALUE"""),44104.0)</f>
        <v>44104</v>
      </c>
      <c r="D439" s="96" t="str">
        <f>IFERROR(__xludf.DUMMYFUNCTION("""COMPUTED_VALUE"""),"CONFIDENCE")</f>
        <v>CONFIDENCE</v>
      </c>
      <c r="E439" s="96"/>
      <c r="F439" s="96"/>
      <c r="G439" s="96"/>
      <c r="H439" s="96"/>
      <c r="I439" s="96"/>
      <c r="J439" s="96"/>
      <c r="K439" s="96"/>
      <c r="L439" s="96">
        <f>IFERROR(__xludf.DUMMYFUNCTION("""COMPUTED_VALUE"""),0.0)</f>
        <v>0</v>
      </c>
      <c r="M439" s="96">
        <f>IFERROR(__xludf.DUMMYFUNCTION("""COMPUTED_VALUE"""),0.0)</f>
        <v>0</v>
      </c>
      <c r="N439" s="96">
        <f>IFERROR(__xludf.DUMMYFUNCTION("""COMPUTED_VALUE"""),0.0)</f>
        <v>0</v>
      </c>
      <c r="O439" s="96">
        <f>IFERROR(__xludf.DUMMYFUNCTION("""COMPUTED_VALUE"""),302800.0)</f>
        <v>302800</v>
      </c>
      <c r="P439" s="129">
        <f>IFERROR(__xludf.DUMMYFUNCTION("""COMPUTED_VALUE"""),0.0)</f>
        <v>0</v>
      </c>
      <c r="Q439" s="99"/>
      <c r="R439" s="99">
        <f>IFERROR(__xludf.DUMMYFUNCTION("""COMPUTED_VALUE"""),2299960.0)</f>
        <v>2299960</v>
      </c>
    </row>
    <row r="440">
      <c r="B440" s="96">
        <f>IFERROR(__xludf.DUMMYFUNCTION("""COMPUTED_VALUE"""),9.0)</f>
        <v>9</v>
      </c>
      <c r="C440" s="98">
        <f>IFERROR(__xludf.DUMMYFUNCTION("""COMPUTED_VALUE"""),44104.0)</f>
        <v>44104</v>
      </c>
      <c r="D440" s="96" t="str">
        <f>IFERROR(__xludf.DUMMYFUNCTION("""COMPUTED_VALUE"""),"EMMANUEL OKO ")</f>
        <v>EMMANUEL OKO </v>
      </c>
      <c r="E440" s="96"/>
      <c r="F440" s="96"/>
      <c r="G440" s="96"/>
      <c r="H440" s="96"/>
      <c r="I440" s="96"/>
      <c r="J440" s="96"/>
      <c r="K440" s="96"/>
      <c r="L440" s="96">
        <f>IFERROR(__xludf.DUMMYFUNCTION("""COMPUTED_VALUE"""),0.0)</f>
        <v>0</v>
      </c>
      <c r="M440" s="96">
        <f>IFERROR(__xludf.DUMMYFUNCTION("""COMPUTED_VALUE"""),0.0)</f>
        <v>0</v>
      </c>
      <c r="N440" s="96">
        <f>IFERROR(__xludf.DUMMYFUNCTION("""COMPUTED_VALUE"""),0.0)</f>
        <v>0</v>
      </c>
      <c r="O440" s="96">
        <f>IFERROR(__xludf.DUMMYFUNCTION("""COMPUTED_VALUE"""),450000.0)</f>
        <v>450000</v>
      </c>
      <c r="P440" s="129">
        <f>IFERROR(__xludf.DUMMYFUNCTION("""COMPUTED_VALUE"""),0.0)</f>
        <v>0</v>
      </c>
      <c r="Q440" s="99"/>
      <c r="R440" s="99">
        <f>IFERROR(__xludf.DUMMYFUNCTION("""COMPUTED_VALUE"""),1540000.0)</f>
        <v>1540000</v>
      </c>
    </row>
    <row r="441">
      <c r="B441" s="96">
        <f>IFERROR(__xludf.DUMMYFUNCTION("""COMPUTED_VALUE"""),2.0)</f>
        <v>2</v>
      </c>
      <c r="C441" s="98">
        <f>IFERROR(__xludf.DUMMYFUNCTION("""COMPUTED_VALUE"""),44104.0)</f>
        <v>44104</v>
      </c>
      <c r="D441" s="96" t="str">
        <f>IFERROR(__xludf.DUMMYFUNCTION("""COMPUTED_VALUE"""),"UNCLE BIGGIE")</f>
        <v>UNCLE BIGGIE</v>
      </c>
      <c r="E441" s="96"/>
      <c r="F441" s="96"/>
      <c r="G441" s="96"/>
      <c r="H441" s="96"/>
      <c r="I441" s="96"/>
      <c r="J441" s="96"/>
      <c r="K441" s="96"/>
      <c r="L441" s="96">
        <f>IFERROR(__xludf.DUMMYFUNCTION("""COMPUTED_VALUE"""),0.0)</f>
        <v>0</v>
      </c>
      <c r="M441" s="96">
        <f>IFERROR(__xludf.DUMMYFUNCTION("""COMPUTED_VALUE"""),0.0)</f>
        <v>0</v>
      </c>
      <c r="N441" s="96">
        <f>IFERROR(__xludf.DUMMYFUNCTION("""COMPUTED_VALUE"""),0.0)</f>
        <v>0</v>
      </c>
      <c r="O441" s="96">
        <f>IFERROR(__xludf.DUMMYFUNCTION("""COMPUTED_VALUE"""),300000.0)</f>
        <v>300000</v>
      </c>
      <c r="P441" s="129">
        <f>IFERROR(__xludf.DUMMYFUNCTION("""COMPUTED_VALUE"""),0.0)</f>
        <v>0</v>
      </c>
      <c r="Q441" s="99"/>
      <c r="R441" s="99">
        <f>IFERROR(__xludf.DUMMYFUNCTION("""COMPUTED_VALUE"""),340000.0)</f>
        <v>340000</v>
      </c>
    </row>
    <row r="442">
      <c r="B442" s="96">
        <f>IFERROR(__xludf.DUMMYFUNCTION("""COMPUTED_VALUE"""),22.0)</f>
        <v>22</v>
      </c>
      <c r="C442" s="98">
        <f>IFERROR(__xludf.DUMMYFUNCTION("""COMPUTED_VALUE"""),44104.0)</f>
        <v>44104</v>
      </c>
      <c r="D442" s="96" t="str">
        <f>IFERROR(__xludf.DUMMYFUNCTION("""COMPUTED_VALUE"""),"CONNECT")</f>
        <v>CONNECT</v>
      </c>
      <c r="E442" s="96"/>
      <c r="F442" s="96"/>
      <c r="G442" s="96"/>
      <c r="H442" s="96"/>
      <c r="I442" s="96"/>
      <c r="J442" s="96"/>
      <c r="K442" s="96"/>
      <c r="L442" s="96">
        <f>IFERROR(__xludf.DUMMYFUNCTION("""COMPUTED_VALUE"""),0.0)</f>
        <v>0</v>
      </c>
      <c r="M442" s="96">
        <f>IFERROR(__xludf.DUMMYFUNCTION("""COMPUTED_VALUE"""),0.0)</f>
        <v>0</v>
      </c>
      <c r="N442" s="96">
        <f>IFERROR(__xludf.DUMMYFUNCTION("""COMPUTED_VALUE"""),0.0)</f>
        <v>0</v>
      </c>
      <c r="O442" s="96">
        <f>IFERROR(__xludf.DUMMYFUNCTION("""COMPUTED_VALUE"""),432400.0)</f>
        <v>432400</v>
      </c>
      <c r="P442" s="129">
        <f>IFERROR(__xludf.DUMMYFUNCTION("""COMPUTED_VALUE"""),0.0)</f>
        <v>0</v>
      </c>
      <c r="Q442" s="99"/>
      <c r="R442" s="99">
        <f>IFERROR(__xludf.DUMMYFUNCTION("""COMPUTED_VALUE"""),6317250.0)</f>
        <v>6317250</v>
      </c>
    </row>
    <row r="443">
      <c r="B443" s="96">
        <f>IFERROR(__xludf.DUMMYFUNCTION("""COMPUTED_VALUE"""),14.0)</f>
        <v>14</v>
      </c>
      <c r="C443" s="98">
        <f>IFERROR(__xludf.DUMMYFUNCTION("""COMPUTED_VALUE"""),44132.0)</f>
        <v>44132</v>
      </c>
      <c r="D443" s="96" t="str">
        <f>IFERROR(__xludf.DUMMYFUNCTION("""COMPUTED_VALUE"""),"EDWARD OKO")</f>
        <v>EDWARD OKO</v>
      </c>
      <c r="E443" s="96">
        <f>IFERROR(__xludf.DUMMYFUNCTION("""COMPUTED_VALUE"""),5466.0)</f>
        <v>5466</v>
      </c>
      <c r="F443" s="96">
        <f>IFERROR(__xludf.DUMMYFUNCTION("""COMPUTED_VALUE"""),723.0)</f>
        <v>723</v>
      </c>
      <c r="G443" s="96"/>
      <c r="H443" s="96">
        <f>IFERROR(__xludf.DUMMYFUNCTION("""COMPUTED_VALUE"""),83.0)</f>
        <v>83</v>
      </c>
      <c r="I443" s="96"/>
      <c r="J443" s="96">
        <f>IFERROR(__xludf.DUMMYFUNCTION("""COMPUTED_VALUE"""),979.11)</f>
        <v>979.11</v>
      </c>
      <c r="K443" s="96">
        <f>IFERROR(__xludf.DUMMYFUNCTION("""COMPUTED_VALUE"""),8.71)</f>
        <v>8.71</v>
      </c>
      <c r="L443" s="96">
        <f>IFERROR(__xludf.DUMMYFUNCTION("""COMPUTED_VALUE"""),38.0)</f>
        <v>38</v>
      </c>
      <c r="M443" s="96">
        <f>IFERROR(__xludf.DUMMYFUNCTION("""COMPUTED_VALUE"""),84.0)</f>
        <v>84</v>
      </c>
      <c r="N443" s="96">
        <f>IFERROR(__xludf.DUMMYFUNCTION("""COMPUTED_VALUE"""),52.0)</f>
        <v>52</v>
      </c>
      <c r="O443" s="96"/>
      <c r="P443" s="129">
        <f>IFERROR(__xludf.DUMMYFUNCTION("""COMPUTED_VALUE"""),5345.0)</f>
        <v>5345</v>
      </c>
      <c r="Q443" s="99">
        <f>IFERROR(__xludf.DUMMYFUNCTION("""COMPUTED_VALUE"""),5233330.0)</f>
        <v>5233330</v>
      </c>
      <c r="R443" s="99">
        <f>IFERROR(__xludf.DUMMYFUNCTION("""COMPUTED_VALUE"""),2650160.0)</f>
        <v>2650160</v>
      </c>
    </row>
    <row r="444">
      <c r="B444" s="96">
        <f>IFERROR(__xludf.DUMMYFUNCTION("""COMPUTED_VALUE"""),15.0)</f>
        <v>15</v>
      </c>
      <c r="C444" s="98">
        <f>IFERROR(__xludf.DUMMYFUNCTION("""COMPUTED_VALUE"""),44106.0)</f>
        <v>44106</v>
      </c>
      <c r="D444" s="96" t="str">
        <f>IFERROR(__xludf.DUMMYFUNCTION("""COMPUTED_VALUE"""),"EDWARD OKO")</f>
        <v>EDWARD OKO</v>
      </c>
      <c r="E444" s="96"/>
      <c r="F444" s="96"/>
      <c r="G444" s="96"/>
      <c r="H444" s="96"/>
      <c r="I444" s="96"/>
      <c r="J444" s="96"/>
      <c r="K444" s="96"/>
      <c r="L444" s="96">
        <f>IFERROR(__xludf.DUMMYFUNCTION("""COMPUTED_VALUE"""),0.0)</f>
        <v>0</v>
      </c>
      <c r="M444" s="96">
        <f>IFERROR(__xludf.DUMMYFUNCTION("""COMPUTED_VALUE"""),0.0)</f>
        <v>0</v>
      </c>
      <c r="N444" s="96">
        <f>IFERROR(__xludf.DUMMYFUNCTION("""COMPUTED_VALUE"""),0.0)</f>
        <v>0</v>
      </c>
      <c r="O444" s="96">
        <f>IFERROR(__xludf.DUMMYFUNCTION("""COMPUTED_VALUE"""),3000000.0)</f>
        <v>3000000</v>
      </c>
      <c r="P444" s="129">
        <f>IFERROR(__xludf.DUMMYFUNCTION("""COMPUTED_VALUE"""),0.0)</f>
        <v>0</v>
      </c>
      <c r="Q444" s="99"/>
      <c r="R444" s="99">
        <f>IFERROR(__xludf.DUMMYFUNCTION("""COMPUTED_VALUE"""),5650160.0)</f>
        <v>5650160</v>
      </c>
    </row>
    <row r="445">
      <c r="B445" s="96">
        <f>IFERROR(__xludf.DUMMYFUNCTION("""COMPUTED_VALUE"""),3.0)</f>
        <v>3</v>
      </c>
      <c r="C445" s="98">
        <f>IFERROR(__xludf.DUMMYFUNCTION("""COMPUTED_VALUE"""),44134.0)</f>
        <v>44134</v>
      </c>
      <c r="D445" s="96" t="str">
        <f>IFERROR(__xludf.DUMMYFUNCTION("""COMPUTED_VALUE"""),"UNCLE BIGGIE")</f>
        <v>UNCLE BIGGIE</v>
      </c>
      <c r="E445" s="96">
        <f>IFERROR(__xludf.DUMMYFUNCTION("""COMPUTED_VALUE"""),2711.0)</f>
        <v>2711</v>
      </c>
      <c r="F445" s="96">
        <f>IFERROR(__xludf.DUMMYFUNCTION("""COMPUTED_VALUE"""),344.0)</f>
        <v>344</v>
      </c>
      <c r="G445" s="96"/>
      <c r="H445" s="96">
        <f>IFERROR(__xludf.DUMMYFUNCTION("""COMPUTED_VALUE"""),43.0)</f>
        <v>43</v>
      </c>
      <c r="I445" s="96"/>
      <c r="J445" s="96">
        <f>IFERROR(__xludf.DUMMYFUNCTION("""COMPUTED_VALUE"""),0.0)</f>
        <v>0</v>
      </c>
      <c r="K445" s="96">
        <f>IFERROR(__xludf.DUMMYFUNCTION("""COMPUTED_VALUE"""),8.0)</f>
        <v>8</v>
      </c>
      <c r="L445" s="96">
        <f>IFERROR(__xludf.DUMMYFUNCTION("""COMPUTED_VALUE"""),0.0)</f>
        <v>0</v>
      </c>
      <c r="M445" s="96">
        <f>IFERROR(__xludf.DUMMYFUNCTION("""COMPUTED_VALUE"""),42.0)</f>
        <v>42</v>
      </c>
      <c r="N445" s="96">
        <f>IFERROR(__xludf.DUMMYFUNCTION("""COMPUTED_VALUE"""),21.0)</f>
        <v>21</v>
      </c>
      <c r="O445" s="96"/>
      <c r="P445" s="129">
        <f>IFERROR(__xludf.DUMMYFUNCTION("""COMPUTED_VALUE"""),2668.0)</f>
        <v>2668</v>
      </c>
      <c r="Q445" s="99"/>
      <c r="R445" s="99">
        <f>IFERROR(__xludf.DUMMYFUNCTION("""COMPUTED_VALUE"""),340000.0)</f>
        <v>340000</v>
      </c>
    </row>
    <row r="446">
      <c r="B446" s="96">
        <f>IFERROR(__xludf.DUMMYFUNCTION("""COMPUTED_VALUE"""),4.0)</f>
        <v>4</v>
      </c>
      <c r="C446" s="98">
        <f>IFERROR(__xludf.DUMMYFUNCTION("""COMPUTED_VALUE"""),44105.0)</f>
        <v>44105</v>
      </c>
      <c r="D446" s="96" t="str">
        <f>IFERROR(__xludf.DUMMYFUNCTION("""COMPUTED_VALUE"""),"UNCLE BIGGIE")</f>
        <v>UNCLE BIGGIE</v>
      </c>
      <c r="E446" s="96"/>
      <c r="F446" s="96"/>
      <c r="G446" s="96"/>
      <c r="H446" s="96"/>
      <c r="I446" s="96"/>
      <c r="J446" s="96"/>
      <c r="K446" s="96"/>
      <c r="L446" s="96">
        <f>IFERROR(__xludf.DUMMYFUNCTION("""COMPUTED_VALUE"""),0.0)</f>
        <v>0</v>
      </c>
      <c r="M446" s="96">
        <f>IFERROR(__xludf.DUMMYFUNCTION("""COMPUTED_VALUE"""),0.0)</f>
        <v>0</v>
      </c>
      <c r="N446" s="96">
        <f>IFERROR(__xludf.DUMMYFUNCTION("""COMPUTED_VALUE"""),0.0)</f>
        <v>0</v>
      </c>
      <c r="O446" s="96">
        <f>IFERROR(__xludf.DUMMYFUNCTION("""COMPUTED_VALUE"""),200000.0)</f>
        <v>200000</v>
      </c>
      <c r="P446" s="129">
        <f>IFERROR(__xludf.DUMMYFUNCTION("""COMPUTED_VALUE"""),0.0)</f>
        <v>0</v>
      </c>
      <c r="Q446" s="99"/>
      <c r="R446" s="99">
        <f>IFERROR(__xludf.DUMMYFUNCTION("""COMPUTED_VALUE"""),540000.0)</f>
        <v>540000</v>
      </c>
    </row>
    <row r="447">
      <c r="B447" s="96">
        <f>IFERROR(__xludf.DUMMYFUNCTION("""COMPUTED_VALUE"""),11.0)</f>
        <v>11</v>
      </c>
      <c r="C447" s="98">
        <f>IFERROR(__xludf.DUMMYFUNCTION("""COMPUTED_VALUE"""),44105.0)</f>
        <v>44105</v>
      </c>
      <c r="D447" s="96" t="str">
        <f>IFERROR(__xludf.DUMMYFUNCTION("""COMPUTED_VALUE"""),"AUGUSTINE IGBA")</f>
        <v>AUGUSTINE IGBA</v>
      </c>
      <c r="E447" s="96"/>
      <c r="F447" s="96"/>
      <c r="G447" s="96"/>
      <c r="H447" s="96"/>
      <c r="I447" s="96"/>
      <c r="J447" s="96"/>
      <c r="K447" s="96"/>
      <c r="L447" s="96">
        <f>IFERROR(__xludf.DUMMYFUNCTION("""COMPUTED_VALUE"""),0.0)</f>
        <v>0</v>
      </c>
      <c r="M447" s="96">
        <f>IFERROR(__xludf.DUMMYFUNCTION("""COMPUTED_VALUE"""),0.0)</f>
        <v>0</v>
      </c>
      <c r="N447" s="96">
        <f>IFERROR(__xludf.DUMMYFUNCTION("""COMPUTED_VALUE"""),0.0)</f>
        <v>0</v>
      </c>
      <c r="O447" s="96">
        <f>IFERROR(__xludf.DUMMYFUNCTION("""COMPUTED_VALUE"""),10000.0)</f>
        <v>10000</v>
      </c>
      <c r="P447" s="129">
        <f>IFERROR(__xludf.DUMMYFUNCTION("""COMPUTED_VALUE"""),0.0)</f>
        <v>0</v>
      </c>
      <c r="Q447" s="99"/>
      <c r="R447" s="99">
        <f>IFERROR(__xludf.DUMMYFUNCTION("""COMPUTED_VALUE"""),2.358754E7)</f>
        <v>23587540</v>
      </c>
    </row>
    <row r="448">
      <c r="B448" s="96">
        <f>IFERROR(__xludf.DUMMYFUNCTION("""COMPUTED_VALUE"""),18.0)</f>
        <v>18</v>
      </c>
      <c r="C448" s="98">
        <f>IFERROR(__xludf.DUMMYFUNCTION("""COMPUTED_VALUE"""),44106.0)</f>
        <v>44106</v>
      </c>
      <c r="D448" s="96" t="str">
        <f>IFERROR(__xludf.DUMMYFUNCTION("""COMPUTED_VALUE""")," MAXWELL AGRO")</f>
        <v> MAXWELL AGRO</v>
      </c>
      <c r="E448" s="96"/>
      <c r="F448" s="96"/>
      <c r="G448" s="96"/>
      <c r="H448" s="96"/>
      <c r="I448" s="96"/>
      <c r="J448" s="96"/>
      <c r="K448" s="96"/>
      <c r="L448" s="96">
        <f>IFERROR(__xludf.DUMMYFUNCTION("""COMPUTED_VALUE"""),0.0)</f>
        <v>0</v>
      </c>
      <c r="M448" s="96">
        <f>IFERROR(__xludf.DUMMYFUNCTION("""COMPUTED_VALUE"""),0.0)</f>
        <v>0</v>
      </c>
      <c r="N448" s="96">
        <f>IFERROR(__xludf.DUMMYFUNCTION("""COMPUTED_VALUE"""),0.0)</f>
        <v>0</v>
      </c>
      <c r="O448" s="96">
        <f>IFERROR(__xludf.DUMMYFUNCTION("""COMPUTED_VALUE"""),1000000.0)</f>
        <v>1000000</v>
      </c>
      <c r="P448" s="129">
        <f>IFERROR(__xludf.DUMMYFUNCTION("""COMPUTED_VALUE"""),0.0)</f>
        <v>0</v>
      </c>
      <c r="Q448" s="99"/>
      <c r="R448" s="99">
        <f>IFERROR(__xludf.DUMMYFUNCTION("""COMPUTED_VALUE"""),1704432.0)</f>
        <v>1704432</v>
      </c>
    </row>
    <row r="449">
      <c r="B449" s="96">
        <f>IFERROR(__xludf.DUMMYFUNCTION("""COMPUTED_VALUE"""),17.0)</f>
        <v>17</v>
      </c>
      <c r="C449" s="98">
        <f>IFERROR(__xludf.DUMMYFUNCTION("""COMPUTED_VALUE"""),44106.0)</f>
        <v>44106</v>
      </c>
      <c r="D449" s="96" t="str">
        <f>IFERROR(__xludf.DUMMYFUNCTION("""COMPUTED_VALUE"""),"ETUK EFFI")</f>
        <v>ETUK EFFI</v>
      </c>
      <c r="E449" s="96"/>
      <c r="F449" s="96"/>
      <c r="G449" s="96"/>
      <c r="H449" s="96"/>
      <c r="I449" s="96"/>
      <c r="J449" s="96"/>
      <c r="K449" s="96"/>
      <c r="L449" s="96">
        <f>IFERROR(__xludf.DUMMYFUNCTION("""COMPUTED_VALUE"""),0.0)</f>
        <v>0</v>
      </c>
      <c r="M449" s="96">
        <f>IFERROR(__xludf.DUMMYFUNCTION("""COMPUTED_VALUE"""),0.0)</f>
        <v>0</v>
      </c>
      <c r="N449" s="96">
        <f>IFERROR(__xludf.DUMMYFUNCTION("""COMPUTED_VALUE"""),0.0)</f>
        <v>0</v>
      </c>
      <c r="O449" s="96">
        <f>IFERROR(__xludf.DUMMYFUNCTION("""COMPUTED_VALUE"""),1000000.0)</f>
        <v>1000000</v>
      </c>
      <c r="P449" s="129">
        <f>IFERROR(__xludf.DUMMYFUNCTION("""COMPUTED_VALUE"""),0.0)</f>
        <v>0</v>
      </c>
      <c r="Q449" s="99"/>
      <c r="R449" s="99">
        <f>IFERROR(__xludf.DUMMYFUNCTION("""COMPUTED_VALUE"""),2900100.0)</f>
        <v>2900100</v>
      </c>
    </row>
    <row r="450">
      <c r="B450" s="96">
        <f>IFERROR(__xludf.DUMMYFUNCTION("""COMPUTED_VALUE"""),4.0)</f>
        <v>4</v>
      </c>
      <c r="C450" s="98">
        <f>IFERROR(__xludf.DUMMYFUNCTION("""COMPUTED_VALUE"""),44106.0)</f>
        <v>44106</v>
      </c>
      <c r="D450" s="96" t="str">
        <f>IFERROR(__xludf.DUMMYFUNCTION("""COMPUTED_VALUE"""),"NAOMI")</f>
        <v>NAOMI</v>
      </c>
      <c r="E450" s="96"/>
      <c r="F450" s="96"/>
      <c r="G450" s="96"/>
      <c r="H450" s="96"/>
      <c r="I450" s="96"/>
      <c r="J450" s="96"/>
      <c r="K450" s="96"/>
      <c r="L450" s="96">
        <f>IFERROR(__xludf.DUMMYFUNCTION("""COMPUTED_VALUE"""),0.0)</f>
        <v>0</v>
      </c>
      <c r="M450" s="96">
        <f>IFERROR(__xludf.DUMMYFUNCTION("""COMPUTED_VALUE"""),0.0)</f>
        <v>0</v>
      </c>
      <c r="N450" s="96">
        <f>IFERROR(__xludf.DUMMYFUNCTION("""COMPUTED_VALUE"""),0.0)</f>
        <v>0</v>
      </c>
      <c r="O450" s="96">
        <f>IFERROR(__xludf.DUMMYFUNCTION("""COMPUTED_VALUE"""),20000.0)</f>
        <v>20000</v>
      </c>
      <c r="P450" s="129">
        <f>IFERROR(__xludf.DUMMYFUNCTION("""COMPUTED_VALUE"""),0.0)</f>
        <v>0</v>
      </c>
      <c r="Q450" s="99"/>
      <c r="R450" s="99">
        <f>IFERROR(__xludf.DUMMYFUNCTION("""COMPUTED_VALUE"""),1.3170265E7)</f>
        <v>13170265</v>
      </c>
    </row>
    <row r="451">
      <c r="B451" s="96">
        <f>IFERROR(__xludf.DUMMYFUNCTION("""COMPUTED_VALUE"""),2.0)</f>
        <v>2</v>
      </c>
      <c r="C451" s="98">
        <f>IFERROR(__xludf.DUMMYFUNCTION("""COMPUTED_VALUE"""),44106.0)</f>
        <v>44106</v>
      </c>
      <c r="D451" s="96" t="str">
        <f>IFERROR(__xludf.DUMMYFUNCTION("""COMPUTED_VALUE"""),"ABANG. ORU")</f>
        <v>ABANG. ORU</v>
      </c>
      <c r="E451" s="96"/>
      <c r="F451" s="96"/>
      <c r="G451" s="96"/>
      <c r="H451" s="96"/>
      <c r="I451" s="96"/>
      <c r="J451" s="96"/>
      <c r="K451" s="96"/>
      <c r="L451" s="96">
        <f>IFERROR(__xludf.DUMMYFUNCTION("""COMPUTED_VALUE"""),0.0)</f>
        <v>0</v>
      </c>
      <c r="M451" s="96">
        <f>IFERROR(__xludf.DUMMYFUNCTION("""COMPUTED_VALUE"""),0.0)</f>
        <v>0</v>
      </c>
      <c r="N451" s="96">
        <f>IFERROR(__xludf.DUMMYFUNCTION("""COMPUTED_VALUE"""),0.0)</f>
        <v>0</v>
      </c>
      <c r="O451" s="96">
        <f>IFERROR(__xludf.DUMMYFUNCTION("""COMPUTED_VALUE"""),20000.0)</f>
        <v>20000</v>
      </c>
      <c r="P451" s="129">
        <f>IFERROR(__xludf.DUMMYFUNCTION("""COMPUTED_VALUE"""),0.0)</f>
        <v>0</v>
      </c>
      <c r="Q451" s="99"/>
      <c r="R451" s="99">
        <f>IFERROR(__xludf.DUMMYFUNCTION("""COMPUTED_VALUE"""),70000.0)</f>
        <v>70000</v>
      </c>
    </row>
    <row r="452">
      <c r="B452" s="96">
        <f>IFERROR(__xludf.DUMMYFUNCTION("""COMPUTED_VALUE"""),23.0)</f>
        <v>23</v>
      </c>
      <c r="C452" s="98">
        <f>IFERROR(__xludf.DUMMYFUNCTION("""COMPUTED_VALUE"""),44107.0)</f>
        <v>44107</v>
      </c>
      <c r="D452" s="96" t="str">
        <f>IFERROR(__xludf.DUMMYFUNCTION("""COMPUTED_VALUE"""),"CONNECT")</f>
        <v>CONNECT</v>
      </c>
      <c r="E452" s="96"/>
      <c r="F452" s="96"/>
      <c r="G452" s="96"/>
      <c r="H452" s="96"/>
      <c r="I452" s="96"/>
      <c r="J452" s="96"/>
      <c r="K452" s="96"/>
      <c r="L452" s="96">
        <f>IFERROR(__xludf.DUMMYFUNCTION("""COMPUTED_VALUE"""),0.0)</f>
        <v>0</v>
      </c>
      <c r="M452" s="96">
        <f>IFERROR(__xludf.DUMMYFUNCTION("""COMPUTED_VALUE"""),0.0)</f>
        <v>0</v>
      </c>
      <c r="N452" s="96">
        <f>IFERROR(__xludf.DUMMYFUNCTION("""COMPUTED_VALUE"""),0.0)</f>
        <v>0</v>
      </c>
      <c r="O452" s="96">
        <f>IFERROR(__xludf.DUMMYFUNCTION("""COMPUTED_VALUE"""),1000000.0)</f>
        <v>1000000</v>
      </c>
      <c r="P452" s="129">
        <f>IFERROR(__xludf.DUMMYFUNCTION("""COMPUTED_VALUE"""),0.0)</f>
        <v>0</v>
      </c>
      <c r="Q452" s="99"/>
      <c r="R452" s="99">
        <f>IFERROR(__xludf.DUMMYFUNCTION("""COMPUTED_VALUE"""),7317250.0)</f>
        <v>7317250</v>
      </c>
    </row>
    <row r="453">
      <c r="B453" s="96">
        <f>IFERROR(__xludf.DUMMYFUNCTION("""COMPUTED_VALUE"""),28.0)</f>
        <v>28</v>
      </c>
      <c r="C453" s="98">
        <f>IFERROR(__xludf.DUMMYFUNCTION("""COMPUTED_VALUE"""),44107.0)</f>
        <v>44107</v>
      </c>
      <c r="D453" s="96" t="str">
        <f>IFERROR(__xludf.DUMMYFUNCTION("""COMPUTED_VALUE"""),"LYDIA HNSON ")</f>
        <v>LYDIA HNSON </v>
      </c>
      <c r="E453" s="96"/>
      <c r="F453" s="96"/>
      <c r="G453" s="96"/>
      <c r="H453" s="96"/>
      <c r="I453" s="96"/>
      <c r="J453" s="96"/>
      <c r="K453" s="96"/>
      <c r="L453" s="96">
        <f>IFERROR(__xludf.DUMMYFUNCTION("""COMPUTED_VALUE"""),0.0)</f>
        <v>0</v>
      </c>
      <c r="M453" s="96">
        <f>IFERROR(__xludf.DUMMYFUNCTION("""COMPUTED_VALUE"""),0.0)</f>
        <v>0</v>
      </c>
      <c r="N453" s="96">
        <f>IFERROR(__xludf.DUMMYFUNCTION("""COMPUTED_VALUE"""),0.0)</f>
        <v>0</v>
      </c>
      <c r="O453" s="96">
        <f>IFERROR(__xludf.DUMMYFUNCTION("""COMPUTED_VALUE"""),400000.0)</f>
        <v>400000</v>
      </c>
      <c r="P453" s="129">
        <f>IFERROR(__xludf.DUMMYFUNCTION("""COMPUTED_VALUE"""),0.0)</f>
        <v>0</v>
      </c>
      <c r="Q453" s="99"/>
      <c r="R453" s="99">
        <f>IFERROR(__xludf.DUMMYFUNCTION("""COMPUTED_VALUE"""),5110520.0)</f>
        <v>5110520</v>
      </c>
    </row>
    <row r="454">
      <c r="B454" s="96">
        <f>IFERROR(__xludf.DUMMYFUNCTION("""COMPUTED_VALUE"""),24.0)</f>
        <v>24</v>
      </c>
      <c r="C454" s="98">
        <f>IFERROR(__xludf.DUMMYFUNCTION("""COMPUTED_VALUE"""),44109.0)</f>
        <v>44109</v>
      </c>
      <c r="D454" s="96" t="str">
        <f>IFERROR(__xludf.DUMMYFUNCTION("""COMPUTED_VALUE"""),"CONNECT")</f>
        <v>CONNECT</v>
      </c>
      <c r="E454" s="96">
        <f>IFERROR(__xludf.DUMMYFUNCTION("""COMPUTED_VALUE"""),6468.0)</f>
        <v>6468</v>
      </c>
      <c r="F454" s="96">
        <f>IFERROR(__xludf.DUMMYFUNCTION("""COMPUTED_VALUE"""),999.5)</f>
        <v>999.5</v>
      </c>
      <c r="G454" s="96"/>
      <c r="H454" s="96">
        <f>IFERROR(__xludf.DUMMYFUNCTION("""COMPUTED_VALUE"""),100.0)</f>
        <v>100</v>
      </c>
      <c r="I454" s="96"/>
      <c r="J454" s="96">
        <f>IFERROR(__xludf.DUMMYFUNCTION("""COMPUTED_VALUE"""),960.0)</f>
        <v>960</v>
      </c>
      <c r="K454" s="96">
        <f>IFERROR(__xludf.DUMMYFUNCTION("""COMPUTED_VALUE"""),10.0)</f>
        <v>10</v>
      </c>
      <c r="L454" s="96">
        <f>IFERROR(__xludf.DUMMYFUNCTION("""COMPUTED_VALUE"""),127.0)</f>
        <v>127</v>
      </c>
      <c r="M454" s="96">
        <f>IFERROR(__xludf.DUMMYFUNCTION("""COMPUTED_VALUE"""),99.0)</f>
        <v>99</v>
      </c>
      <c r="N454" s="96">
        <f>IFERROR(__xludf.DUMMYFUNCTION("""COMPUTED_VALUE"""),3.0)</f>
        <v>3</v>
      </c>
      <c r="O454" s="96"/>
      <c r="P454" s="129">
        <f>IFERROR(__xludf.DUMMYFUNCTION("""COMPUTED_VALUE"""),6241.0)</f>
        <v>6241</v>
      </c>
      <c r="Q454" s="99">
        <f>IFERROR(__xludf.DUMMYFUNCTION("""COMPUTED_VALUE"""),5991360.0)</f>
        <v>5991360</v>
      </c>
      <c r="R454" s="99">
        <f>IFERROR(__xludf.DUMMYFUNCTION("""COMPUTED_VALUE"""),1325890.0)</f>
        <v>1325890</v>
      </c>
    </row>
    <row r="455">
      <c r="B455" s="96">
        <f>IFERROR(__xludf.DUMMYFUNCTION("""COMPUTED_VALUE"""),15.0)</f>
        <v>15</v>
      </c>
      <c r="C455" s="98">
        <f>IFERROR(__xludf.DUMMYFUNCTION("""COMPUTED_VALUE"""),44109.0)</f>
        <v>44109</v>
      </c>
      <c r="D455" s="96" t="str">
        <f>IFERROR(__xludf.DUMMYFUNCTION("""COMPUTED_VALUE"""),"ANDRDEW GREAT")</f>
        <v>ANDRDEW GREAT</v>
      </c>
      <c r="E455" s="96"/>
      <c r="F455" s="96"/>
      <c r="G455" s="96"/>
      <c r="H455" s="96"/>
      <c r="I455" s="96"/>
      <c r="J455" s="96"/>
      <c r="K455" s="96"/>
      <c r="L455" s="96">
        <f>IFERROR(__xludf.DUMMYFUNCTION("""COMPUTED_VALUE"""),0.0)</f>
        <v>0</v>
      </c>
      <c r="M455" s="96">
        <f>IFERROR(__xludf.DUMMYFUNCTION("""COMPUTED_VALUE"""),0.0)</f>
        <v>0</v>
      </c>
      <c r="N455" s="96">
        <f>IFERROR(__xludf.DUMMYFUNCTION("""COMPUTED_VALUE"""),0.0)</f>
        <v>0</v>
      </c>
      <c r="O455" s="96">
        <f>IFERROR(__xludf.DUMMYFUNCTION("""COMPUTED_VALUE"""),200000.0)</f>
        <v>200000</v>
      </c>
      <c r="P455" s="129">
        <f>IFERROR(__xludf.DUMMYFUNCTION("""COMPUTED_VALUE"""),0.0)</f>
        <v>0</v>
      </c>
      <c r="Q455" s="99"/>
      <c r="R455" s="99">
        <f>IFERROR(__xludf.DUMMYFUNCTION("""COMPUTED_VALUE"""),3706860.0)</f>
        <v>3706860</v>
      </c>
    </row>
    <row r="456">
      <c r="B456" s="96">
        <f>IFERROR(__xludf.DUMMYFUNCTION("""COMPUTED_VALUE"""),18.0)</f>
        <v>18</v>
      </c>
      <c r="C456" s="98">
        <f>IFERROR(__xludf.DUMMYFUNCTION("""COMPUTED_VALUE"""),44109.0)</f>
        <v>44109</v>
      </c>
      <c r="D456" s="96" t="str">
        <f>IFERROR(__xludf.DUMMYFUNCTION("""COMPUTED_VALUE"""),"ETUK EFFI")</f>
        <v>ETUK EFFI</v>
      </c>
      <c r="E456" s="96"/>
      <c r="F456" s="96"/>
      <c r="G456" s="96"/>
      <c r="H456" s="96"/>
      <c r="I456" s="96"/>
      <c r="J456" s="96"/>
      <c r="K456" s="96"/>
      <c r="L456" s="96">
        <f>IFERROR(__xludf.DUMMYFUNCTION("""COMPUTED_VALUE"""),0.0)</f>
        <v>0</v>
      </c>
      <c r="M456" s="96">
        <f>IFERROR(__xludf.DUMMYFUNCTION("""COMPUTED_VALUE"""),0.0)</f>
        <v>0</v>
      </c>
      <c r="N456" s="96">
        <f>IFERROR(__xludf.DUMMYFUNCTION("""COMPUTED_VALUE"""),0.0)</f>
        <v>0</v>
      </c>
      <c r="O456" s="96">
        <f>IFERROR(__xludf.DUMMYFUNCTION("""COMPUTED_VALUE"""),1000000.0)</f>
        <v>1000000</v>
      </c>
      <c r="P456" s="129">
        <f>IFERROR(__xludf.DUMMYFUNCTION("""COMPUTED_VALUE"""),0.0)</f>
        <v>0</v>
      </c>
      <c r="Q456" s="99"/>
      <c r="R456" s="99">
        <f>IFERROR(__xludf.DUMMYFUNCTION("""COMPUTED_VALUE"""),3900100.0)</f>
        <v>3900100</v>
      </c>
    </row>
    <row r="457">
      <c r="B457" s="96">
        <f>IFERROR(__xludf.DUMMYFUNCTION("""COMPUTED_VALUE"""),1.0)</f>
        <v>1</v>
      </c>
      <c r="C457" s="98">
        <f>IFERROR(__xludf.DUMMYFUNCTION("""COMPUTED_VALUE"""),44109.0)</f>
        <v>44109</v>
      </c>
      <c r="D457" s="96" t="str">
        <f>IFERROR(__xludf.DUMMYFUNCTION("""COMPUTED_VALUE"""),"GIFT GABRIEL")</f>
        <v>GIFT GABRIEL</v>
      </c>
      <c r="E457" s="96"/>
      <c r="F457" s="96"/>
      <c r="G457" s="96"/>
      <c r="H457" s="96"/>
      <c r="I457" s="96"/>
      <c r="J457" s="96"/>
      <c r="K457" s="96"/>
      <c r="L457" s="96">
        <f>IFERROR(__xludf.DUMMYFUNCTION("""COMPUTED_VALUE"""),0.0)</f>
        <v>0</v>
      </c>
      <c r="M457" s="96">
        <f>IFERROR(__xludf.DUMMYFUNCTION("""COMPUTED_VALUE"""),0.0)</f>
        <v>0</v>
      </c>
      <c r="N457" s="96">
        <f>IFERROR(__xludf.DUMMYFUNCTION("""COMPUTED_VALUE"""),0.0)</f>
        <v>0</v>
      </c>
      <c r="O457" s="96">
        <f>IFERROR(__xludf.DUMMYFUNCTION("""COMPUTED_VALUE"""),1000000.0)</f>
        <v>1000000</v>
      </c>
      <c r="P457" s="129">
        <f>IFERROR(__xludf.DUMMYFUNCTION("""COMPUTED_VALUE"""),0.0)</f>
        <v>0</v>
      </c>
      <c r="Q457" s="99"/>
      <c r="R457" s="99">
        <f>IFERROR(__xludf.DUMMYFUNCTION("""COMPUTED_VALUE"""),1000000.0)</f>
        <v>1000000</v>
      </c>
    </row>
    <row r="458">
      <c r="B458" s="96">
        <f>IFERROR(__xludf.DUMMYFUNCTION("""COMPUTED_VALUE"""),19.0)</f>
        <v>19</v>
      </c>
      <c r="C458" s="98">
        <f>IFERROR(__xludf.DUMMYFUNCTION("""COMPUTED_VALUE"""),44109.0)</f>
        <v>44109</v>
      </c>
      <c r="D458" s="96" t="str">
        <f>IFERROR(__xludf.DUMMYFUNCTION("""COMPUTED_VALUE""")," MAXWELL AGRO")</f>
        <v> MAXWELL AGRO</v>
      </c>
      <c r="E458" s="96"/>
      <c r="F458" s="96"/>
      <c r="G458" s="96"/>
      <c r="H458" s="96"/>
      <c r="I458" s="96"/>
      <c r="J458" s="96"/>
      <c r="K458" s="96"/>
      <c r="L458" s="96">
        <f>IFERROR(__xludf.DUMMYFUNCTION("""COMPUTED_VALUE"""),0.0)</f>
        <v>0</v>
      </c>
      <c r="M458" s="96">
        <f>IFERROR(__xludf.DUMMYFUNCTION("""COMPUTED_VALUE"""),0.0)</f>
        <v>0</v>
      </c>
      <c r="N458" s="96">
        <f>IFERROR(__xludf.DUMMYFUNCTION("""COMPUTED_VALUE"""),0.0)</f>
        <v>0</v>
      </c>
      <c r="O458" s="96">
        <f>IFERROR(__xludf.DUMMYFUNCTION("""COMPUTED_VALUE"""),900000.0)</f>
        <v>900000</v>
      </c>
      <c r="P458" s="129">
        <f>IFERROR(__xludf.DUMMYFUNCTION("""COMPUTED_VALUE"""),0.0)</f>
        <v>0</v>
      </c>
      <c r="Q458" s="99"/>
      <c r="R458" s="99">
        <f>IFERROR(__xludf.DUMMYFUNCTION("""COMPUTED_VALUE"""),2604432.0)</f>
        <v>2604432</v>
      </c>
    </row>
    <row r="459">
      <c r="B459" s="96">
        <f>IFERROR(__xludf.DUMMYFUNCTION("""COMPUTED_VALUE"""),5.0)</f>
        <v>5</v>
      </c>
      <c r="C459" s="98">
        <f>IFERROR(__xludf.DUMMYFUNCTION("""COMPUTED_VALUE"""),44109.0)</f>
        <v>44109</v>
      </c>
      <c r="D459" s="96" t="str">
        <f>IFERROR(__xludf.DUMMYFUNCTION("""COMPUTED_VALUE"""),"OSIM MARIAM")</f>
        <v>OSIM MARIAM</v>
      </c>
      <c r="E459" s="96"/>
      <c r="F459" s="96"/>
      <c r="G459" s="96"/>
      <c r="H459" s="96"/>
      <c r="I459" s="96"/>
      <c r="J459" s="96"/>
      <c r="K459" s="96"/>
      <c r="L459" s="96">
        <f>IFERROR(__xludf.DUMMYFUNCTION("""COMPUTED_VALUE"""),0.0)</f>
        <v>0</v>
      </c>
      <c r="M459" s="96">
        <f>IFERROR(__xludf.DUMMYFUNCTION("""COMPUTED_VALUE"""),0.0)</f>
        <v>0</v>
      </c>
      <c r="N459" s="96">
        <f>IFERROR(__xludf.DUMMYFUNCTION("""COMPUTED_VALUE"""),0.0)</f>
        <v>0</v>
      </c>
      <c r="O459" s="96">
        <f>IFERROR(__xludf.DUMMYFUNCTION("""COMPUTED_VALUE"""),50000.0)</f>
        <v>50000</v>
      </c>
      <c r="P459" s="129">
        <f>IFERROR(__xludf.DUMMYFUNCTION("""COMPUTED_VALUE"""),0.0)</f>
        <v>0</v>
      </c>
      <c r="Q459" s="99"/>
      <c r="R459" s="99">
        <f>IFERROR(__xludf.DUMMYFUNCTION("""COMPUTED_VALUE"""),1250000.0)</f>
        <v>1250000</v>
      </c>
    </row>
    <row r="460">
      <c r="B460" s="96">
        <f>IFERROR(__xludf.DUMMYFUNCTION("""COMPUTED_VALUE"""),16.0)</f>
        <v>16</v>
      </c>
      <c r="C460" s="98">
        <f>IFERROR(__xludf.DUMMYFUNCTION("""COMPUTED_VALUE"""),44112.0)</f>
        <v>44112</v>
      </c>
      <c r="D460" s="96" t="str">
        <f>IFERROR(__xludf.DUMMYFUNCTION("""COMPUTED_VALUE"""),"NDOMA BODE I.D")</f>
        <v>NDOMA BODE I.D</v>
      </c>
      <c r="E460" s="96">
        <f>IFERROR(__xludf.DUMMYFUNCTION("""COMPUTED_VALUE"""),1583.0)</f>
        <v>1583</v>
      </c>
      <c r="F460" s="96">
        <f>IFERROR(__xludf.DUMMYFUNCTION("""COMPUTED_VALUE"""),200.0)</f>
        <v>200</v>
      </c>
      <c r="G460" s="96"/>
      <c r="H460" s="96">
        <f>IFERROR(__xludf.DUMMYFUNCTION("""COMPUTED_VALUE"""),25.0)</f>
        <v>25</v>
      </c>
      <c r="I460" s="96">
        <f>IFERROR(__xludf.DUMMYFUNCTION("""COMPUTED_VALUE"""),0.0)</f>
        <v>0</v>
      </c>
      <c r="J460" s="96">
        <f>IFERROR(__xludf.DUMMYFUNCTION("""COMPUTED_VALUE"""),950.0)</f>
        <v>950</v>
      </c>
      <c r="K460" s="96">
        <f>IFERROR(__xludf.DUMMYFUNCTION("""COMPUTED_VALUE"""),8.0)</f>
        <v>8</v>
      </c>
      <c r="L460" s="96">
        <f>IFERROR(__xludf.DUMMYFUNCTION("""COMPUTED_VALUE"""),0.0)</f>
        <v>0</v>
      </c>
      <c r="M460" s="96">
        <f>IFERROR(__xludf.DUMMYFUNCTION("""COMPUTED_VALUE"""),24.0)</f>
        <v>24</v>
      </c>
      <c r="N460" s="96">
        <f>IFERROR(__xludf.DUMMYFUNCTION("""COMPUTED_VALUE"""),46.0)</f>
        <v>46</v>
      </c>
      <c r="O460" s="96"/>
      <c r="P460" s="129">
        <f>IFERROR(__xludf.DUMMYFUNCTION("""COMPUTED_VALUE"""),1558.0)</f>
        <v>1558</v>
      </c>
      <c r="Q460" s="99">
        <f>IFERROR(__xludf.DUMMYFUNCTION("""COMPUTED_VALUE"""),1480100.0)</f>
        <v>1480100</v>
      </c>
      <c r="R460" s="99">
        <f>IFERROR(__xludf.DUMMYFUNCTION("""COMPUTED_VALUE"""),19840.0)</f>
        <v>19840</v>
      </c>
    </row>
    <row r="461">
      <c r="B461" s="96">
        <f>IFERROR(__xludf.DUMMYFUNCTION("""COMPUTED_VALUE"""),3.0)</f>
        <v>3</v>
      </c>
      <c r="C461" s="98">
        <f>IFERROR(__xludf.DUMMYFUNCTION("""COMPUTED_VALUE"""),44112.0)</f>
        <v>44112</v>
      </c>
      <c r="D461" s="96" t="str">
        <f>IFERROR(__xludf.DUMMYFUNCTION("""COMPUTED_VALUE"""),"ABANG. ORU")</f>
        <v>ABANG. ORU</v>
      </c>
      <c r="E461" s="96">
        <f>IFERROR(__xludf.DUMMYFUNCTION("""COMPUTED_VALUE"""),74.0)</f>
        <v>74</v>
      </c>
      <c r="F461" s="96">
        <f>IFERROR(__xludf.DUMMYFUNCTION("""COMPUTED_VALUE"""),11.5)</f>
        <v>11.5</v>
      </c>
      <c r="G461" s="96"/>
      <c r="H461" s="96">
        <f>IFERROR(__xludf.DUMMYFUNCTION("""COMPUTED_VALUE"""),1.0)</f>
        <v>1</v>
      </c>
      <c r="I461" s="96"/>
      <c r="J461" s="96">
        <f>IFERROR(__xludf.DUMMYFUNCTION("""COMPUTED_VALUE"""),950.0)</f>
        <v>950</v>
      </c>
      <c r="K461" s="96">
        <f>IFERROR(__xludf.DUMMYFUNCTION("""COMPUTED_VALUE"""),11.5)</f>
        <v>11.5</v>
      </c>
      <c r="L461" s="96">
        <f>IFERROR(__xludf.DUMMYFUNCTION("""COMPUTED_VALUE"""),3.0)</f>
        <v>3</v>
      </c>
      <c r="M461" s="96">
        <f>IFERROR(__xludf.DUMMYFUNCTION("""COMPUTED_VALUE"""),1.0)</f>
        <v>1</v>
      </c>
      <c r="N461" s="96">
        <f>IFERROR(__xludf.DUMMYFUNCTION("""COMPUTED_VALUE"""),7.0)</f>
        <v>7</v>
      </c>
      <c r="O461" s="96"/>
      <c r="P461" s="129">
        <f>IFERROR(__xludf.DUMMYFUNCTION("""COMPUTED_VALUE"""),70.0)</f>
        <v>70</v>
      </c>
      <c r="Q461" s="99">
        <f>IFERROR(__xludf.DUMMYFUNCTION("""COMPUTED_VALUE"""),66500.0)</f>
        <v>66500</v>
      </c>
      <c r="R461" s="99">
        <f>IFERROR(__xludf.DUMMYFUNCTION("""COMPUTED_VALUE"""),3500.0)</f>
        <v>3500</v>
      </c>
    </row>
    <row r="462">
      <c r="B462" s="96">
        <f>IFERROR(__xludf.DUMMYFUNCTION("""COMPUTED_VALUE"""),1.0)</f>
        <v>1</v>
      </c>
      <c r="C462" s="98">
        <f>IFERROR(__xludf.DUMMYFUNCTION("""COMPUTED_VALUE"""),44100.0)</f>
        <v>44100</v>
      </c>
      <c r="D462" s="96" t="str">
        <f>IFERROR(__xludf.DUMMYFUNCTION("""COMPUTED_VALUE"""),"BLESSING CHAPMAN")</f>
        <v>BLESSING CHAPMAN</v>
      </c>
      <c r="E462" s="96"/>
      <c r="F462" s="96"/>
      <c r="G462" s="96"/>
      <c r="H462" s="96"/>
      <c r="I462" s="96"/>
      <c r="J462" s="96"/>
      <c r="K462" s="96"/>
      <c r="L462" s="96">
        <f>IFERROR(__xludf.DUMMYFUNCTION("""COMPUTED_VALUE"""),0.0)</f>
        <v>0</v>
      </c>
      <c r="M462" s="96">
        <f>IFERROR(__xludf.DUMMYFUNCTION("""COMPUTED_VALUE"""),0.0)</f>
        <v>0</v>
      </c>
      <c r="N462" s="96">
        <f>IFERROR(__xludf.DUMMYFUNCTION("""COMPUTED_VALUE"""),0.0)</f>
        <v>0</v>
      </c>
      <c r="O462" s="96">
        <f>IFERROR(__xludf.DUMMYFUNCTION("""COMPUTED_VALUE"""),-1040700.0)</f>
        <v>-1040700</v>
      </c>
      <c r="P462" s="129">
        <f>IFERROR(__xludf.DUMMYFUNCTION("""COMPUTED_VALUE"""),0.0)</f>
        <v>0</v>
      </c>
      <c r="Q462" s="99"/>
      <c r="R462" s="99">
        <f>IFERROR(__xludf.DUMMYFUNCTION("""COMPUTED_VALUE"""),-1040700.0)</f>
        <v>-1040700</v>
      </c>
    </row>
    <row r="463">
      <c r="B463" s="96">
        <f>IFERROR(__xludf.DUMMYFUNCTION("""COMPUTED_VALUE"""),13.0)</f>
        <v>13</v>
      </c>
      <c r="C463" s="98">
        <f>IFERROR(__xludf.DUMMYFUNCTION("""COMPUTED_VALUE"""),44110.0)</f>
        <v>44110</v>
      </c>
      <c r="D463" s="96" t="str">
        <f>IFERROR(__xludf.DUMMYFUNCTION("""COMPUTED_VALUE"""),"OTU KOKO KEIBO")</f>
        <v>OTU KOKO KEIBO</v>
      </c>
      <c r="E463" s="96"/>
      <c r="F463" s="96"/>
      <c r="G463" s="96"/>
      <c r="H463" s="96"/>
      <c r="I463" s="96"/>
      <c r="J463" s="96"/>
      <c r="K463" s="96"/>
      <c r="L463" s="96">
        <f>IFERROR(__xludf.DUMMYFUNCTION("""COMPUTED_VALUE"""),0.0)</f>
        <v>0</v>
      </c>
      <c r="M463" s="96">
        <f>IFERROR(__xludf.DUMMYFUNCTION("""COMPUTED_VALUE"""),0.0)</f>
        <v>0</v>
      </c>
      <c r="N463" s="96">
        <f>IFERROR(__xludf.DUMMYFUNCTION("""COMPUTED_VALUE"""),0.0)</f>
        <v>0</v>
      </c>
      <c r="O463" s="96">
        <f>IFERROR(__xludf.DUMMYFUNCTION("""COMPUTED_VALUE"""),112000.0)</f>
        <v>112000</v>
      </c>
      <c r="P463" s="129">
        <f>IFERROR(__xludf.DUMMYFUNCTION("""COMPUTED_VALUE"""),0.0)</f>
        <v>0</v>
      </c>
      <c r="Q463" s="99"/>
      <c r="R463" s="99">
        <f>IFERROR(__xludf.DUMMYFUNCTION("""COMPUTED_VALUE"""),2.8214425E7)</f>
        <v>28214425</v>
      </c>
    </row>
    <row r="464">
      <c r="B464" s="96">
        <f>IFERROR(__xludf.DUMMYFUNCTION("""COMPUTED_VALUE"""),9.0)</f>
        <v>9</v>
      </c>
      <c r="C464" s="98">
        <f>IFERROR(__xludf.DUMMYFUNCTION("""COMPUTED_VALUE"""),44110.0)</f>
        <v>44110</v>
      </c>
      <c r="D464" s="96" t="str">
        <f>IFERROR(__xludf.DUMMYFUNCTION("""COMPUTED_VALUE"""),"NDOMA PETER")</f>
        <v>NDOMA PETER</v>
      </c>
      <c r="E464" s="96"/>
      <c r="F464" s="96"/>
      <c r="G464" s="96"/>
      <c r="H464" s="96"/>
      <c r="I464" s="96"/>
      <c r="J464" s="96"/>
      <c r="K464" s="96"/>
      <c r="L464" s="96">
        <f>IFERROR(__xludf.DUMMYFUNCTION("""COMPUTED_VALUE"""),0.0)</f>
        <v>0</v>
      </c>
      <c r="M464" s="96">
        <f>IFERROR(__xludf.DUMMYFUNCTION("""COMPUTED_VALUE"""),0.0)</f>
        <v>0</v>
      </c>
      <c r="N464" s="96">
        <f>IFERROR(__xludf.DUMMYFUNCTION("""COMPUTED_VALUE"""),0.0)</f>
        <v>0</v>
      </c>
      <c r="O464" s="96">
        <f>IFERROR(__xludf.DUMMYFUNCTION("""COMPUTED_VALUE"""),500000.0)</f>
        <v>500000</v>
      </c>
      <c r="P464" s="129">
        <f>IFERROR(__xludf.DUMMYFUNCTION("""COMPUTED_VALUE"""),0.0)</f>
        <v>0</v>
      </c>
      <c r="Q464" s="99"/>
      <c r="R464" s="99">
        <f>IFERROR(__xludf.DUMMYFUNCTION("""COMPUTED_VALUE"""),1300000.0)</f>
        <v>1300000</v>
      </c>
    </row>
    <row r="465">
      <c r="B465" s="96">
        <f>IFERROR(__xludf.DUMMYFUNCTION("""COMPUTED_VALUE"""),17.0)</f>
        <v>17</v>
      </c>
      <c r="C465" s="98">
        <f>IFERROR(__xludf.DUMMYFUNCTION("""COMPUTED_VALUE"""),44110.0)</f>
        <v>44110</v>
      </c>
      <c r="D465" s="96" t="str">
        <f>IFERROR(__xludf.DUMMYFUNCTION("""COMPUTED_VALUE"""),"NDOMA BODE I.D")</f>
        <v>NDOMA BODE I.D</v>
      </c>
      <c r="E465" s="96"/>
      <c r="F465" s="96"/>
      <c r="G465" s="96"/>
      <c r="H465" s="96"/>
      <c r="I465" s="96"/>
      <c r="J465" s="96"/>
      <c r="K465" s="96"/>
      <c r="L465" s="96">
        <f>IFERROR(__xludf.DUMMYFUNCTION("""COMPUTED_VALUE"""),0.0)</f>
        <v>0</v>
      </c>
      <c r="M465" s="96">
        <f>IFERROR(__xludf.DUMMYFUNCTION("""COMPUTED_VALUE"""),0.0)</f>
        <v>0</v>
      </c>
      <c r="N465" s="96">
        <f>IFERROR(__xludf.DUMMYFUNCTION("""COMPUTED_VALUE"""),0.0)</f>
        <v>0</v>
      </c>
      <c r="O465" s="96">
        <f>IFERROR(__xludf.DUMMYFUNCTION("""COMPUTED_VALUE"""),780000.0)</f>
        <v>780000</v>
      </c>
      <c r="P465" s="129">
        <f>IFERROR(__xludf.DUMMYFUNCTION("""COMPUTED_VALUE"""),0.0)</f>
        <v>0</v>
      </c>
      <c r="Q465" s="99"/>
      <c r="R465" s="99">
        <f>IFERROR(__xludf.DUMMYFUNCTION("""COMPUTED_VALUE"""),799840.0)</f>
        <v>799840</v>
      </c>
    </row>
    <row r="466">
      <c r="B466" s="96">
        <f>IFERROR(__xludf.DUMMYFUNCTION("""COMPUTED_VALUE"""),10.0)</f>
        <v>10</v>
      </c>
      <c r="C466" s="98">
        <f>IFERROR(__xludf.DUMMYFUNCTION("""COMPUTED_VALUE"""),44110.0)</f>
        <v>44110</v>
      </c>
      <c r="D466" s="96" t="str">
        <f>IFERROR(__xludf.DUMMYFUNCTION("""COMPUTED_VALUE"""),"EMMANUEL OKO ")</f>
        <v>EMMANUEL OKO </v>
      </c>
      <c r="E466" s="96"/>
      <c r="F466" s="96"/>
      <c r="G466" s="96"/>
      <c r="H466" s="96"/>
      <c r="I466" s="96"/>
      <c r="J466" s="96"/>
      <c r="K466" s="96"/>
      <c r="L466" s="96">
        <f>IFERROR(__xludf.DUMMYFUNCTION("""COMPUTED_VALUE"""),0.0)</f>
        <v>0</v>
      </c>
      <c r="M466" s="96">
        <f>IFERROR(__xludf.DUMMYFUNCTION("""COMPUTED_VALUE"""),0.0)</f>
        <v>0</v>
      </c>
      <c r="N466" s="96">
        <f>IFERROR(__xludf.DUMMYFUNCTION("""COMPUTED_VALUE"""),0.0)</f>
        <v>0</v>
      </c>
      <c r="O466" s="96">
        <f>IFERROR(__xludf.DUMMYFUNCTION("""COMPUTED_VALUE"""),500000.0)</f>
        <v>500000</v>
      </c>
      <c r="P466" s="129">
        <f>IFERROR(__xludf.DUMMYFUNCTION("""COMPUTED_VALUE"""),0.0)</f>
        <v>0</v>
      </c>
      <c r="Q466" s="99"/>
      <c r="R466" s="99">
        <f>IFERROR(__xludf.DUMMYFUNCTION("""COMPUTED_VALUE"""),2040000.0)</f>
        <v>2040000</v>
      </c>
    </row>
    <row r="467">
      <c r="B467" s="96">
        <f>IFERROR(__xludf.DUMMYFUNCTION("""COMPUTED_VALUE"""),12.0)</f>
        <v>12</v>
      </c>
      <c r="C467" s="98">
        <f>IFERROR(__xludf.DUMMYFUNCTION("""COMPUTED_VALUE"""),44110.0)</f>
        <v>44110</v>
      </c>
      <c r="D467" s="96" t="str">
        <f>IFERROR(__xludf.DUMMYFUNCTION("""COMPUTED_VALUE"""),"A. D. FREDERICK")</f>
        <v>A. D. FREDERICK</v>
      </c>
      <c r="E467" s="96"/>
      <c r="F467" s="96"/>
      <c r="G467" s="96"/>
      <c r="H467" s="96"/>
      <c r="I467" s="96"/>
      <c r="J467" s="96"/>
      <c r="K467" s="96"/>
      <c r="L467" s="96">
        <f>IFERROR(__xludf.DUMMYFUNCTION("""COMPUTED_VALUE"""),0.0)</f>
        <v>0</v>
      </c>
      <c r="M467" s="96">
        <f>IFERROR(__xludf.DUMMYFUNCTION("""COMPUTED_VALUE"""),0.0)</f>
        <v>0</v>
      </c>
      <c r="N467" s="96">
        <f>IFERROR(__xludf.DUMMYFUNCTION("""COMPUTED_VALUE"""),0.0)</f>
        <v>0</v>
      </c>
      <c r="O467" s="96">
        <f>IFERROR(__xludf.DUMMYFUNCTION("""COMPUTED_VALUE"""),500000.0)</f>
        <v>500000</v>
      </c>
      <c r="P467" s="129">
        <f>IFERROR(__xludf.DUMMYFUNCTION("""COMPUTED_VALUE"""),0.0)</f>
        <v>0</v>
      </c>
      <c r="Q467" s="99"/>
      <c r="R467" s="99">
        <f>IFERROR(__xludf.DUMMYFUNCTION("""COMPUTED_VALUE"""),2324000.0)</f>
        <v>2324000</v>
      </c>
    </row>
    <row r="468">
      <c r="B468" s="96">
        <f>IFERROR(__xludf.DUMMYFUNCTION("""COMPUTED_VALUE"""),10.0)</f>
        <v>10</v>
      </c>
      <c r="C468" s="98">
        <f>IFERROR(__xludf.DUMMYFUNCTION("""COMPUTED_VALUE"""),44110.0)</f>
        <v>44110</v>
      </c>
      <c r="D468" s="96" t="str">
        <f>IFERROR(__xludf.DUMMYFUNCTION("""COMPUTED_VALUE"""),"REMMY BODES")</f>
        <v>REMMY BODES</v>
      </c>
      <c r="E468" s="96"/>
      <c r="F468" s="96"/>
      <c r="G468" s="96"/>
      <c r="H468" s="96"/>
      <c r="I468" s="96"/>
      <c r="J468" s="96"/>
      <c r="K468" s="96"/>
      <c r="L468" s="96">
        <f>IFERROR(__xludf.DUMMYFUNCTION("""COMPUTED_VALUE"""),0.0)</f>
        <v>0</v>
      </c>
      <c r="M468" s="96">
        <f>IFERROR(__xludf.DUMMYFUNCTION("""COMPUTED_VALUE"""),0.0)</f>
        <v>0</v>
      </c>
      <c r="N468" s="96">
        <f>IFERROR(__xludf.DUMMYFUNCTION("""COMPUTED_VALUE"""),0.0)</f>
        <v>0</v>
      </c>
      <c r="O468" s="96">
        <f>IFERROR(__xludf.DUMMYFUNCTION("""COMPUTED_VALUE"""),400000.0)</f>
        <v>400000</v>
      </c>
      <c r="P468" s="129">
        <f>IFERROR(__xludf.DUMMYFUNCTION("""COMPUTED_VALUE"""),0.0)</f>
        <v>0</v>
      </c>
      <c r="Q468" s="99"/>
      <c r="R468" s="99">
        <f>IFERROR(__xludf.DUMMYFUNCTION("""COMPUTED_VALUE"""),1791000.0)</f>
        <v>1791000</v>
      </c>
    </row>
    <row r="469">
      <c r="B469" s="96">
        <f>IFERROR(__xludf.DUMMYFUNCTION("""COMPUTED_VALUE"""),1.0)</f>
        <v>1</v>
      </c>
      <c r="C469" s="98">
        <f>IFERROR(__xludf.DUMMYFUNCTION("""COMPUTED_VALUE"""),44110.0)</f>
        <v>44110</v>
      </c>
      <c r="D469" s="96" t="str">
        <f>IFERROR(__xludf.DUMMYFUNCTION("""COMPUTED_VALUE"""),"NELSON &amp; PALUS")</f>
        <v>NELSON &amp; PALUS</v>
      </c>
      <c r="E469" s="96"/>
      <c r="F469" s="96"/>
      <c r="G469" s="96"/>
      <c r="H469" s="96"/>
      <c r="I469" s="96"/>
      <c r="J469" s="96"/>
      <c r="K469" s="96"/>
      <c r="L469" s="96">
        <f>IFERROR(__xludf.DUMMYFUNCTION("""COMPUTED_VALUE"""),0.0)</f>
        <v>0</v>
      </c>
      <c r="M469" s="96">
        <f>IFERROR(__xludf.DUMMYFUNCTION("""COMPUTED_VALUE"""),0.0)</f>
        <v>0</v>
      </c>
      <c r="N469" s="96">
        <f>IFERROR(__xludf.DUMMYFUNCTION("""COMPUTED_VALUE"""),0.0)</f>
        <v>0</v>
      </c>
      <c r="O469" s="96">
        <f>IFERROR(__xludf.DUMMYFUNCTION("""COMPUTED_VALUE"""),23000.0)</f>
        <v>23000</v>
      </c>
      <c r="P469" s="129">
        <f>IFERROR(__xludf.DUMMYFUNCTION("""COMPUTED_VALUE"""),0.0)</f>
        <v>0</v>
      </c>
      <c r="Q469" s="99"/>
      <c r="R469" s="99">
        <f>IFERROR(__xludf.DUMMYFUNCTION("""COMPUTED_VALUE"""),23000.0)</f>
        <v>23000</v>
      </c>
    </row>
    <row r="470">
      <c r="B470" s="96">
        <f>IFERROR(__xludf.DUMMYFUNCTION("""COMPUTED_VALUE"""),14.0)</f>
        <v>14</v>
      </c>
      <c r="C470" s="98">
        <f>IFERROR(__xludf.DUMMYFUNCTION("""COMPUTED_VALUE"""),44111.0)</f>
        <v>44111</v>
      </c>
      <c r="D470" s="96" t="str">
        <f>IFERROR(__xludf.DUMMYFUNCTION("""COMPUTED_VALUE"""),"OTU KOKO KEIBO")</f>
        <v>OTU KOKO KEIBO</v>
      </c>
      <c r="E470" s="96"/>
      <c r="F470" s="96"/>
      <c r="G470" s="96"/>
      <c r="H470" s="96"/>
      <c r="I470" s="96"/>
      <c r="J470" s="96"/>
      <c r="K470" s="96"/>
      <c r="L470" s="96">
        <f>IFERROR(__xludf.DUMMYFUNCTION("""COMPUTED_VALUE"""),0.0)</f>
        <v>0</v>
      </c>
      <c r="M470" s="96">
        <f>IFERROR(__xludf.DUMMYFUNCTION("""COMPUTED_VALUE"""),0.0)</f>
        <v>0</v>
      </c>
      <c r="N470" s="96">
        <f>IFERROR(__xludf.DUMMYFUNCTION("""COMPUTED_VALUE"""),0.0)</f>
        <v>0</v>
      </c>
      <c r="O470" s="96">
        <f>IFERROR(__xludf.DUMMYFUNCTION("""COMPUTED_VALUE"""),50000.0)</f>
        <v>50000</v>
      </c>
      <c r="P470" s="129">
        <f>IFERROR(__xludf.DUMMYFUNCTION("""COMPUTED_VALUE"""),0.0)</f>
        <v>0</v>
      </c>
      <c r="Q470" s="99"/>
      <c r="R470" s="99">
        <f>IFERROR(__xludf.DUMMYFUNCTION("""COMPUTED_VALUE"""),2.8264425E7)</f>
        <v>28264425</v>
      </c>
    </row>
    <row r="471">
      <c r="B471" s="96">
        <f>IFERROR(__xludf.DUMMYFUNCTION("""COMPUTED_VALUE"""),1.0)</f>
        <v>1</v>
      </c>
      <c r="C471" s="98">
        <f>IFERROR(__xludf.DUMMYFUNCTION("""COMPUTED_VALUE"""),44111.0)</f>
        <v>44111</v>
      </c>
      <c r="D471" s="96" t="str">
        <f>IFERROR(__xludf.DUMMYFUNCTION("""COMPUTED_VALUE"""),"COPPA NKU")</f>
        <v>COPPA NKU</v>
      </c>
      <c r="E471" s="96"/>
      <c r="F471" s="96"/>
      <c r="G471" s="96"/>
      <c r="H471" s="96"/>
      <c r="I471" s="96"/>
      <c r="J471" s="96"/>
      <c r="K471" s="96"/>
      <c r="L471" s="96">
        <f>IFERROR(__xludf.DUMMYFUNCTION("""COMPUTED_VALUE"""),0.0)</f>
        <v>0</v>
      </c>
      <c r="M471" s="96">
        <f>IFERROR(__xludf.DUMMYFUNCTION("""COMPUTED_VALUE"""),0.0)</f>
        <v>0</v>
      </c>
      <c r="N471" s="96">
        <f>IFERROR(__xludf.DUMMYFUNCTION("""COMPUTED_VALUE"""),0.0)</f>
        <v>0</v>
      </c>
      <c r="O471" s="96">
        <f>IFERROR(__xludf.DUMMYFUNCTION("""COMPUTED_VALUE"""),300000.0)</f>
        <v>300000</v>
      </c>
      <c r="P471" s="129">
        <f>IFERROR(__xludf.DUMMYFUNCTION("""COMPUTED_VALUE"""),0.0)</f>
        <v>0</v>
      </c>
      <c r="Q471" s="99"/>
      <c r="R471" s="99">
        <f>IFERROR(__xludf.DUMMYFUNCTION("""COMPUTED_VALUE"""),300000.0)</f>
        <v>300000</v>
      </c>
    </row>
    <row r="472">
      <c r="B472" s="96">
        <f>IFERROR(__xludf.DUMMYFUNCTION("""COMPUTED_VALUE"""),12.0)</f>
        <v>12</v>
      </c>
      <c r="C472" s="98">
        <f>IFERROR(__xludf.DUMMYFUNCTION("""COMPUTED_VALUE"""),44111.0)</f>
        <v>44111</v>
      </c>
      <c r="D472" s="96" t="str">
        <f>IFERROR(__xludf.DUMMYFUNCTION("""COMPUTED_VALUE"""),"AUGUSTINE IGBA")</f>
        <v>AUGUSTINE IGBA</v>
      </c>
      <c r="E472" s="96"/>
      <c r="F472" s="96"/>
      <c r="G472" s="96"/>
      <c r="H472" s="96"/>
      <c r="I472" s="96"/>
      <c r="J472" s="96"/>
      <c r="K472" s="96"/>
      <c r="L472" s="96">
        <f>IFERROR(__xludf.DUMMYFUNCTION("""COMPUTED_VALUE"""),0.0)</f>
        <v>0</v>
      </c>
      <c r="M472" s="96">
        <f>IFERROR(__xludf.DUMMYFUNCTION("""COMPUTED_VALUE"""),0.0)</f>
        <v>0</v>
      </c>
      <c r="N472" s="96">
        <f>IFERROR(__xludf.DUMMYFUNCTION("""COMPUTED_VALUE"""),0.0)</f>
        <v>0</v>
      </c>
      <c r="O472" s="96">
        <f>IFERROR(__xludf.DUMMYFUNCTION("""COMPUTED_VALUE"""),4000000.0)</f>
        <v>4000000</v>
      </c>
      <c r="P472" s="129">
        <f>IFERROR(__xludf.DUMMYFUNCTION("""COMPUTED_VALUE"""),0.0)</f>
        <v>0</v>
      </c>
      <c r="Q472" s="99"/>
      <c r="R472" s="99">
        <f>IFERROR(__xludf.DUMMYFUNCTION("""COMPUTED_VALUE"""),2.758754E7)</f>
        <v>27587540</v>
      </c>
    </row>
    <row r="473">
      <c r="B473" s="96">
        <f>IFERROR(__xludf.DUMMYFUNCTION("""COMPUTED_VALUE"""),19.0)</f>
        <v>19</v>
      </c>
      <c r="C473" s="98">
        <f>IFERROR(__xludf.DUMMYFUNCTION("""COMPUTED_VALUE"""),44111.0)</f>
        <v>44111</v>
      </c>
      <c r="D473" s="96" t="str">
        <f>IFERROR(__xludf.DUMMYFUNCTION("""COMPUTED_VALUE"""),"LIVINUS")</f>
        <v>LIVINUS</v>
      </c>
      <c r="E473" s="96"/>
      <c r="F473" s="96"/>
      <c r="G473" s="96"/>
      <c r="H473" s="96"/>
      <c r="I473" s="96"/>
      <c r="J473" s="96"/>
      <c r="K473" s="96"/>
      <c r="L473" s="96">
        <f>IFERROR(__xludf.DUMMYFUNCTION("""COMPUTED_VALUE"""),0.0)</f>
        <v>0</v>
      </c>
      <c r="M473" s="96">
        <f>IFERROR(__xludf.DUMMYFUNCTION("""COMPUTED_VALUE"""),0.0)</f>
        <v>0</v>
      </c>
      <c r="N473" s="96">
        <f>IFERROR(__xludf.DUMMYFUNCTION("""COMPUTED_VALUE"""),0.0)</f>
        <v>0</v>
      </c>
      <c r="O473" s="96">
        <f>IFERROR(__xludf.DUMMYFUNCTION("""COMPUTED_VALUE"""),620000.0)</f>
        <v>620000</v>
      </c>
      <c r="P473" s="129">
        <f>IFERROR(__xludf.DUMMYFUNCTION("""COMPUTED_VALUE"""),0.0)</f>
        <v>0</v>
      </c>
      <c r="Q473" s="99"/>
      <c r="R473" s="99">
        <f>IFERROR(__xludf.DUMMYFUNCTION("""COMPUTED_VALUE"""),1.14015E7)</f>
        <v>11401500</v>
      </c>
    </row>
    <row r="474">
      <c r="B474" s="96">
        <f>IFERROR(__xludf.DUMMYFUNCTION("""COMPUTED_VALUE"""),18.0)</f>
        <v>18</v>
      </c>
      <c r="C474" s="98">
        <f>IFERROR(__xludf.DUMMYFUNCTION("""COMPUTED_VALUE"""),44111.0)</f>
        <v>44111</v>
      </c>
      <c r="D474" s="96" t="str">
        <f>IFERROR(__xludf.DUMMYFUNCTION("""COMPUTED_VALUE"""),"NDOMA BODE I.D")</f>
        <v>NDOMA BODE I.D</v>
      </c>
      <c r="E474" s="96"/>
      <c r="F474" s="96"/>
      <c r="G474" s="96"/>
      <c r="H474" s="96"/>
      <c r="I474" s="96"/>
      <c r="J474" s="96"/>
      <c r="K474" s="96"/>
      <c r="L474" s="96">
        <f>IFERROR(__xludf.DUMMYFUNCTION("""COMPUTED_VALUE"""),0.0)</f>
        <v>0</v>
      </c>
      <c r="M474" s="96">
        <f>IFERROR(__xludf.DUMMYFUNCTION("""COMPUTED_VALUE"""),0.0)</f>
        <v>0</v>
      </c>
      <c r="N474" s="96">
        <f>IFERROR(__xludf.DUMMYFUNCTION("""COMPUTED_VALUE"""),0.0)</f>
        <v>0</v>
      </c>
      <c r="O474" s="96">
        <f>IFERROR(__xludf.DUMMYFUNCTION("""COMPUTED_VALUE"""),1200000.0)</f>
        <v>1200000</v>
      </c>
      <c r="P474" s="129">
        <f>IFERROR(__xludf.DUMMYFUNCTION("""COMPUTED_VALUE"""),0.0)</f>
        <v>0</v>
      </c>
      <c r="Q474" s="99"/>
      <c r="R474" s="99">
        <f>IFERROR(__xludf.DUMMYFUNCTION("""COMPUTED_VALUE"""),1999840.0)</f>
        <v>1999840</v>
      </c>
    </row>
    <row r="475">
      <c r="B475" s="96">
        <f>IFERROR(__xludf.DUMMYFUNCTION("""COMPUTED_VALUE"""),10.0)</f>
        <v>10</v>
      </c>
      <c r="C475" s="98">
        <f>IFERROR(__xludf.DUMMYFUNCTION("""COMPUTED_VALUE"""),44111.0)</f>
        <v>44111</v>
      </c>
      <c r="D475" s="96" t="str">
        <f>IFERROR(__xludf.DUMMYFUNCTION("""COMPUTED_VALUE"""),"NDOMA PETER")</f>
        <v>NDOMA PETER</v>
      </c>
      <c r="E475" s="96"/>
      <c r="F475" s="96"/>
      <c r="G475" s="96"/>
      <c r="H475" s="96"/>
      <c r="I475" s="96"/>
      <c r="J475" s="96"/>
      <c r="K475" s="96"/>
      <c r="L475" s="96">
        <f>IFERROR(__xludf.DUMMYFUNCTION("""COMPUTED_VALUE"""),0.0)</f>
        <v>0</v>
      </c>
      <c r="M475" s="96">
        <f>IFERROR(__xludf.DUMMYFUNCTION("""COMPUTED_VALUE"""),0.0)</f>
        <v>0</v>
      </c>
      <c r="N475" s="96">
        <f>IFERROR(__xludf.DUMMYFUNCTION("""COMPUTED_VALUE"""),0.0)</f>
        <v>0</v>
      </c>
      <c r="O475" s="96">
        <f>IFERROR(__xludf.DUMMYFUNCTION("""COMPUTED_VALUE"""),900000.0)</f>
        <v>900000</v>
      </c>
      <c r="P475" s="129">
        <f>IFERROR(__xludf.DUMMYFUNCTION("""COMPUTED_VALUE"""),0.0)</f>
        <v>0</v>
      </c>
      <c r="Q475" s="99"/>
      <c r="R475" s="99">
        <f>IFERROR(__xludf.DUMMYFUNCTION("""COMPUTED_VALUE"""),2200000.0)</f>
        <v>2200000</v>
      </c>
    </row>
    <row r="476">
      <c r="B476" s="96">
        <f>IFERROR(__xludf.DUMMYFUNCTION("""COMPUTED_VALUE"""),4.0)</f>
        <v>4</v>
      </c>
      <c r="C476" s="98">
        <f>IFERROR(__xludf.DUMMYFUNCTION("""COMPUTED_VALUE"""),44111.0)</f>
        <v>44111</v>
      </c>
      <c r="D476" s="96" t="str">
        <f>IFERROR(__xludf.DUMMYFUNCTION("""COMPUTED_VALUE"""),"RI SAMP")</f>
        <v>RI SAMP</v>
      </c>
      <c r="E476" s="96"/>
      <c r="F476" s="96"/>
      <c r="G476" s="96"/>
      <c r="H476" s="96"/>
      <c r="I476" s="96"/>
      <c r="J476" s="96"/>
      <c r="K476" s="96"/>
      <c r="L476" s="96">
        <f>IFERROR(__xludf.DUMMYFUNCTION("""COMPUTED_VALUE"""),0.0)</f>
        <v>0</v>
      </c>
      <c r="M476" s="96">
        <f>IFERROR(__xludf.DUMMYFUNCTION("""COMPUTED_VALUE"""),0.0)</f>
        <v>0</v>
      </c>
      <c r="N476" s="96">
        <f>IFERROR(__xludf.DUMMYFUNCTION("""COMPUTED_VALUE"""),0.0)</f>
        <v>0</v>
      </c>
      <c r="O476" s="96">
        <f>IFERROR(__xludf.DUMMYFUNCTION("""COMPUTED_VALUE"""),670000.0)</f>
        <v>670000</v>
      </c>
      <c r="P476" s="129">
        <f>IFERROR(__xludf.DUMMYFUNCTION("""COMPUTED_VALUE"""),0.0)</f>
        <v>0</v>
      </c>
      <c r="Q476" s="99"/>
      <c r="R476" s="99">
        <f>IFERROR(__xludf.DUMMYFUNCTION("""COMPUTED_VALUE"""),1670000.0)</f>
        <v>1670000</v>
      </c>
    </row>
    <row r="477">
      <c r="B477" s="96">
        <f>IFERROR(__xludf.DUMMYFUNCTION("""COMPUTED_VALUE"""),3.0)</f>
        <v>3</v>
      </c>
      <c r="C477" s="98">
        <f>IFERROR(__xludf.DUMMYFUNCTION("""COMPUTED_VALUE"""),44111.0)</f>
        <v>44111</v>
      </c>
      <c r="D477" s="96" t="str">
        <f>IFERROR(__xludf.DUMMYFUNCTION("""COMPUTED_VALUE"""),"PRIN M. BOSURU")</f>
        <v>PRIN M. BOSURU</v>
      </c>
      <c r="E477" s="96"/>
      <c r="F477" s="96"/>
      <c r="G477" s="96"/>
      <c r="H477" s="96"/>
      <c r="I477" s="96"/>
      <c r="J477" s="96"/>
      <c r="K477" s="96"/>
      <c r="L477" s="96">
        <f>IFERROR(__xludf.DUMMYFUNCTION("""COMPUTED_VALUE"""),0.0)</f>
        <v>0</v>
      </c>
      <c r="M477" s="96">
        <f>IFERROR(__xludf.DUMMYFUNCTION("""COMPUTED_VALUE"""),0.0)</f>
        <v>0</v>
      </c>
      <c r="N477" s="96">
        <f>IFERROR(__xludf.DUMMYFUNCTION("""COMPUTED_VALUE"""),0.0)</f>
        <v>0</v>
      </c>
      <c r="O477" s="96">
        <f>IFERROR(__xludf.DUMMYFUNCTION("""COMPUTED_VALUE"""),620000.0)</f>
        <v>620000</v>
      </c>
      <c r="P477" s="129">
        <f>IFERROR(__xludf.DUMMYFUNCTION("""COMPUTED_VALUE"""),0.0)</f>
        <v>0</v>
      </c>
      <c r="Q477" s="99"/>
      <c r="R477" s="99">
        <f>IFERROR(__xludf.DUMMYFUNCTION("""COMPUTED_VALUE"""),2412000.0)</f>
        <v>2412000</v>
      </c>
    </row>
    <row r="478">
      <c r="B478" s="96">
        <f>IFERROR(__xludf.DUMMYFUNCTION("""COMPUTED_VALUE"""),8.0)</f>
        <v>8</v>
      </c>
      <c r="C478" s="98">
        <f>IFERROR(__xludf.DUMMYFUNCTION("""COMPUTED_VALUE"""),44111.0)</f>
        <v>44111</v>
      </c>
      <c r="D478" s="96" t="str">
        <f>IFERROR(__xludf.DUMMYFUNCTION("""COMPUTED_VALUE"""),"EUGENE")</f>
        <v>EUGENE</v>
      </c>
      <c r="E478" s="96"/>
      <c r="F478" s="96"/>
      <c r="G478" s="96"/>
      <c r="H478" s="96"/>
      <c r="I478" s="96"/>
      <c r="J478" s="96"/>
      <c r="K478" s="96"/>
      <c r="L478" s="96">
        <f>IFERROR(__xludf.DUMMYFUNCTION("""COMPUTED_VALUE"""),0.0)</f>
        <v>0</v>
      </c>
      <c r="M478" s="96">
        <f>IFERROR(__xludf.DUMMYFUNCTION("""COMPUTED_VALUE"""),0.0)</f>
        <v>0</v>
      </c>
      <c r="N478" s="96">
        <f>IFERROR(__xludf.DUMMYFUNCTION("""COMPUTED_VALUE"""),0.0)</f>
        <v>0</v>
      </c>
      <c r="O478" s="96">
        <f>IFERROR(__xludf.DUMMYFUNCTION("""COMPUTED_VALUE"""),1645900.0)</f>
        <v>1645900</v>
      </c>
      <c r="P478" s="129">
        <f>IFERROR(__xludf.DUMMYFUNCTION("""COMPUTED_VALUE"""),0.0)</f>
        <v>0</v>
      </c>
      <c r="Q478" s="99"/>
      <c r="R478" s="99">
        <f>IFERROR(__xludf.DUMMYFUNCTION("""COMPUTED_VALUE"""),3295900.0)</f>
        <v>3295900</v>
      </c>
    </row>
    <row r="479">
      <c r="B479" s="96">
        <f>IFERROR(__xludf.DUMMYFUNCTION("""COMPUTED_VALUE"""),19.0)</f>
        <v>19</v>
      </c>
      <c r="C479" s="98">
        <f>IFERROR(__xludf.DUMMYFUNCTION("""COMPUTED_VALUE"""),44111.0)</f>
        <v>44111</v>
      </c>
      <c r="D479" s="96" t="str">
        <f>IFERROR(__xludf.DUMMYFUNCTION("""COMPUTED_VALUE"""),"ETUK EFFI")</f>
        <v>ETUK EFFI</v>
      </c>
      <c r="E479" s="96"/>
      <c r="F479" s="96"/>
      <c r="G479" s="96"/>
      <c r="H479" s="96"/>
      <c r="I479" s="96"/>
      <c r="J479" s="96"/>
      <c r="K479" s="96"/>
      <c r="L479" s="96">
        <f>IFERROR(__xludf.DUMMYFUNCTION("""COMPUTED_VALUE"""),0.0)</f>
        <v>0</v>
      </c>
      <c r="M479" s="96">
        <f>IFERROR(__xludf.DUMMYFUNCTION("""COMPUTED_VALUE"""),0.0)</f>
        <v>0</v>
      </c>
      <c r="N479" s="96">
        <f>IFERROR(__xludf.DUMMYFUNCTION("""COMPUTED_VALUE"""),0.0)</f>
        <v>0</v>
      </c>
      <c r="O479" s="96">
        <f>IFERROR(__xludf.DUMMYFUNCTION("""COMPUTED_VALUE"""),1520000.0)</f>
        <v>1520000</v>
      </c>
      <c r="P479" s="129">
        <f>IFERROR(__xludf.DUMMYFUNCTION("""COMPUTED_VALUE"""),0.0)</f>
        <v>0</v>
      </c>
      <c r="Q479" s="99"/>
      <c r="R479" s="99">
        <f>IFERROR(__xludf.DUMMYFUNCTION("""COMPUTED_VALUE"""),5420100.0)</f>
        <v>5420100</v>
      </c>
    </row>
    <row r="480">
      <c r="B480" s="96">
        <f>IFERROR(__xludf.DUMMYFUNCTION("""COMPUTED_VALUE"""),29.0)</f>
        <v>29</v>
      </c>
      <c r="C480" s="98">
        <f>IFERROR(__xludf.DUMMYFUNCTION("""COMPUTED_VALUE"""),44111.0)</f>
        <v>44111</v>
      </c>
      <c r="D480" s="96" t="str">
        <f>IFERROR(__xludf.DUMMYFUNCTION("""COMPUTED_VALUE"""),"LYDIA HNSON ")</f>
        <v>LYDIA HNSON </v>
      </c>
      <c r="E480" s="96"/>
      <c r="F480" s="96"/>
      <c r="G480" s="96"/>
      <c r="H480" s="96"/>
      <c r="I480" s="96"/>
      <c r="J480" s="96"/>
      <c r="K480" s="96"/>
      <c r="L480" s="96">
        <f>IFERROR(__xludf.DUMMYFUNCTION("""COMPUTED_VALUE"""),0.0)</f>
        <v>0</v>
      </c>
      <c r="M480" s="96">
        <f>IFERROR(__xludf.DUMMYFUNCTION("""COMPUTED_VALUE"""),0.0)</f>
        <v>0</v>
      </c>
      <c r="N480" s="96">
        <f>IFERROR(__xludf.DUMMYFUNCTION("""COMPUTED_VALUE"""),0.0)</f>
        <v>0</v>
      </c>
      <c r="O480" s="96">
        <f>IFERROR(__xludf.DUMMYFUNCTION("""COMPUTED_VALUE"""),1800000.0)</f>
        <v>1800000</v>
      </c>
      <c r="P480" s="129">
        <f>IFERROR(__xludf.DUMMYFUNCTION("""COMPUTED_VALUE"""),0.0)</f>
        <v>0</v>
      </c>
      <c r="Q480" s="99"/>
      <c r="R480" s="99">
        <f>IFERROR(__xludf.DUMMYFUNCTION("""COMPUTED_VALUE"""),6910520.0)</f>
        <v>6910520</v>
      </c>
    </row>
    <row r="481">
      <c r="B481" s="96">
        <f>IFERROR(__xludf.DUMMYFUNCTION("""COMPUTED_VALUE"""),11.0)</f>
        <v>11</v>
      </c>
      <c r="C481" s="98">
        <f>IFERROR(__xludf.DUMMYFUNCTION("""COMPUTED_VALUE"""),44111.0)</f>
        <v>44111</v>
      </c>
      <c r="D481" s="96" t="str">
        <f>IFERROR(__xludf.DUMMYFUNCTION("""COMPUTED_VALUE"""),"REMMY BODES")</f>
        <v>REMMY BODES</v>
      </c>
      <c r="E481" s="96"/>
      <c r="F481" s="96"/>
      <c r="G481" s="96"/>
      <c r="H481" s="96"/>
      <c r="I481" s="96"/>
      <c r="J481" s="96"/>
      <c r="K481" s="96"/>
      <c r="L481" s="96">
        <f>IFERROR(__xludf.DUMMYFUNCTION("""COMPUTED_VALUE"""),0.0)</f>
        <v>0</v>
      </c>
      <c r="M481" s="96">
        <f>IFERROR(__xludf.DUMMYFUNCTION("""COMPUTED_VALUE"""),0.0)</f>
        <v>0</v>
      </c>
      <c r="N481" s="96">
        <f>IFERROR(__xludf.DUMMYFUNCTION("""COMPUTED_VALUE"""),0.0)</f>
        <v>0</v>
      </c>
      <c r="O481" s="96">
        <f>IFERROR(__xludf.DUMMYFUNCTION("""COMPUTED_VALUE"""),661500.0)</f>
        <v>661500</v>
      </c>
      <c r="P481" s="129">
        <f>IFERROR(__xludf.DUMMYFUNCTION("""COMPUTED_VALUE"""),0.0)</f>
        <v>0</v>
      </c>
      <c r="Q481" s="99"/>
      <c r="R481" s="99">
        <f>IFERROR(__xludf.DUMMYFUNCTION("""COMPUTED_VALUE"""),2452500.0)</f>
        <v>2452500</v>
      </c>
    </row>
    <row r="482">
      <c r="B482" s="96">
        <f>IFERROR(__xludf.DUMMYFUNCTION("""COMPUTED_VALUE"""),4.0)</f>
        <v>4</v>
      </c>
      <c r="C482" s="98">
        <f>IFERROR(__xludf.DUMMYFUNCTION("""COMPUTED_VALUE"""),44111.0)</f>
        <v>44111</v>
      </c>
      <c r="D482" s="96" t="str">
        <f>IFERROR(__xludf.DUMMYFUNCTION("""COMPUTED_VALUE"""),"FRANCIS KEIBO")</f>
        <v>FRANCIS KEIBO</v>
      </c>
      <c r="E482" s="96"/>
      <c r="F482" s="96"/>
      <c r="G482" s="96"/>
      <c r="H482" s="96"/>
      <c r="I482" s="96"/>
      <c r="J482" s="96"/>
      <c r="K482" s="96"/>
      <c r="L482" s="96">
        <f>IFERROR(__xludf.DUMMYFUNCTION("""COMPUTED_VALUE"""),0.0)</f>
        <v>0</v>
      </c>
      <c r="M482" s="96">
        <f>IFERROR(__xludf.DUMMYFUNCTION("""COMPUTED_VALUE"""),0.0)</f>
        <v>0</v>
      </c>
      <c r="N482" s="96">
        <f>IFERROR(__xludf.DUMMYFUNCTION("""COMPUTED_VALUE"""),0.0)</f>
        <v>0</v>
      </c>
      <c r="O482" s="96">
        <f>IFERROR(__xludf.DUMMYFUNCTION("""COMPUTED_VALUE"""),200000.0)</f>
        <v>200000</v>
      </c>
      <c r="P482" s="129">
        <f>IFERROR(__xludf.DUMMYFUNCTION("""COMPUTED_VALUE"""),0.0)</f>
        <v>0</v>
      </c>
      <c r="Q482" s="99"/>
      <c r="R482" s="99">
        <f>IFERROR(__xludf.DUMMYFUNCTION("""COMPUTED_VALUE"""),787000.0)</f>
        <v>787000</v>
      </c>
    </row>
    <row r="483">
      <c r="B483" s="96">
        <f>IFERROR(__xludf.DUMMYFUNCTION("""COMPUTED_VALUE"""),13.0)</f>
        <v>13</v>
      </c>
      <c r="C483" s="98">
        <f>IFERROR(__xludf.DUMMYFUNCTION("""COMPUTED_VALUE"""),44111.0)</f>
        <v>44111</v>
      </c>
      <c r="D483" s="96" t="str">
        <f>IFERROR(__xludf.DUMMYFUNCTION("""COMPUTED_VALUE"""),"AUGUSTINE IGBA")</f>
        <v>AUGUSTINE IGBA</v>
      </c>
      <c r="E483" s="96"/>
      <c r="F483" s="96"/>
      <c r="G483" s="96"/>
      <c r="H483" s="96"/>
      <c r="I483" s="96"/>
      <c r="J483" s="96"/>
      <c r="K483" s="96"/>
      <c r="L483" s="96">
        <f>IFERROR(__xludf.DUMMYFUNCTION("""COMPUTED_VALUE"""),0.0)</f>
        <v>0</v>
      </c>
      <c r="M483" s="96">
        <f>IFERROR(__xludf.DUMMYFUNCTION("""COMPUTED_VALUE"""),0.0)</f>
        <v>0</v>
      </c>
      <c r="N483" s="96">
        <f>IFERROR(__xludf.DUMMYFUNCTION("""COMPUTED_VALUE"""),0.0)</f>
        <v>0</v>
      </c>
      <c r="O483" s="96">
        <f>IFERROR(__xludf.DUMMYFUNCTION("""COMPUTED_VALUE"""),5000.0)</f>
        <v>5000</v>
      </c>
      <c r="P483" s="129">
        <f>IFERROR(__xludf.DUMMYFUNCTION("""COMPUTED_VALUE"""),0.0)</f>
        <v>0</v>
      </c>
      <c r="Q483" s="99"/>
      <c r="R483" s="99">
        <f>IFERROR(__xludf.DUMMYFUNCTION("""COMPUTED_VALUE"""),2.759254E7)</f>
        <v>27592540</v>
      </c>
    </row>
    <row r="484">
      <c r="B484" s="96">
        <f>IFERROR(__xludf.DUMMYFUNCTION("""COMPUTED_VALUE"""),25.0)</f>
        <v>25</v>
      </c>
      <c r="C484" s="98">
        <f>IFERROR(__xludf.DUMMYFUNCTION("""COMPUTED_VALUE"""),44111.0)</f>
        <v>44111</v>
      </c>
      <c r="D484" s="96" t="str">
        <f>IFERROR(__xludf.DUMMYFUNCTION("""COMPUTED_VALUE"""),"CONNECT")</f>
        <v>CONNECT</v>
      </c>
      <c r="E484" s="96"/>
      <c r="F484" s="96"/>
      <c r="G484" s="96"/>
      <c r="H484" s="96"/>
      <c r="I484" s="96"/>
      <c r="J484" s="96"/>
      <c r="K484" s="96"/>
      <c r="L484" s="96">
        <f>IFERROR(__xludf.DUMMYFUNCTION("""COMPUTED_VALUE"""),0.0)</f>
        <v>0</v>
      </c>
      <c r="M484" s="96">
        <f>IFERROR(__xludf.DUMMYFUNCTION("""COMPUTED_VALUE"""),0.0)</f>
        <v>0</v>
      </c>
      <c r="N484" s="96">
        <f>IFERROR(__xludf.DUMMYFUNCTION("""COMPUTED_VALUE"""),0.0)</f>
        <v>0</v>
      </c>
      <c r="O484" s="96">
        <f>IFERROR(__xludf.DUMMYFUNCTION("""COMPUTED_VALUE"""),3000000.0)</f>
        <v>3000000</v>
      </c>
      <c r="P484" s="129">
        <f>IFERROR(__xludf.DUMMYFUNCTION("""COMPUTED_VALUE"""),0.0)</f>
        <v>0</v>
      </c>
      <c r="Q484" s="99"/>
      <c r="R484" s="99">
        <f>IFERROR(__xludf.DUMMYFUNCTION("""COMPUTED_VALUE"""),4325890.0)</f>
        <v>4325890</v>
      </c>
    </row>
    <row r="485">
      <c r="B485" s="96">
        <f>IFERROR(__xludf.DUMMYFUNCTION("""COMPUTED_VALUE"""),1.0)</f>
        <v>1</v>
      </c>
      <c r="C485" s="98">
        <f>IFERROR(__xludf.DUMMYFUNCTION("""COMPUTED_VALUE"""),44112.0)</f>
        <v>44112</v>
      </c>
      <c r="D485" s="96" t="str">
        <f>IFERROR(__xludf.DUMMYFUNCTION("""COMPUTED_VALUE"""),"ETIM SUNDAY")</f>
        <v>ETIM SUNDAY</v>
      </c>
      <c r="E485" s="96"/>
      <c r="F485" s="96"/>
      <c r="G485" s="96"/>
      <c r="H485" s="96"/>
      <c r="I485" s="96"/>
      <c r="J485" s="96"/>
      <c r="K485" s="96"/>
      <c r="L485" s="96">
        <f>IFERROR(__xludf.DUMMYFUNCTION("""COMPUTED_VALUE"""),0.0)</f>
        <v>0</v>
      </c>
      <c r="M485" s="96">
        <f>IFERROR(__xludf.DUMMYFUNCTION("""COMPUTED_VALUE"""),0.0)</f>
        <v>0</v>
      </c>
      <c r="N485" s="96">
        <f>IFERROR(__xludf.DUMMYFUNCTION("""COMPUTED_VALUE"""),0.0)</f>
        <v>0</v>
      </c>
      <c r="O485" s="96">
        <f>IFERROR(__xludf.DUMMYFUNCTION("""COMPUTED_VALUE"""),200000.0)</f>
        <v>200000</v>
      </c>
      <c r="P485" s="129">
        <f>IFERROR(__xludf.DUMMYFUNCTION("""COMPUTED_VALUE"""),0.0)</f>
        <v>0</v>
      </c>
      <c r="Q485" s="99"/>
      <c r="R485" s="99">
        <f>IFERROR(__xludf.DUMMYFUNCTION("""COMPUTED_VALUE"""),200000.0)</f>
        <v>200000</v>
      </c>
    </row>
    <row r="486">
      <c r="B486" s="96">
        <f>IFERROR(__xludf.DUMMYFUNCTION("""COMPUTED_VALUE"""),4.0)</f>
        <v>4</v>
      </c>
      <c r="C486" s="98">
        <f>IFERROR(__xludf.DUMMYFUNCTION("""COMPUTED_VALUE"""),44112.0)</f>
        <v>44112</v>
      </c>
      <c r="D486" s="96" t="str">
        <f>IFERROR(__xludf.DUMMYFUNCTION("""COMPUTED_VALUE"""),"ABANG. ORU")</f>
        <v>ABANG. ORU</v>
      </c>
      <c r="E486" s="96"/>
      <c r="F486" s="96"/>
      <c r="G486" s="96"/>
      <c r="H486" s="96"/>
      <c r="I486" s="96"/>
      <c r="J486" s="96"/>
      <c r="K486" s="96"/>
      <c r="L486" s="96">
        <f>IFERROR(__xludf.DUMMYFUNCTION("""COMPUTED_VALUE"""),0.0)</f>
        <v>0</v>
      </c>
      <c r="M486" s="96">
        <f>IFERROR(__xludf.DUMMYFUNCTION("""COMPUTED_VALUE"""),0.0)</f>
        <v>0</v>
      </c>
      <c r="N486" s="96">
        <f>IFERROR(__xludf.DUMMYFUNCTION("""COMPUTED_VALUE"""),0.0)</f>
        <v>0</v>
      </c>
      <c r="O486" s="96">
        <f>IFERROR(__xludf.DUMMYFUNCTION("""COMPUTED_VALUE"""),16500.0)</f>
        <v>16500</v>
      </c>
      <c r="P486" s="129">
        <f>IFERROR(__xludf.DUMMYFUNCTION("""COMPUTED_VALUE"""),0.0)</f>
        <v>0</v>
      </c>
      <c r="Q486" s="99"/>
      <c r="R486" s="99">
        <f>IFERROR(__xludf.DUMMYFUNCTION("""COMPUTED_VALUE"""),20000.0)</f>
        <v>20000</v>
      </c>
    </row>
    <row r="487">
      <c r="B487" s="96">
        <f>IFERROR(__xludf.DUMMYFUNCTION("""COMPUTED_VALUE"""),6.0)</f>
        <v>6</v>
      </c>
      <c r="C487" s="98">
        <f>IFERROR(__xludf.DUMMYFUNCTION("""COMPUTED_VALUE"""),44112.0)</f>
        <v>44112</v>
      </c>
      <c r="D487" s="96" t="str">
        <f>IFERROR(__xludf.DUMMYFUNCTION("""COMPUTED_VALUE"""),"AGEGE BOY")</f>
        <v>AGEGE BOY</v>
      </c>
      <c r="E487" s="96"/>
      <c r="F487" s="96"/>
      <c r="G487" s="96"/>
      <c r="H487" s="96"/>
      <c r="I487" s="96"/>
      <c r="J487" s="96"/>
      <c r="K487" s="96"/>
      <c r="L487" s="96">
        <f>IFERROR(__xludf.DUMMYFUNCTION("""COMPUTED_VALUE"""),0.0)</f>
        <v>0</v>
      </c>
      <c r="M487" s="96">
        <f>IFERROR(__xludf.DUMMYFUNCTION("""COMPUTED_VALUE"""),0.0)</f>
        <v>0</v>
      </c>
      <c r="N487" s="96">
        <f>IFERROR(__xludf.DUMMYFUNCTION("""COMPUTED_VALUE"""),0.0)</f>
        <v>0</v>
      </c>
      <c r="O487" s="96">
        <f>IFERROR(__xludf.DUMMYFUNCTION("""COMPUTED_VALUE"""),10000.0)</f>
        <v>10000</v>
      </c>
      <c r="P487" s="129">
        <f>IFERROR(__xludf.DUMMYFUNCTION("""COMPUTED_VALUE"""),0.0)</f>
        <v>0</v>
      </c>
      <c r="Q487" s="99"/>
      <c r="R487" s="99">
        <f>IFERROR(__xludf.DUMMYFUNCTION("""COMPUTED_VALUE"""),659880.0)</f>
        <v>659880</v>
      </c>
    </row>
    <row r="488">
      <c r="B488" s="96">
        <f>IFERROR(__xludf.DUMMYFUNCTION("""COMPUTED_VALUE"""),4.0)</f>
        <v>4</v>
      </c>
      <c r="C488" s="98">
        <f>IFERROR(__xludf.DUMMYFUNCTION("""COMPUTED_VALUE"""),44112.0)</f>
        <v>44112</v>
      </c>
      <c r="D488" s="96" t="str">
        <f>IFERROR(__xludf.DUMMYFUNCTION("""COMPUTED_VALUE"""),"CHINWE CHIDI")</f>
        <v>CHINWE CHIDI</v>
      </c>
      <c r="E488" s="96"/>
      <c r="F488" s="96"/>
      <c r="G488" s="96"/>
      <c r="H488" s="96"/>
      <c r="I488" s="96"/>
      <c r="J488" s="96"/>
      <c r="K488" s="96"/>
      <c r="L488" s="96">
        <f>IFERROR(__xludf.DUMMYFUNCTION("""COMPUTED_VALUE"""),0.0)</f>
        <v>0</v>
      </c>
      <c r="M488" s="96">
        <f>IFERROR(__xludf.DUMMYFUNCTION("""COMPUTED_VALUE"""),0.0)</f>
        <v>0</v>
      </c>
      <c r="N488" s="96">
        <f>IFERROR(__xludf.DUMMYFUNCTION("""COMPUTED_VALUE"""),0.0)</f>
        <v>0</v>
      </c>
      <c r="O488" s="96">
        <f>IFERROR(__xludf.DUMMYFUNCTION("""COMPUTED_VALUE"""),1439300.0)</f>
        <v>1439300</v>
      </c>
      <c r="P488" s="129">
        <f>IFERROR(__xludf.DUMMYFUNCTION("""COMPUTED_VALUE"""),0.0)</f>
        <v>0</v>
      </c>
      <c r="Q488" s="99"/>
      <c r="R488" s="99">
        <f>IFERROR(__xludf.DUMMYFUNCTION("""COMPUTED_VALUE"""),1745300.0)</f>
        <v>1745300</v>
      </c>
    </row>
    <row r="489">
      <c r="B489" s="96">
        <f>IFERROR(__xludf.DUMMYFUNCTION("""COMPUTED_VALUE"""),5.0)</f>
        <v>5</v>
      </c>
      <c r="C489" s="98">
        <f>IFERROR(__xludf.DUMMYFUNCTION("""COMPUTED_VALUE"""),44112.0)</f>
        <v>44112</v>
      </c>
      <c r="D489" s="96" t="str">
        <f>IFERROR(__xludf.DUMMYFUNCTION("""COMPUTED_VALUE"""),"R.  MAXWELL AGRO")</f>
        <v>R.  MAXWELL AGRO</v>
      </c>
      <c r="E489" s="96"/>
      <c r="F489" s="96"/>
      <c r="G489" s="96"/>
      <c r="H489" s="96"/>
      <c r="I489" s="96"/>
      <c r="J489" s="96"/>
      <c r="K489" s="96"/>
      <c r="L489" s="96">
        <f>IFERROR(__xludf.DUMMYFUNCTION("""COMPUTED_VALUE"""),0.0)</f>
        <v>0</v>
      </c>
      <c r="M489" s="96">
        <f>IFERROR(__xludf.DUMMYFUNCTION("""COMPUTED_VALUE"""),0.0)</f>
        <v>0</v>
      </c>
      <c r="N489" s="96">
        <f>IFERROR(__xludf.DUMMYFUNCTION("""COMPUTED_VALUE"""),0.0)</f>
        <v>0</v>
      </c>
      <c r="O489" s="96">
        <f>IFERROR(__xludf.DUMMYFUNCTION("""COMPUTED_VALUE"""),5000.0)</f>
        <v>5000</v>
      </c>
      <c r="P489" s="129">
        <f>IFERROR(__xludf.DUMMYFUNCTION("""COMPUTED_VALUE"""),0.0)</f>
        <v>0</v>
      </c>
      <c r="Q489" s="99"/>
      <c r="R489" s="99">
        <f>IFERROR(__xludf.DUMMYFUNCTION("""COMPUTED_VALUE"""),2.0575E7)</f>
        <v>20575000</v>
      </c>
    </row>
    <row r="490">
      <c r="B490" s="96">
        <f>IFERROR(__xludf.DUMMYFUNCTION("""COMPUTED_VALUE"""),8.0)</f>
        <v>8</v>
      </c>
      <c r="C490" s="98">
        <f>IFERROR(__xludf.DUMMYFUNCTION("""COMPUTED_VALUE"""),44113.0)</f>
        <v>44113</v>
      </c>
      <c r="D490" s="96" t="str">
        <f>IFERROR(__xludf.DUMMYFUNCTION("""COMPUTED_VALUE"""),"PRINNESS")</f>
        <v>PRINNESS</v>
      </c>
      <c r="E490" s="96"/>
      <c r="F490" s="96"/>
      <c r="G490" s="96"/>
      <c r="H490" s="96"/>
      <c r="I490" s="96"/>
      <c r="J490" s="96"/>
      <c r="K490" s="96"/>
      <c r="L490" s="96">
        <f>IFERROR(__xludf.DUMMYFUNCTION("""COMPUTED_VALUE"""),0.0)</f>
        <v>0</v>
      </c>
      <c r="M490" s="96">
        <f>IFERROR(__xludf.DUMMYFUNCTION("""COMPUTED_VALUE"""),0.0)</f>
        <v>0</v>
      </c>
      <c r="N490" s="96">
        <f>IFERROR(__xludf.DUMMYFUNCTION("""COMPUTED_VALUE"""),0.0)</f>
        <v>0</v>
      </c>
      <c r="O490" s="96">
        <f>IFERROR(__xludf.DUMMYFUNCTION("""COMPUTED_VALUE"""),400000.0)</f>
        <v>400000</v>
      </c>
      <c r="P490" s="129">
        <f>IFERROR(__xludf.DUMMYFUNCTION("""COMPUTED_VALUE"""),0.0)</f>
        <v>0</v>
      </c>
      <c r="Q490" s="99"/>
      <c r="R490" s="99">
        <f>IFERROR(__xludf.DUMMYFUNCTION("""COMPUTED_VALUE"""),1214980.0)</f>
        <v>1214980</v>
      </c>
    </row>
    <row r="491">
      <c r="B491" s="96">
        <f>IFERROR(__xludf.DUMMYFUNCTION("""COMPUTED_VALUE"""),20.0)</f>
        <v>20</v>
      </c>
      <c r="C491" s="98">
        <f>IFERROR(__xludf.DUMMYFUNCTION("""COMPUTED_VALUE"""),44113.0)</f>
        <v>44113</v>
      </c>
      <c r="D491" s="96" t="str">
        <f>IFERROR(__xludf.DUMMYFUNCTION("""COMPUTED_VALUE"""),"LIVINUS")</f>
        <v>LIVINUS</v>
      </c>
      <c r="E491" s="96"/>
      <c r="F491" s="96"/>
      <c r="G491" s="96"/>
      <c r="H491" s="96"/>
      <c r="I491" s="96"/>
      <c r="J491" s="96"/>
      <c r="K491" s="96"/>
      <c r="L491" s="96">
        <f>IFERROR(__xludf.DUMMYFUNCTION("""COMPUTED_VALUE"""),0.0)</f>
        <v>0</v>
      </c>
      <c r="M491" s="96">
        <f>IFERROR(__xludf.DUMMYFUNCTION("""COMPUTED_VALUE"""),0.0)</f>
        <v>0</v>
      </c>
      <c r="N491" s="96">
        <f>IFERROR(__xludf.DUMMYFUNCTION("""COMPUTED_VALUE"""),0.0)</f>
        <v>0</v>
      </c>
      <c r="O491" s="96">
        <f>IFERROR(__xludf.DUMMYFUNCTION("""COMPUTED_VALUE"""),300000.0)</f>
        <v>300000</v>
      </c>
      <c r="P491" s="129">
        <f>IFERROR(__xludf.DUMMYFUNCTION("""COMPUTED_VALUE"""),0.0)</f>
        <v>0</v>
      </c>
      <c r="Q491" s="99"/>
      <c r="R491" s="99">
        <f>IFERROR(__xludf.DUMMYFUNCTION("""COMPUTED_VALUE"""),1.17015E7)</f>
        <v>11701500</v>
      </c>
    </row>
    <row r="492">
      <c r="B492" s="96">
        <f>IFERROR(__xludf.DUMMYFUNCTION("""COMPUTED_VALUE"""),6.0)</f>
        <v>6</v>
      </c>
      <c r="C492" s="98">
        <f>IFERROR(__xludf.DUMMYFUNCTION("""COMPUTED_VALUE"""),44113.0)</f>
        <v>44113</v>
      </c>
      <c r="D492" s="96" t="str">
        <f>IFERROR(__xludf.DUMMYFUNCTION("""COMPUTED_VALUE"""),"NDOMA PRIN")</f>
        <v>NDOMA PRIN</v>
      </c>
      <c r="E492" s="96"/>
      <c r="F492" s="96"/>
      <c r="G492" s="96"/>
      <c r="H492" s="96"/>
      <c r="I492" s="96"/>
      <c r="J492" s="96"/>
      <c r="K492" s="96"/>
      <c r="L492" s="96">
        <f>IFERROR(__xludf.DUMMYFUNCTION("""COMPUTED_VALUE"""),0.0)</f>
        <v>0</v>
      </c>
      <c r="M492" s="96">
        <f>IFERROR(__xludf.DUMMYFUNCTION("""COMPUTED_VALUE"""),0.0)</f>
        <v>0</v>
      </c>
      <c r="N492" s="96">
        <f>IFERROR(__xludf.DUMMYFUNCTION("""COMPUTED_VALUE"""),0.0)</f>
        <v>0</v>
      </c>
      <c r="O492" s="96">
        <f>IFERROR(__xludf.DUMMYFUNCTION("""COMPUTED_VALUE"""),300000.0)</f>
        <v>300000</v>
      </c>
      <c r="P492" s="129">
        <f>IFERROR(__xludf.DUMMYFUNCTION("""COMPUTED_VALUE"""),0.0)</f>
        <v>0</v>
      </c>
      <c r="Q492" s="99"/>
      <c r="R492" s="99">
        <f>IFERROR(__xludf.DUMMYFUNCTION("""COMPUTED_VALUE"""),1175900.0)</f>
        <v>1175900</v>
      </c>
    </row>
    <row r="493">
      <c r="B493" s="96">
        <f>IFERROR(__xludf.DUMMYFUNCTION("""COMPUTED_VALUE"""),21.0)</f>
        <v>21</v>
      </c>
      <c r="C493" s="98">
        <f>IFERROR(__xludf.DUMMYFUNCTION("""COMPUTED_VALUE"""),44113.0)</f>
        <v>44113</v>
      </c>
      <c r="D493" s="96" t="str">
        <f>IFERROR(__xludf.DUMMYFUNCTION("""COMPUTED_VALUE"""),"BOSURU  BOSURU")</f>
        <v>BOSURU  BOSURU</v>
      </c>
      <c r="E493" s="96"/>
      <c r="F493" s="96"/>
      <c r="G493" s="96"/>
      <c r="H493" s="96"/>
      <c r="I493" s="96"/>
      <c r="J493" s="96"/>
      <c r="K493" s="96"/>
      <c r="L493" s="96">
        <f>IFERROR(__xludf.DUMMYFUNCTION("""COMPUTED_VALUE"""),0.0)</f>
        <v>0</v>
      </c>
      <c r="M493" s="96">
        <f>IFERROR(__xludf.DUMMYFUNCTION("""COMPUTED_VALUE"""),0.0)</f>
        <v>0</v>
      </c>
      <c r="N493" s="96">
        <f>IFERROR(__xludf.DUMMYFUNCTION("""COMPUTED_VALUE"""),0.0)</f>
        <v>0</v>
      </c>
      <c r="O493" s="96">
        <f>IFERROR(__xludf.DUMMYFUNCTION("""COMPUTED_VALUE"""),250000.0)</f>
        <v>250000</v>
      </c>
      <c r="P493" s="129">
        <f>IFERROR(__xludf.DUMMYFUNCTION("""COMPUTED_VALUE"""),0.0)</f>
        <v>0</v>
      </c>
      <c r="Q493" s="99"/>
      <c r="R493" s="99">
        <f>IFERROR(__xludf.DUMMYFUNCTION("""COMPUTED_VALUE"""),3117700.0)</f>
        <v>3117700</v>
      </c>
    </row>
    <row r="494">
      <c r="B494" s="96">
        <f>IFERROR(__xludf.DUMMYFUNCTION("""COMPUTED_VALUE"""),1.0)</f>
        <v>1</v>
      </c>
      <c r="C494" s="98">
        <f>IFERROR(__xludf.DUMMYFUNCTION("""COMPUTED_VALUE"""),44113.0)</f>
        <v>44113</v>
      </c>
      <c r="D494" s="96" t="str">
        <f>IFERROR(__xludf.DUMMYFUNCTION("""COMPUTED_VALUE"""),"MATIAT Y")</f>
        <v>MATIAT Y</v>
      </c>
      <c r="E494" s="96"/>
      <c r="F494" s="96"/>
      <c r="G494" s="96"/>
      <c r="H494" s="96"/>
      <c r="I494" s="96"/>
      <c r="J494" s="96"/>
      <c r="K494" s="96"/>
      <c r="L494" s="96">
        <f>IFERROR(__xludf.DUMMYFUNCTION("""COMPUTED_VALUE"""),0.0)</f>
        <v>0</v>
      </c>
      <c r="M494" s="96">
        <f>IFERROR(__xludf.DUMMYFUNCTION("""COMPUTED_VALUE"""),0.0)</f>
        <v>0</v>
      </c>
      <c r="N494" s="96">
        <f>IFERROR(__xludf.DUMMYFUNCTION("""COMPUTED_VALUE"""),0.0)</f>
        <v>0</v>
      </c>
      <c r="O494" s="96">
        <f>IFERROR(__xludf.DUMMYFUNCTION("""COMPUTED_VALUE"""),1200000.0)</f>
        <v>1200000</v>
      </c>
      <c r="P494" s="129">
        <f>IFERROR(__xludf.DUMMYFUNCTION("""COMPUTED_VALUE"""),0.0)</f>
        <v>0</v>
      </c>
      <c r="Q494" s="99"/>
      <c r="R494" s="99">
        <f>IFERROR(__xludf.DUMMYFUNCTION("""COMPUTED_VALUE"""),1200000.0)</f>
        <v>1200000</v>
      </c>
    </row>
    <row r="495">
      <c r="B495" s="96">
        <f>IFERROR(__xludf.DUMMYFUNCTION("""COMPUTED_VALUE"""),13.0)</f>
        <v>13</v>
      </c>
      <c r="C495" s="98">
        <f>IFERROR(__xludf.DUMMYFUNCTION("""COMPUTED_VALUE"""),44113.0)</f>
        <v>44113</v>
      </c>
      <c r="D495" s="96" t="str">
        <f>IFERROR(__xludf.DUMMYFUNCTION("""COMPUTED_VALUE"""),"ALFRED ALABI")</f>
        <v>ALFRED ALABI</v>
      </c>
      <c r="E495" s="96"/>
      <c r="F495" s="96"/>
      <c r="G495" s="96"/>
      <c r="H495" s="96"/>
      <c r="I495" s="96"/>
      <c r="J495" s="96"/>
      <c r="K495" s="96"/>
      <c r="L495" s="96">
        <f>IFERROR(__xludf.DUMMYFUNCTION("""COMPUTED_VALUE"""),0.0)</f>
        <v>0</v>
      </c>
      <c r="M495" s="96">
        <f>IFERROR(__xludf.DUMMYFUNCTION("""COMPUTED_VALUE"""),0.0)</f>
        <v>0</v>
      </c>
      <c r="N495" s="96">
        <f>IFERROR(__xludf.DUMMYFUNCTION("""COMPUTED_VALUE"""),0.0)</f>
        <v>0</v>
      </c>
      <c r="O495" s="96">
        <f>IFERROR(__xludf.DUMMYFUNCTION("""COMPUTED_VALUE"""),6000.0)</f>
        <v>6000</v>
      </c>
      <c r="P495" s="129">
        <f>IFERROR(__xludf.DUMMYFUNCTION("""COMPUTED_VALUE"""),0.0)</f>
        <v>0</v>
      </c>
      <c r="Q495" s="99"/>
      <c r="R495" s="99">
        <f>IFERROR(__xludf.DUMMYFUNCTION("""COMPUTED_VALUE"""),1006020.0)</f>
        <v>1006020</v>
      </c>
    </row>
    <row r="496">
      <c r="B496" s="96">
        <f>IFERROR(__xludf.DUMMYFUNCTION("""COMPUTED_VALUE"""),22.0)</f>
        <v>22</v>
      </c>
      <c r="C496" s="98">
        <f>IFERROR(__xludf.DUMMYFUNCTION("""COMPUTED_VALUE"""),44113.0)</f>
        <v>44113</v>
      </c>
      <c r="D496" s="96" t="str">
        <f>IFERROR(__xludf.DUMMYFUNCTION("""COMPUTED_VALUE"""),"BOSURU  BOSURU")</f>
        <v>BOSURU  BOSURU</v>
      </c>
      <c r="E496" s="96"/>
      <c r="F496" s="96"/>
      <c r="G496" s="96"/>
      <c r="H496" s="96"/>
      <c r="I496" s="96"/>
      <c r="J496" s="96"/>
      <c r="K496" s="96"/>
      <c r="L496" s="96">
        <f>IFERROR(__xludf.DUMMYFUNCTION("""COMPUTED_VALUE"""),0.0)</f>
        <v>0</v>
      </c>
      <c r="M496" s="96">
        <f>IFERROR(__xludf.DUMMYFUNCTION("""COMPUTED_VALUE"""),0.0)</f>
        <v>0</v>
      </c>
      <c r="N496" s="96">
        <f>IFERROR(__xludf.DUMMYFUNCTION("""COMPUTED_VALUE"""),0.0)</f>
        <v>0</v>
      </c>
      <c r="O496" s="96">
        <f>IFERROR(__xludf.DUMMYFUNCTION("""COMPUTED_VALUE"""),1661000.0)</f>
        <v>1661000</v>
      </c>
      <c r="P496" s="129">
        <f>IFERROR(__xludf.DUMMYFUNCTION("""COMPUTED_VALUE"""),0.0)</f>
        <v>0</v>
      </c>
      <c r="Q496" s="99"/>
      <c r="R496" s="99">
        <f>IFERROR(__xludf.DUMMYFUNCTION("""COMPUTED_VALUE"""),4778700.0)</f>
        <v>4778700</v>
      </c>
    </row>
    <row r="497">
      <c r="B497" s="96">
        <f>IFERROR(__xludf.DUMMYFUNCTION("""COMPUTED_VALUE"""),1.0)</f>
        <v>1</v>
      </c>
      <c r="C497" s="98">
        <f>IFERROR(__xludf.DUMMYFUNCTION("""COMPUTED_VALUE"""),44113.0)</f>
        <v>44113</v>
      </c>
      <c r="D497" s="96" t="str">
        <f>IFERROR(__xludf.DUMMYFUNCTION("""COMPUTED_VALUE"""),"SAMUEL KEIBO")</f>
        <v>SAMUEL KEIBO</v>
      </c>
      <c r="E497" s="96"/>
      <c r="F497" s="96"/>
      <c r="G497" s="96"/>
      <c r="H497" s="96"/>
      <c r="I497" s="96"/>
      <c r="J497" s="96"/>
      <c r="K497" s="96"/>
      <c r="L497" s="96">
        <f>IFERROR(__xludf.DUMMYFUNCTION("""COMPUTED_VALUE"""),0.0)</f>
        <v>0</v>
      </c>
      <c r="M497" s="96">
        <f>IFERROR(__xludf.DUMMYFUNCTION("""COMPUTED_VALUE"""),0.0)</f>
        <v>0</v>
      </c>
      <c r="N497" s="96">
        <f>IFERROR(__xludf.DUMMYFUNCTION("""COMPUTED_VALUE"""),0.0)</f>
        <v>0</v>
      </c>
      <c r="O497" s="96">
        <f>IFERROR(__xludf.DUMMYFUNCTION("""COMPUTED_VALUE"""),570000.0)</f>
        <v>570000</v>
      </c>
      <c r="P497" s="129">
        <f>IFERROR(__xludf.DUMMYFUNCTION("""COMPUTED_VALUE"""),0.0)</f>
        <v>0</v>
      </c>
      <c r="Q497" s="99"/>
      <c r="R497" s="99">
        <f>IFERROR(__xludf.DUMMYFUNCTION("""COMPUTED_VALUE"""),570000.0)</f>
        <v>570000</v>
      </c>
    </row>
    <row r="498">
      <c r="B498" s="96">
        <f>IFERROR(__xludf.DUMMYFUNCTION("""COMPUTED_VALUE"""),7.0)</f>
        <v>7</v>
      </c>
      <c r="C498" s="98">
        <f>IFERROR(__xludf.DUMMYFUNCTION("""COMPUTED_VALUE"""),44113.0)</f>
        <v>44113</v>
      </c>
      <c r="D498" s="96" t="str">
        <f>IFERROR(__xludf.DUMMYFUNCTION("""COMPUTED_VALUE"""),"AGEGE BOY")</f>
        <v>AGEGE BOY</v>
      </c>
      <c r="E498" s="96"/>
      <c r="F498" s="96"/>
      <c r="G498" s="96"/>
      <c r="H498" s="96"/>
      <c r="I498" s="96"/>
      <c r="J498" s="96"/>
      <c r="K498" s="96"/>
      <c r="L498" s="96">
        <f>IFERROR(__xludf.DUMMYFUNCTION("""COMPUTED_VALUE"""),0.0)</f>
        <v>0</v>
      </c>
      <c r="M498" s="96">
        <f>IFERROR(__xludf.DUMMYFUNCTION("""COMPUTED_VALUE"""),0.0)</f>
        <v>0</v>
      </c>
      <c r="N498" s="96">
        <f>IFERROR(__xludf.DUMMYFUNCTION("""COMPUTED_VALUE"""),0.0)</f>
        <v>0</v>
      </c>
      <c r="O498" s="96">
        <f>IFERROR(__xludf.DUMMYFUNCTION("""COMPUTED_VALUE"""),1780700.0)</f>
        <v>1780700</v>
      </c>
      <c r="P498" s="129">
        <f>IFERROR(__xludf.DUMMYFUNCTION("""COMPUTED_VALUE"""),0.0)</f>
        <v>0</v>
      </c>
      <c r="Q498" s="99"/>
      <c r="R498" s="99">
        <f>IFERROR(__xludf.DUMMYFUNCTION("""COMPUTED_VALUE"""),2440580.0)</f>
        <v>2440580</v>
      </c>
    </row>
    <row r="499">
      <c r="B499" s="96">
        <f>IFERROR(__xludf.DUMMYFUNCTION("""COMPUTED_VALUE"""),15.0)</f>
        <v>15</v>
      </c>
      <c r="C499" s="98">
        <f>IFERROR(__xludf.DUMMYFUNCTION("""COMPUTED_VALUE"""),44114.0)</f>
        <v>44114</v>
      </c>
      <c r="D499" s="96" t="str">
        <f>IFERROR(__xludf.DUMMYFUNCTION("""COMPUTED_VALUE"""),"OTU KOKO KEIBO")</f>
        <v>OTU KOKO KEIBO</v>
      </c>
      <c r="E499" s="96"/>
      <c r="F499" s="96"/>
      <c r="G499" s="96"/>
      <c r="H499" s="96"/>
      <c r="I499" s="96"/>
      <c r="J499" s="96"/>
      <c r="K499" s="96"/>
      <c r="L499" s="96">
        <f>IFERROR(__xludf.DUMMYFUNCTION("""COMPUTED_VALUE"""),0.0)</f>
        <v>0</v>
      </c>
      <c r="M499" s="96">
        <f>IFERROR(__xludf.DUMMYFUNCTION("""COMPUTED_VALUE"""),0.0)</f>
        <v>0</v>
      </c>
      <c r="N499" s="96">
        <f>IFERROR(__xludf.DUMMYFUNCTION("""COMPUTED_VALUE"""),0.0)</f>
        <v>0</v>
      </c>
      <c r="O499" s="96">
        <f>IFERROR(__xludf.DUMMYFUNCTION("""COMPUTED_VALUE"""),800000.0)</f>
        <v>800000</v>
      </c>
      <c r="P499" s="129">
        <f>IFERROR(__xludf.DUMMYFUNCTION("""COMPUTED_VALUE"""),0.0)</f>
        <v>0</v>
      </c>
      <c r="Q499" s="99"/>
      <c r="R499" s="99">
        <f>IFERROR(__xludf.DUMMYFUNCTION("""COMPUTED_VALUE"""),2.9064425E7)</f>
        <v>29064425</v>
      </c>
    </row>
    <row r="500">
      <c r="B500" s="96">
        <f>IFERROR(__xludf.DUMMYFUNCTION("""COMPUTED_VALUE"""),16.0)</f>
        <v>16</v>
      </c>
      <c r="C500" s="98">
        <f>IFERROR(__xludf.DUMMYFUNCTION("""COMPUTED_VALUE"""),44114.0)</f>
        <v>44114</v>
      </c>
      <c r="D500" s="96" t="str">
        <f>IFERROR(__xludf.DUMMYFUNCTION("""COMPUTED_VALUE"""),"OTU KOKO KEIBO")</f>
        <v>OTU KOKO KEIBO</v>
      </c>
      <c r="E500" s="96"/>
      <c r="F500" s="96"/>
      <c r="G500" s="96"/>
      <c r="H500" s="96"/>
      <c r="I500" s="96"/>
      <c r="J500" s="96"/>
      <c r="K500" s="96"/>
      <c r="L500" s="96">
        <f>IFERROR(__xludf.DUMMYFUNCTION("""COMPUTED_VALUE"""),0.0)</f>
        <v>0</v>
      </c>
      <c r="M500" s="96">
        <f>IFERROR(__xludf.DUMMYFUNCTION("""COMPUTED_VALUE"""),0.0)</f>
        <v>0</v>
      </c>
      <c r="N500" s="96">
        <f>IFERROR(__xludf.DUMMYFUNCTION("""COMPUTED_VALUE"""),0.0)</f>
        <v>0</v>
      </c>
      <c r="O500" s="96">
        <f>IFERROR(__xludf.DUMMYFUNCTION("""COMPUTED_VALUE"""),800000.0)</f>
        <v>800000</v>
      </c>
      <c r="P500" s="129">
        <f>IFERROR(__xludf.DUMMYFUNCTION("""COMPUTED_VALUE"""),0.0)</f>
        <v>0</v>
      </c>
      <c r="Q500" s="99"/>
      <c r="R500" s="99">
        <f>IFERROR(__xludf.DUMMYFUNCTION("""COMPUTED_VALUE"""),2.9864425E7)</f>
        <v>29864425</v>
      </c>
    </row>
    <row r="501">
      <c r="B501" s="96">
        <f>IFERROR(__xludf.DUMMYFUNCTION("""COMPUTED_VALUE"""),6.0)</f>
        <v>6</v>
      </c>
      <c r="C501" s="98">
        <f>IFERROR(__xludf.DUMMYFUNCTION("""COMPUTED_VALUE"""),44114.0)</f>
        <v>44114</v>
      </c>
      <c r="D501" s="96" t="str">
        <f>IFERROR(__xludf.DUMMYFUNCTION("""COMPUTED_VALUE"""),"R.  MAXWELL AGRO")</f>
        <v>R.  MAXWELL AGRO</v>
      </c>
      <c r="E501" s="96"/>
      <c r="F501" s="96"/>
      <c r="G501" s="96"/>
      <c r="H501" s="96"/>
      <c r="I501" s="96"/>
      <c r="J501" s="96"/>
      <c r="K501" s="96"/>
      <c r="L501" s="96">
        <f>IFERROR(__xludf.DUMMYFUNCTION("""COMPUTED_VALUE"""),0.0)</f>
        <v>0</v>
      </c>
      <c r="M501" s="96">
        <f>IFERROR(__xludf.DUMMYFUNCTION("""COMPUTED_VALUE"""),0.0)</f>
        <v>0</v>
      </c>
      <c r="N501" s="96">
        <f>IFERROR(__xludf.DUMMYFUNCTION("""COMPUTED_VALUE"""),0.0)</f>
        <v>0</v>
      </c>
      <c r="O501" s="96">
        <f>IFERROR(__xludf.DUMMYFUNCTION("""COMPUTED_VALUE"""),12000.0)</f>
        <v>12000</v>
      </c>
      <c r="P501" s="129">
        <f>IFERROR(__xludf.DUMMYFUNCTION("""COMPUTED_VALUE"""),0.0)</f>
        <v>0</v>
      </c>
      <c r="Q501" s="99"/>
      <c r="R501" s="99">
        <f>IFERROR(__xludf.DUMMYFUNCTION("""COMPUTED_VALUE"""),2.0587E7)</f>
        <v>20587000</v>
      </c>
    </row>
    <row r="502">
      <c r="B502" s="96">
        <f>IFERROR(__xludf.DUMMYFUNCTION("""COMPUTED_VALUE"""),17.0)</f>
        <v>17</v>
      </c>
      <c r="C502" s="98">
        <f>IFERROR(__xludf.DUMMYFUNCTION("""COMPUTED_VALUE"""),44114.0)</f>
        <v>44114</v>
      </c>
      <c r="D502" s="96" t="str">
        <f>IFERROR(__xludf.DUMMYFUNCTION("""COMPUTED_VALUE"""),"OTU KOKO KEIBO")</f>
        <v>OTU KOKO KEIBO</v>
      </c>
      <c r="E502" s="96"/>
      <c r="F502" s="96"/>
      <c r="G502" s="96"/>
      <c r="H502" s="96"/>
      <c r="I502" s="96"/>
      <c r="J502" s="96"/>
      <c r="K502" s="96"/>
      <c r="L502" s="96">
        <f>IFERROR(__xludf.DUMMYFUNCTION("""COMPUTED_VALUE"""),0.0)</f>
        <v>0</v>
      </c>
      <c r="M502" s="96">
        <f>IFERROR(__xludf.DUMMYFUNCTION("""COMPUTED_VALUE"""),0.0)</f>
        <v>0</v>
      </c>
      <c r="N502" s="96">
        <f>IFERROR(__xludf.DUMMYFUNCTION("""COMPUTED_VALUE"""),0.0)</f>
        <v>0</v>
      </c>
      <c r="O502" s="96">
        <f>IFERROR(__xludf.DUMMYFUNCTION("""COMPUTED_VALUE"""),800000.0)</f>
        <v>800000</v>
      </c>
      <c r="P502" s="129">
        <f>IFERROR(__xludf.DUMMYFUNCTION("""COMPUTED_VALUE"""),0.0)</f>
        <v>0</v>
      </c>
      <c r="Q502" s="99"/>
      <c r="R502" s="99">
        <f>IFERROR(__xludf.DUMMYFUNCTION("""COMPUTED_VALUE"""),3.0664425E7)</f>
        <v>30664425</v>
      </c>
    </row>
    <row r="503">
      <c r="B503" s="96">
        <f>IFERROR(__xludf.DUMMYFUNCTION("""COMPUTED_VALUE"""),2.0)</f>
        <v>2</v>
      </c>
      <c r="C503" s="98">
        <f>IFERROR(__xludf.DUMMYFUNCTION("""COMPUTED_VALUE"""),44114.0)</f>
        <v>44114</v>
      </c>
      <c r="D503" s="96" t="str">
        <f>IFERROR(__xludf.DUMMYFUNCTION("""COMPUTED_VALUE"""),"NELSON &amp; PALUS")</f>
        <v>NELSON &amp; PALUS</v>
      </c>
      <c r="E503" s="96"/>
      <c r="F503" s="96"/>
      <c r="G503" s="96"/>
      <c r="H503" s="96"/>
      <c r="I503" s="96"/>
      <c r="J503" s="96"/>
      <c r="K503" s="96"/>
      <c r="L503" s="96">
        <f>IFERROR(__xludf.DUMMYFUNCTION("""COMPUTED_VALUE"""),0.0)</f>
        <v>0</v>
      </c>
      <c r="M503" s="96">
        <f>IFERROR(__xludf.DUMMYFUNCTION("""COMPUTED_VALUE"""),0.0)</f>
        <v>0</v>
      </c>
      <c r="N503" s="96">
        <f>IFERROR(__xludf.DUMMYFUNCTION("""COMPUTED_VALUE"""),0.0)</f>
        <v>0</v>
      </c>
      <c r="O503" s="96">
        <f>IFERROR(__xludf.DUMMYFUNCTION("""COMPUTED_VALUE"""),12000.0)</f>
        <v>12000</v>
      </c>
      <c r="P503" s="129">
        <f>IFERROR(__xludf.DUMMYFUNCTION("""COMPUTED_VALUE"""),0.0)</f>
        <v>0</v>
      </c>
      <c r="Q503" s="99"/>
      <c r="R503" s="99">
        <f>IFERROR(__xludf.DUMMYFUNCTION("""COMPUTED_VALUE"""),35000.0)</f>
        <v>35000</v>
      </c>
    </row>
    <row r="504">
      <c r="B504" s="96">
        <f>IFERROR(__xludf.DUMMYFUNCTION("""COMPUTED_VALUE"""),16.0)</f>
        <v>16</v>
      </c>
      <c r="C504" s="98">
        <f>IFERROR(__xludf.DUMMYFUNCTION("""COMPUTED_VALUE"""),44109.0)</f>
        <v>44109</v>
      </c>
      <c r="D504" s="96" t="str">
        <f>IFERROR(__xludf.DUMMYFUNCTION("""COMPUTED_VALUE"""),"ANDRDEW GREAT")</f>
        <v>ANDRDEW GREAT</v>
      </c>
      <c r="E504" s="96">
        <f>IFERROR(__xludf.DUMMYFUNCTION("""COMPUTED_VALUE"""),2220.0)</f>
        <v>2220</v>
      </c>
      <c r="F504" s="96">
        <f>IFERROR(__xludf.DUMMYFUNCTION("""COMPUTED_VALUE"""),331.0)</f>
        <v>331</v>
      </c>
      <c r="G504" s="96"/>
      <c r="H504" s="96">
        <f>IFERROR(__xludf.DUMMYFUNCTION("""COMPUTED_VALUE"""),32.0)</f>
        <v>32</v>
      </c>
      <c r="I504" s="96"/>
      <c r="J504" s="96">
        <f>IFERROR(__xludf.DUMMYFUNCTION("""COMPUTED_VALUE"""),946.6)</f>
        <v>946.6</v>
      </c>
      <c r="K504" s="96">
        <f>IFERROR(__xludf.DUMMYFUNCTION("""COMPUTED_VALUE"""),10.34)</f>
        <v>10.34</v>
      </c>
      <c r="L504" s="96">
        <f>IFERROR(__xludf.DUMMYFUNCTION("""COMPUTED_VALUE"""),51.0)</f>
        <v>51</v>
      </c>
      <c r="M504" s="96">
        <f>IFERROR(__xludf.DUMMYFUNCTION("""COMPUTED_VALUE"""),33.0)</f>
        <v>33</v>
      </c>
      <c r="N504" s="96">
        <f>IFERROR(__xludf.DUMMYFUNCTION("""COMPUTED_VALUE"""),57.0)</f>
        <v>57</v>
      </c>
      <c r="O504" s="96"/>
      <c r="P504" s="129">
        <f>IFERROR(__xludf.DUMMYFUNCTION("""COMPUTED_VALUE"""),2137.0)</f>
        <v>2137</v>
      </c>
      <c r="Q504" s="99">
        <f>IFERROR(__xludf.DUMMYFUNCTION("""COMPUTED_VALUE"""),2022890.0)</f>
        <v>2022890</v>
      </c>
      <c r="R504" s="99">
        <f>IFERROR(__xludf.DUMMYFUNCTION("""COMPUTED_VALUE"""),1683970.0)</f>
        <v>1683970</v>
      </c>
    </row>
    <row r="505">
      <c r="B505" s="96">
        <f>IFERROR(__xludf.DUMMYFUNCTION("""COMPUTED_VALUE"""),23.0)</f>
        <v>23</v>
      </c>
      <c r="C505" s="98">
        <f>IFERROR(__xludf.DUMMYFUNCTION("""COMPUTED_VALUE"""),44107.0)</f>
        <v>44107</v>
      </c>
      <c r="D505" s="96" t="str">
        <f>IFERROR(__xludf.DUMMYFUNCTION("""COMPUTED_VALUE"""),"BOSURU  BOSURU")</f>
        <v>BOSURU  BOSURU</v>
      </c>
      <c r="E505" s="96">
        <f>IFERROR(__xludf.DUMMYFUNCTION("""COMPUTED_VALUE"""),2253.0)</f>
        <v>2253</v>
      </c>
      <c r="F505" s="96">
        <f>IFERROR(__xludf.DUMMYFUNCTION("""COMPUTED_VALUE"""),278.0)</f>
        <v>278</v>
      </c>
      <c r="G505" s="96"/>
      <c r="H505" s="96">
        <f>IFERROR(__xludf.DUMMYFUNCTION("""COMPUTED_VALUE"""),28.0)</f>
        <v>28</v>
      </c>
      <c r="I505" s="96"/>
      <c r="J505" s="96">
        <f>IFERROR(__xludf.DUMMYFUNCTION("""COMPUTED_VALUE"""),1334.3)</f>
        <v>1334.3</v>
      </c>
      <c r="K505" s="96">
        <f>IFERROR(__xludf.DUMMYFUNCTION("""COMPUTED_VALUE"""),9.93)</f>
        <v>9.93</v>
      </c>
      <c r="L505" s="96">
        <f>IFERROR(__xludf.DUMMYFUNCTION("""COMPUTED_VALUE"""),43.0)</f>
        <v>43</v>
      </c>
      <c r="M505" s="96">
        <f>IFERROR(__xludf.DUMMYFUNCTION("""COMPUTED_VALUE"""),34.0)</f>
        <v>34</v>
      </c>
      <c r="N505" s="96">
        <f>IFERROR(__xludf.DUMMYFUNCTION("""COMPUTED_VALUE"""),39.0)</f>
        <v>39</v>
      </c>
      <c r="O505" s="96"/>
      <c r="P505" s="129">
        <f>IFERROR(__xludf.DUMMYFUNCTION("""COMPUTED_VALUE"""),2182.0)</f>
        <v>2182</v>
      </c>
      <c r="Q505" s="99">
        <f>IFERROR(__xludf.DUMMYFUNCTION("""COMPUTED_VALUE"""),2911450.0)</f>
        <v>2911450</v>
      </c>
      <c r="R505" s="99">
        <f>IFERROR(__xludf.DUMMYFUNCTION("""COMPUTED_VALUE"""),1867250.0)</f>
        <v>1867250</v>
      </c>
    </row>
    <row r="506">
      <c r="B506" s="96">
        <f>IFERROR(__xludf.DUMMYFUNCTION("""COMPUTED_VALUE"""),5.0)</f>
        <v>5</v>
      </c>
      <c r="C506" s="98">
        <f>IFERROR(__xludf.DUMMYFUNCTION("""COMPUTED_VALUE"""),44112.0)</f>
        <v>44112</v>
      </c>
      <c r="D506" s="96" t="str">
        <f>IFERROR(__xludf.DUMMYFUNCTION("""COMPUTED_VALUE"""),"CHINWE CHIDI")</f>
        <v>CHINWE CHIDI</v>
      </c>
      <c r="E506" s="96">
        <f>IFERROR(__xludf.DUMMYFUNCTION("""COMPUTED_VALUE"""),1553.0)</f>
        <v>1553</v>
      </c>
      <c r="F506" s="96">
        <f>IFERROR(__xludf.DUMMYFUNCTION("""COMPUTED_VALUE"""),206.5)</f>
        <v>206.5</v>
      </c>
      <c r="G506" s="96"/>
      <c r="H506" s="96">
        <f>IFERROR(__xludf.DUMMYFUNCTION("""COMPUTED_VALUE"""),19.0)</f>
        <v>19</v>
      </c>
      <c r="I506" s="96"/>
      <c r="J506" s="96">
        <f>IFERROR(__xludf.DUMMYFUNCTION("""COMPUTED_VALUE"""),965.97)</f>
        <v>965.97</v>
      </c>
      <c r="K506" s="96">
        <f>IFERROR(__xludf.DUMMYFUNCTION("""COMPUTED_VALUE"""),10.87)</f>
        <v>10.87</v>
      </c>
      <c r="L506" s="96">
        <f>IFERROR(__xludf.DUMMYFUNCTION("""COMPUTED_VALUE"""),44.0)</f>
        <v>44</v>
      </c>
      <c r="M506" s="96">
        <f>IFERROR(__xludf.DUMMYFUNCTION("""COMPUTED_VALUE"""),23.0)</f>
        <v>23</v>
      </c>
      <c r="N506" s="96">
        <f>IFERROR(__xludf.DUMMYFUNCTION("""COMPUTED_VALUE"""),41.0)</f>
        <v>41</v>
      </c>
      <c r="O506" s="96"/>
      <c r="P506" s="129">
        <f>IFERROR(__xludf.DUMMYFUNCTION("""COMPUTED_VALUE"""),1490.0)</f>
        <v>1490</v>
      </c>
      <c r="Q506" s="99">
        <f>IFERROR(__xludf.DUMMYFUNCTION("""COMPUTED_VALUE"""),1439300.0)</f>
        <v>1439300</v>
      </c>
      <c r="R506" s="99">
        <f>IFERROR(__xludf.DUMMYFUNCTION("""COMPUTED_VALUE"""),306000.0)</f>
        <v>306000</v>
      </c>
    </row>
    <row r="507">
      <c r="B507" s="96">
        <f>IFERROR(__xludf.DUMMYFUNCTION("""COMPUTED_VALUE"""),20.0)</f>
        <v>20</v>
      </c>
      <c r="C507" s="98">
        <f>IFERROR(__xludf.DUMMYFUNCTION("""COMPUTED_VALUE"""),44109.0)</f>
        <v>44109</v>
      </c>
      <c r="D507" s="96" t="str">
        <f>IFERROR(__xludf.DUMMYFUNCTION("""COMPUTED_VALUE"""),"ETUK EFFI")</f>
        <v>ETUK EFFI</v>
      </c>
      <c r="E507" s="96">
        <f>IFERROR(__xludf.DUMMYFUNCTION("""COMPUTED_VALUE"""),2661.0)</f>
        <v>2661</v>
      </c>
      <c r="F507" s="96">
        <f>IFERROR(__xludf.DUMMYFUNCTION("""COMPUTED_VALUE"""),320.0)</f>
        <v>320</v>
      </c>
      <c r="G507" s="96"/>
      <c r="H507" s="96">
        <f>IFERROR(__xludf.DUMMYFUNCTION("""COMPUTED_VALUE"""),40.0)</f>
        <v>40</v>
      </c>
      <c r="I507" s="96"/>
      <c r="J507" s="96">
        <f>IFERROR(__xludf.DUMMYFUNCTION("""COMPUTED_VALUE"""),961.47)</f>
        <v>961.47</v>
      </c>
      <c r="K507" s="96">
        <f>IFERROR(__xludf.DUMMYFUNCTION("""COMPUTED_VALUE"""),8.0)</f>
        <v>8</v>
      </c>
      <c r="L507" s="96">
        <f>IFERROR(__xludf.DUMMYFUNCTION("""COMPUTED_VALUE"""),0.0)</f>
        <v>0</v>
      </c>
      <c r="M507" s="96">
        <f>IFERROR(__xludf.DUMMYFUNCTION("""COMPUTED_VALUE"""),41.0)</f>
        <v>41</v>
      </c>
      <c r="N507" s="96">
        <f>IFERROR(__xludf.DUMMYFUNCTION("""COMPUTED_VALUE"""),37.0)</f>
        <v>37</v>
      </c>
      <c r="O507" s="96"/>
      <c r="P507" s="129">
        <f>IFERROR(__xludf.DUMMYFUNCTION("""COMPUTED_VALUE"""),2621.0)</f>
        <v>2621</v>
      </c>
      <c r="Q507" s="99">
        <f>IFERROR(__xludf.DUMMYFUNCTION("""COMPUTED_VALUE"""),2520000.0)</f>
        <v>2520000</v>
      </c>
      <c r="R507" s="99">
        <f>IFERROR(__xludf.DUMMYFUNCTION("""COMPUTED_VALUE"""),2900100.0)</f>
        <v>2900100</v>
      </c>
    </row>
    <row r="508">
      <c r="B508" s="96">
        <f>IFERROR(__xludf.DUMMYFUNCTION("""COMPUTED_VALUE"""),8.0)</f>
        <v>8</v>
      </c>
      <c r="C508" s="98">
        <f>IFERROR(__xludf.DUMMYFUNCTION("""COMPUTED_VALUE"""),44113.0)</f>
        <v>44113</v>
      </c>
      <c r="D508" s="96" t="str">
        <f>IFERROR(__xludf.DUMMYFUNCTION("""COMPUTED_VALUE"""),"AGEGE BOY")</f>
        <v>AGEGE BOY</v>
      </c>
      <c r="E508" s="96">
        <f>IFERROR(__xludf.DUMMYFUNCTION("""COMPUTED_VALUE"""),1943.0)</f>
        <v>1943</v>
      </c>
      <c r="F508" s="96">
        <f>IFERROR(__xludf.DUMMYFUNCTION("""COMPUTED_VALUE"""),224.0)</f>
        <v>224</v>
      </c>
      <c r="G508" s="96"/>
      <c r="H508" s="96">
        <f>IFERROR(__xludf.DUMMYFUNCTION("""COMPUTED_VALUE"""),28.0)</f>
        <v>28</v>
      </c>
      <c r="I508" s="96"/>
      <c r="J508" s="96">
        <f>IFERROR(__xludf.DUMMYFUNCTION("""COMPUTED_VALUE"""),929.9)</f>
        <v>929.9</v>
      </c>
      <c r="K508" s="96">
        <f>IFERROR(__xludf.DUMMYFUNCTION("""COMPUTED_VALUE"""),8.0)</f>
        <v>8</v>
      </c>
      <c r="L508" s="96">
        <f>IFERROR(__xludf.DUMMYFUNCTION("""COMPUTED_VALUE"""),0.0)</f>
        <v>0</v>
      </c>
      <c r="M508" s="96">
        <f>IFERROR(__xludf.DUMMYFUNCTION("""COMPUTED_VALUE"""),30.0)</f>
        <v>30</v>
      </c>
      <c r="N508" s="96">
        <f>IFERROR(__xludf.DUMMYFUNCTION("""COMPUTED_VALUE"""),24.0)</f>
        <v>24</v>
      </c>
      <c r="O508" s="96"/>
      <c r="P508" s="129">
        <f>IFERROR(__xludf.DUMMYFUNCTION("""COMPUTED_VALUE"""),1915.0)</f>
        <v>1915</v>
      </c>
      <c r="Q508" s="99">
        <f>IFERROR(__xludf.DUMMYFUNCTION("""COMPUTED_VALUE"""),1780750.0)</f>
        <v>1780750</v>
      </c>
      <c r="R508" s="99">
        <f>IFERROR(__xludf.DUMMYFUNCTION("""COMPUTED_VALUE"""),659830.0)</f>
        <v>659830</v>
      </c>
    </row>
    <row r="509">
      <c r="B509" s="96">
        <f>IFERROR(__xludf.DUMMYFUNCTION("""COMPUTED_VALUE"""),3.0)</f>
        <v>3</v>
      </c>
      <c r="C509" s="98">
        <f>IFERROR(__xludf.DUMMYFUNCTION("""COMPUTED_VALUE"""),44114.0)</f>
        <v>44114</v>
      </c>
      <c r="D509" s="96" t="str">
        <f>IFERROR(__xludf.DUMMYFUNCTION("""COMPUTED_VALUE"""),"NELSON &amp; PALUS")</f>
        <v>NELSON &amp; PALUS</v>
      </c>
      <c r="E509" s="96">
        <f>IFERROR(__xludf.DUMMYFUNCTION("""COMPUTED_VALUE"""),456.0)</f>
        <v>456</v>
      </c>
      <c r="F509" s="96">
        <f>IFERROR(__xludf.DUMMYFUNCTION("""COMPUTED_VALUE"""),78.0)</f>
        <v>78</v>
      </c>
      <c r="G509" s="96"/>
      <c r="H509" s="96">
        <f>IFERROR(__xludf.DUMMYFUNCTION("""COMPUTED_VALUE"""),7.0)</f>
        <v>7</v>
      </c>
      <c r="I509" s="96"/>
      <c r="J509" s="96">
        <f>IFERROR(__xludf.DUMMYFUNCTION("""COMPUTED_VALUE"""),966.27)</f>
        <v>966.27</v>
      </c>
      <c r="K509" s="96">
        <f>IFERROR(__xludf.DUMMYFUNCTION("""COMPUTED_VALUE"""),11.14)</f>
        <v>11.14</v>
      </c>
      <c r="L509" s="96">
        <f>IFERROR(__xludf.DUMMYFUNCTION("""COMPUTED_VALUE"""),14.0)</f>
        <v>14</v>
      </c>
      <c r="M509" s="96">
        <f>IFERROR(__xludf.DUMMYFUNCTION("""COMPUTED_VALUE"""),6.0)</f>
        <v>6</v>
      </c>
      <c r="N509" s="96">
        <f>IFERROR(__xludf.DUMMYFUNCTION("""COMPUTED_VALUE"""),57.0)</f>
        <v>57</v>
      </c>
      <c r="O509" s="96"/>
      <c r="P509" s="129">
        <f>IFERROR(__xludf.DUMMYFUNCTION("""COMPUTED_VALUE"""),435.0)</f>
        <v>435</v>
      </c>
      <c r="Q509" s="99">
        <f>IFERROR(__xludf.DUMMYFUNCTION("""COMPUTED_VALUE"""),420328.0)</f>
        <v>420328</v>
      </c>
      <c r="R509" s="99">
        <f>IFERROR(__xludf.DUMMYFUNCTION("""COMPUTED_VALUE"""),-385328.0)</f>
        <v>-385328</v>
      </c>
    </row>
    <row r="510">
      <c r="B510" s="96">
        <f>IFERROR(__xludf.DUMMYFUNCTION("""COMPUTED_VALUE"""),4.0)</f>
        <v>4</v>
      </c>
      <c r="C510" s="98">
        <f>IFERROR(__xludf.DUMMYFUNCTION("""COMPUTED_VALUE"""),44114.0)</f>
        <v>44114</v>
      </c>
      <c r="D510" s="96" t="str">
        <f>IFERROR(__xludf.DUMMYFUNCTION("""COMPUTED_VALUE"""),"NELSON &amp; PALUS")</f>
        <v>NELSON &amp; PALUS</v>
      </c>
      <c r="E510" s="96">
        <f>IFERROR(__xludf.DUMMYFUNCTION("""COMPUTED_VALUE"""),626.0)</f>
        <v>626</v>
      </c>
      <c r="F510" s="96">
        <f>IFERROR(__xludf.DUMMYFUNCTION("""COMPUTED_VALUE"""),106.0)</f>
        <v>106</v>
      </c>
      <c r="G510" s="96"/>
      <c r="H510" s="96">
        <f>IFERROR(__xludf.DUMMYFUNCTION("""COMPUTED_VALUE"""),10.0)</f>
        <v>10</v>
      </c>
      <c r="I510" s="96"/>
      <c r="J510" s="96">
        <f>IFERROR(__xludf.DUMMYFUNCTION("""COMPUTED_VALUE"""),970.6)</f>
        <v>970.6</v>
      </c>
      <c r="K510" s="96">
        <f>IFERROR(__xludf.DUMMYFUNCTION("""COMPUTED_VALUE"""),10.6)</f>
        <v>10.6</v>
      </c>
      <c r="L510" s="96">
        <f>IFERROR(__xludf.DUMMYFUNCTION("""COMPUTED_VALUE"""),16.0)</f>
        <v>16</v>
      </c>
      <c r="M510" s="96">
        <f>IFERROR(__xludf.DUMMYFUNCTION("""COMPUTED_VALUE"""),9.0)</f>
        <v>9</v>
      </c>
      <c r="N510" s="96">
        <f>IFERROR(__xludf.DUMMYFUNCTION("""COMPUTED_VALUE"""),33.0)</f>
        <v>33</v>
      </c>
      <c r="O510" s="96"/>
      <c r="P510" s="129">
        <f>IFERROR(__xludf.DUMMYFUNCTION("""COMPUTED_VALUE"""),600.0)</f>
        <v>600</v>
      </c>
      <c r="Q510" s="99">
        <f>IFERROR(__xludf.DUMMYFUNCTION("""COMPUTED_VALUE"""),582359.0)</f>
        <v>582359</v>
      </c>
      <c r="R510" s="99">
        <f>IFERROR(__xludf.DUMMYFUNCTION("""COMPUTED_VALUE"""),-967687.0)</f>
        <v>-967687</v>
      </c>
    </row>
    <row r="511">
      <c r="B511" s="96">
        <f>IFERROR(__xludf.DUMMYFUNCTION("""COMPUTED_VALUE"""),5.0)</f>
        <v>5</v>
      </c>
      <c r="C511" s="98">
        <f>IFERROR(__xludf.DUMMYFUNCTION("""COMPUTED_VALUE"""),44116.0)</f>
        <v>44116</v>
      </c>
      <c r="D511" s="96" t="str">
        <f>IFERROR(__xludf.DUMMYFUNCTION("""COMPUTED_VALUE"""),"UNCLE BIGGIE")</f>
        <v>UNCLE BIGGIE</v>
      </c>
      <c r="E511" s="96"/>
      <c r="F511" s="96"/>
      <c r="G511" s="96"/>
      <c r="H511" s="96"/>
      <c r="I511" s="96"/>
      <c r="J511" s="96"/>
      <c r="K511" s="96"/>
      <c r="L511" s="96">
        <f>IFERROR(__xludf.DUMMYFUNCTION("""COMPUTED_VALUE"""),0.0)</f>
        <v>0</v>
      </c>
      <c r="M511" s="96">
        <f>IFERROR(__xludf.DUMMYFUNCTION("""COMPUTED_VALUE"""),0.0)</f>
        <v>0</v>
      </c>
      <c r="N511" s="96">
        <f>IFERROR(__xludf.DUMMYFUNCTION("""COMPUTED_VALUE"""),0.0)</f>
        <v>0</v>
      </c>
      <c r="O511" s="96">
        <f>IFERROR(__xludf.DUMMYFUNCTION("""COMPUTED_VALUE"""),100000.0)</f>
        <v>100000</v>
      </c>
      <c r="P511" s="129">
        <f>IFERROR(__xludf.DUMMYFUNCTION("""COMPUTED_VALUE"""),0.0)</f>
        <v>0</v>
      </c>
      <c r="Q511" s="99"/>
      <c r="R511" s="99">
        <f>IFERROR(__xludf.DUMMYFUNCTION("""COMPUTED_VALUE"""),640000.0)</f>
        <v>640000</v>
      </c>
    </row>
    <row r="512">
      <c r="B512" s="96">
        <f>IFERROR(__xludf.DUMMYFUNCTION("""COMPUTED_VALUE"""),18.0)</f>
        <v>18</v>
      </c>
      <c r="C512" s="98">
        <f>IFERROR(__xludf.DUMMYFUNCTION("""COMPUTED_VALUE"""),44116.0)</f>
        <v>44116</v>
      </c>
      <c r="D512" s="96" t="str">
        <f>IFERROR(__xludf.DUMMYFUNCTION("""COMPUTED_VALUE"""),"OTU KOKO KEIBO")</f>
        <v>OTU KOKO KEIBO</v>
      </c>
      <c r="E512" s="96"/>
      <c r="F512" s="96"/>
      <c r="G512" s="96"/>
      <c r="H512" s="96"/>
      <c r="I512" s="96"/>
      <c r="J512" s="96"/>
      <c r="K512" s="96"/>
      <c r="L512" s="96">
        <f>IFERROR(__xludf.DUMMYFUNCTION("""COMPUTED_VALUE"""),0.0)</f>
        <v>0</v>
      </c>
      <c r="M512" s="96">
        <f>IFERROR(__xludf.DUMMYFUNCTION("""COMPUTED_VALUE"""),0.0)</f>
        <v>0</v>
      </c>
      <c r="N512" s="96">
        <f>IFERROR(__xludf.DUMMYFUNCTION("""COMPUTED_VALUE"""),0.0)</f>
        <v>0</v>
      </c>
      <c r="O512" s="96">
        <f>IFERROR(__xludf.DUMMYFUNCTION("""COMPUTED_VALUE"""),120000.0)</f>
        <v>120000</v>
      </c>
      <c r="P512" s="129">
        <f>IFERROR(__xludf.DUMMYFUNCTION("""COMPUTED_VALUE"""),0.0)</f>
        <v>0</v>
      </c>
      <c r="Q512" s="99"/>
      <c r="R512" s="99">
        <f>IFERROR(__xludf.DUMMYFUNCTION("""COMPUTED_VALUE"""),3.0784425E7)</f>
        <v>30784425</v>
      </c>
    </row>
    <row r="513">
      <c r="B513" s="96">
        <f>IFERROR(__xludf.DUMMYFUNCTION("""COMPUTED_VALUE"""),19.0)</f>
        <v>19</v>
      </c>
      <c r="C513" s="98">
        <f>IFERROR(__xludf.DUMMYFUNCTION("""COMPUTED_VALUE"""),44116.0)</f>
        <v>44116</v>
      </c>
      <c r="D513" s="96" t="str">
        <f>IFERROR(__xludf.DUMMYFUNCTION("""COMPUTED_VALUE"""),"OTU KOKO KEIBO")</f>
        <v>OTU KOKO KEIBO</v>
      </c>
      <c r="E513" s="96"/>
      <c r="F513" s="96"/>
      <c r="G513" s="96"/>
      <c r="H513" s="96"/>
      <c r="I513" s="96"/>
      <c r="J513" s="96"/>
      <c r="K513" s="96"/>
      <c r="L513" s="96">
        <f>IFERROR(__xludf.DUMMYFUNCTION("""COMPUTED_VALUE"""),0.0)</f>
        <v>0</v>
      </c>
      <c r="M513" s="96">
        <f>IFERROR(__xludf.DUMMYFUNCTION("""COMPUTED_VALUE"""),0.0)</f>
        <v>0</v>
      </c>
      <c r="N513" s="96">
        <f>IFERROR(__xludf.DUMMYFUNCTION("""COMPUTED_VALUE"""),0.0)</f>
        <v>0</v>
      </c>
      <c r="O513" s="96">
        <f>IFERROR(__xludf.DUMMYFUNCTION("""COMPUTED_VALUE"""),160400.0)</f>
        <v>160400</v>
      </c>
      <c r="P513" s="129">
        <f>IFERROR(__xludf.DUMMYFUNCTION("""COMPUTED_VALUE"""),0.0)</f>
        <v>0</v>
      </c>
      <c r="Q513" s="99"/>
      <c r="R513" s="99">
        <f>IFERROR(__xludf.DUMMYFUNCTION("""COMPUTED_VALUE"""),3.0944825E7)</f>
        <v>30944825</v>
      </c>
    </row>
    <row r="514">
      <c r="B514" s="96">
        <f>IFERROR(__xludf.DUMMYFUNCTION("""COMPUTED_VALUE"""),20.0)</f>
        <v>20</v>
      </c>
      <c r="C514" s="98">
        <f>IFERROR(__xludf.DUMMYFUNCTION("""COMPUTED_VALUE"""),44116.0)</f>
        <v>44116</v>
      </c>
      <c r="D514" s="96" t="str">
        <f>IFERROR(__xludf.DUMMYFUNCTION("""COMPUTED_VALUE"""),"OTU KOKO KEIBO")</f>
        <v>OTU KOKO KEIBO</v>
      </c>
      <c r="E514" s="96"/>
      <c r="F514" s="96"/>
      <c r="G514" s="96"/>
      <c r="H514" s="96"/>
      <c r="I514" s="96"/>
      <c r="J514" s="96"/>
      <c r="K514" s="96"/>
      <c r="L514" s="96">
        <f>IFERROR(__xludf.DUMMYFUNCTION("""COMPUTED_VALUE"""),0.0)</f>
        <v>0</v>
      </c>
      <c r="M514" s="96">
        <f>IFERROR(__xludf.DUMMYFUNCTION("""COMPUTED_VALUE"""),0.0)</f>
        <v>0</v>
      </c>
      <c r="N514" s="96">
        <f>IFERROR(__xludf.DUMMYFUNCTION("""COMPUTED_VALUE"""),0.0)</f>
        <v>0</v>
      </c>
      <c r="O514" s="96">
        <f>IFERROR(__xludf.DUMMYFUNCTION("""COMPUTED_VALUE"""),73500.0)</f>
        <v>73500</v>
      </c>
      <c r="P514" s="129">
        <f>IFERROR(__xludf.DUMMYFUNCTION("""COMPUTED_VALUE"""),0.0)</f>
        <v>0</v>
      </c>
      <c r="Q514" s="99"/>
      <c r="R514" s="99">
        <f>IFERROR(__xludf.DUMMYFUNCTION("""COMPUTED_VALUE"""),3.1018325E7)</f>
        <v>31018325</v>
      </c>
    </row>
    <row r="515">
      <c r="B515" s="96">
        <f>IFERROR(__xludf.DUMMYFUNCTION("""COMPUTED_VALUE"""),21.0)</f>
        <v>21</v>
      </c>
      <c r="C515" s="98">
        <f>IFERROR(__xludf.DUMMYFUNCTION("""COMPUTED_VALUE"""),44116.0)</f>
        <v>44116</v>
      </c>
      <c r="D515" s="96" t="str">
        <f>IFERROR(__xludf.DUMMYFUNCTION("""COMPUTED_VALUE"""),"OTU KOKO KEIBO")</f>
        <v>OTU KOKO KEIBO</v>
      </c>
      <c r="E515" s="96"/>
      <c r="F515" s="96"/>
      <c r="G515" s="96"/>
      <c r="H515" s="96"/>
      <c r="I515" s="96"/>
      <c r="J515" s="96"/>
      <c r="K515" s="96"/>
      <c r="L515" s="96">
        <f>IFERROR(__xludf.DUMMYFUNCTION("""COMPUTED_VALUE"""),0.0)</f>
        <v>0</v>
      </c>
      <c r="M515" s="96">
        <f>IFERROR(__xludf.DUMMYFUNCTION("""COMPUTED_VALUE"""),0.0)</f>
        <v>0</v>
      </c>
      <c r="N515" s="96">
        <f>IFERROR(__xludf.DUMMYFUNCTION("""COMPUTED_VALUE"""),0.0)</f>
        <v>0</v>
      </c>
      <c r="O515" s="96">
        <f>IFERROR(__xludf.DUMMYFUNCTION("""COMPUTED_VALUE"""),150000.0)</f>
        <v>150000</v>
      </c>
      <c r="P515" s="129">
        <f>IFERROR(__xludf.DUMMYFUNCTION("""COMPUTED_VALUE"""),0.0)</f>
        <v>0</v>
      </c>
      <c r="Q515" s="99"/>
      <c r="R515" s="99">
        <f>IFERROR(__xludf.DUMMYFUNCTION("""COMPUTED_VALUE"""),3.1168325E7)</f>
        <v>31168325</v>
      </c>
    </row>
    <row r="516">
      <c r="B516" s="96">
        <f>IFERROR(__xludf.DUMMYFUNCTION("""COMPUTED_VALUE"""),22.0)</f>
        <v>22</v>
      </c>
      <c r="C516" s="98">
        <f>IFERROR(__xludf.DUMMYFUNCTION("""COMPUTED_VALUE"""),44116.0)</f>
        <v>44116</v>
      </c>
      <c r="D516" s="96" t="str">
        <f>IFERROR(__xludf.DUMMYFUNCTION("""COMPUTED_VALUE"""),"OTU KOKO KEIBO")</f>
        <v>OTU KOKO KEIBO</v>
      </c>
      <c r="E516" s="96"/>
      <c r="F516" s="96"/>
      <c r="G516" s="96"/>
      <c r="H516" s="96"/>
      <c r="I516" s="96"/>
      <c r="J516" s="96"/>
      <c r="K516" s="96"/>
      <c r="L516" s="96">
        <f>IFERROR(__xludf.DUMMYFUNCTION("""COMPUTED_VALUE"""),0.0)</f>
        <v>0</v>
      </c>
      <c r="M516" s="96">
        <f>IFERROR(__xludf.DUMMYFUNCTION("""COMPUTED_VALUE"""),0.0)</f>
        <v>0</v>
      </c>
      <c r="N516" s="96">
        <f>IFERROR(__xludf.DUMMYFUNCTION("""COMPUTED_VALUE"""),0.0)</f>
        <v>0</v>
      </c>
      <c r="O516" s="96">
        <f>IFERROR(__xludf.DUMMYFUNCTION("""COMPUTED_VALUE"""),234000.0)</f>
        <v>234000</v>
      </c>
      <c r="P516" s="129">
        <f>IFERROR(__xludf.DUMMYFUNCTION("""COMPUTED_VALUE"""),0.0)</f>
        <v>0</v>
      </c>
      <c r="Q516" s="99"/>
      <c r="R516" s="99">
        <f>IFERROR(__xludf.DUMMYFUNCTION("""COMPUTED_VALUE"""),3.1402325E7)</f>
        <v>31402325</v>
      </c>
    </row>
    <row r="517">
      <c r="B517" s="96">
        <f>IFERROR(__xludf.DUMMYFUNCTION("""COMPUTED_VALUE"""),4.0)</f>
        <v>4</v>
      </c>
      <c r="C517" s="98">
        <f>IFERROR(__xludf.DUMMYFUNCTION("""COMPUTED_VALUE"""),44116.0)</f>
        <v>44116</v>
      </c>
      <c r="D517" s="96" t="str">
        <f>IFERROR(__xludf.DUMMYFUNCTION("""COMPUTED_VALUE"""),"REIMON ALABA")</f>
        <v>REIMON ALABA</v>
      </c>
      <c r="E517" s="96"/>
      <c r="F517" s="96"/>
      <c r="G517" s="96"/>
      <c r="H517" s="96"/>
      <c r="I517" s="96"/>
      <c r="J517" s="96"/>
      <c r="K517" s="96"/>
      <c r="L517" s="96">
        <f>IFERROR(__xludf.DUMMYFUNCTION("""COMPUTED_VALUE"""),0.0)</f>
        <v>0</v>
      </c>
      <c r="M517" s="96">
        <f>IFERROR(__xludf.DUMMYFUNCTION("""COMPUTED_VALUE"""),0.0)</f>
        <v>0</v>
      </c>
      <c r="N517" s="96">
        <f>IFERROR(__xludf.DUMMYFUNCTION("""COMPUTED_VALUE"""),0.0)</f>
        <v>0</v>
      </c>
      <c r="O517" s="96">
        <f>IFERROR(__xludf.DUMMYFUNCTION("""COMPUTED_VALUE"""),50000.0)</f>
        <v>50000</v>
      </c>
      <c r="P517" s="129">
        <f>IFERROR(__xludf.DUMMYFUNCTION("""COMPUTED_VALUE"""),0.0)</f>
        <v>0</v>
      </c>
      <c r="Q517" s="99"/>
      <c r="R517" s="99">
        <f>IFERROR(__xludf.DUMMYFUNCTION("""COMPUTED_VALUE"""),420000.0)</f>
        <v>420000</v>
      </c>
    </row>
    <row r="518">
      <c r="B518" s="96">
        <f>IFERROR(__xludf.DUMMYFUNCTION("""COMPUTED_VALUE"""),20.0)</f>
        <v>20</v>
      </c>
      <c r="C518" s="98">
        <f>IFERROR(__xludf.DUMMYFUNCTION("""COMPUTED_VALUE"""),44116.0)</f>
        <v>44116</v>
      </c>
      <c r="D518" s="96" t="str">
        <f>IFERROR(__xludf.DUMMYFUNCTION("""COMPUTED_VALUE""")," MAXWELL AGRO")</f>
        <v> MAXWELL AGRO</v>
      </c>
      <c r="E518" s="96"/>
      <c r="F518" s="96"/>
      <c r="G518" s="96"/>
      <c r="H518" s="96"/>
      <c r="I518" s="96"/>
      <c r="J518" s="96"/>
      <c r="K518" s="96"/>
      <c r="L518" s="96">
        <f>IFERROR(__xludf.DUMMYFUNCTION("""COMPUTED_VALUE"""),0.0)</f>
        <v>0</v>
      </c>
      <c r="M518" s="96">
        <f>IFERROR(__xludf.DUMMYFUNCTION("""COMPUTED_VALUE"""),0.0)</f>
        <v>0</v>
      </c>
      <c r="N518" s="96">
        <f>IFERROR(__xludf.DUMMYFUNCTION("""COMPUTED_VALUE"""),0.0)</f>
        <v>0</v>
      </c>
      <c r="O518" s="96">
        <f>IFERROR(__xludf.DUMMYFUNCTION("""COMPUTED_VALUE"""),280000.0)</f>
        <v>280000</v>
      </c>
      <c r="P518" s="129">
        <f>IFERROR(__xludf.DUMMYFUNCTION("""COMPUTED_VALUE"""),0.0)</f>
        <v>0</v>
      </c>
      <c r="Q518" s="99"/>
      <c r="R518" s="99">
        <f>IFERROR(__xludf.DUMMYFUNCTION("""COMPUTED_VALUE"""),2884432.0)</f>
        <v>2884432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tr">
        <f>IFERROR(__xludf.DUMMYFUNCTION("QUERY(PreFinance!A1:S1000)")," COUNT")</f>
        <v> COUNT</v>
      </c>
      <c r="B1" s="96" t="str">
        <f>IFERROR(__xludf.DUMMYFUNCTION("""COMPUTED_VALUE"""),"PRE- FINANCE MASTERSHEET DATE")</f>
        <v>PRE- FINANCE MASTERSHEET DATE</v>
      </c>
      <c r="C1" s="96" t="str">
        <f>IFERROR(__xludf.DUMMYFUNCTION("""COMPUTED_VALUE""")," NAMES")</f>
        <v> NAMES</v>
      </c>
      <c r="D1" s="96" t="str">
        <f>IFERROR(__xludf.DUMMYFUNCTION("""COMPUTED_VALUE"""),"Last Entry: Cnam")</f>
        <v>Last Entry: Cnam</v>
      </c>
      <c r="E1" s="96" t="str">
        <f>IFERROR(__xludf.DUMMYFUNCTION("""COMPUTED_VALUE"""),"12/10/2020 GROSS WT")</f>
        <v>12/10/2020 GROSS WT</v>
      </c>
      <c r="F1" s="96" t="str">
        <f>IFERROR(__xludf.DUMMYFUNCTION("""COMPUTED_VALUE""")," TOTAL MST")</f>
        <v> TOTAL MST</v>
      </c>
      <c r="G1" s="96" t="str">
        <f>IFERROR(__xludf.DUMMYFUNCTION("""COMPUTED_VALUE""")," QTY")</f>
        <v> QTY</v>
      </c>
      <c r="H1" s="96" t="str">
        <f>IFERROR(__xludf.DUMMYFUNCTION("""COMPUTED_VALUE""")," TOTAL BAGS")</f>
        <v> TOTAL BAGS</v>
      </c>
      <c r="I1" s="96" t="str">
        <f>IFERROR(__xludf.DUMMYFUNCTION("""COMPUTED_VALUE"""),"  CHINA BAGS")</f>
        <v>  CHINA BAGS</v>
      </c>
      <c r="J1" s="96" t="str">
        <f>IFERROR(__xludf.DUMMYFUNCTION("""COMPUTED_VALUE""")," UNIT PRC")</f>
        <v> UNIT PRC</v>
      </c>
      <c r="K1" s="96" t="str">
        <f>IFERROR(__xludf.DUMMYFUNCTION("""COMPUTED_VALUE""")," ADVANCE")</f>
        <v> ADVANCE</v>
      </c>
      <c r="L1" s="96" t="str">
        <f>IFERROR(__xludf.DUMMYFUNCTION("""COMPUTED_VALUE""")," BAL~")</f>
        <v> BAL~</v>
      </c>
      <c r="M1" s="96" t="str">
        <f>IFERROR(__xludf.DUMMYFUNCTION("""COMPUTED_VALUE""")," A M")</f>
        <v> A M</v>
      </c>
      <c r="N1" s="96" t="str">
        <f>IFERROR(__xludf.DUMMYFUNCTION("""COMPUTED_VALUE""")," MSTRE DISCT")</f>
        <v> MSTRE DISCT</v>
      </c>
      <c r="O1" s="96" t="str">
        <f>IFERROR(__xludf.DUMMYFUNCTION("""COMPUTED_VALUE""")," BAGS")</f>
        <v> BAGS</v>
      </c>
      <c r="P1" s="96" t="str">
        <f>IFERROR(__xludf.DUMMYFUNCTION("""COMPUTED_VALUE""")," KGS")</f>
        <v> KGS</v>
      </c>
      <c r="Q1" s="96" t="str">
        <f>IFERROR(__xludf.DUMMYFUNCTION("""COMPUTED_VALUE""")," PAYABLE")</f>
        <v> PAYABLE</v>
      </c>
      <c r="R1" s="96" t="str">
        <f>IFERROR(__xludf.DUMMYFUNCTION("""COMPUTED_VALUE""")," AMT")</f>
        <v> AMT</v>
      </c>
      <c r="S1" s="96" t="str">
        <f>IFERROR(__xludf.DUMMYFUNCTION("""COMPUTED_VALUE""")," RUNNING BAL")</f>
        <v> RUNNING BAL</v>
      </c>
    </row>
    <row r="2">
      <c r="A2" s="96">
        <f>IFERROR(__xludf.DUMMYFUNCTION("""COMPUTED_VALUE"""),1.0)</f>
        <v>1</v>
      </c>
      <c r="B2" s="98">
        <f>IFERROR(__xludf.DUMMYFUNCTION("""COMPUTED_VALUE"""),43743.0)</f>
        <v>43743</v>
      </c>
      <c r="C2" s="96" t="str">
        <f>IFERROR(__xludf.DUMMYFUNCTION("""COMPUTED_VALUE"""),"EDWARD OKO")</f>
        <v>EDWARD OKO</v>
      </c>
      <c r="D2" s="96" t="str">
        <f>IFERROR(__xludf.DUMMYFUNCTION("""COMPUTED_VALUE"""),"EDWARD OKO1")</f>
        <v>EDWARD OKO1</v>
      </c>
      <c r="E2" s="96"/>
      <c r="F2" s="96"/>
      <c r="G2" s="96"/>
      <c r="H2" s="96"/>
      <c r="I2" s="96"/>
      <c r="J2" s="96"/>
      <c r="K2" s="96">
        <f>IFERROR(__xludf.DUMMYFUNCTION("""COMPUTED_VALUE"""),521000.0)</f>
        <v>521000</v>
      </c>
      <c r="L2" s="99">
        <f>IFERROR(__xludf.DUMMYFUNCTION("""COMPUTED_VALUE"""),521000.0)</f>
        <v>521000</v>
      </c>
      <c r="M2" s="96"/>
      <c r="N2" s="96">
        <f>IFERROR(__xludf.DUMMYFUNCTION("""COMPUTED_VALUE"""),0.0)</f>
        <v>0</v>
      </c>
      <c r="O2" s="96">
        <f>IFERROR(__xludf.DUMMYFUNCTION("""COMPUTED_VALUE"""),0.0)</f>
        <v>0</v>
      </c>
      <c r="P2" s="96">
        <f>IFERROR(__xludf.DUMMYFUNCTION("""COMPUTED_VALUE"""),0.0)</f>
        <v>0</v>
      </c>
      <c r="Q2" s="129">
        <f>IFERROR(__xludf.DUMMYFUNCTION("""COMPUTED_VALUE"""),0.0)</f>
        <v>0</v>
      </c>
      <c r="R2" s="99"/>
      <c r="S2" s="99">
        <f>IFERROR(__xludf.DUMMYFUNCTION("""COMPUTED_VALUE"""),521000.0)</f>
        <v>521000</v>
      </c>
    </row>
    <row r="3">
      <c r="A3" s="96">
        <f>IFERROR(__xludf.DUMMYFUNCTION("""COMPUTED_VALUE"""),1.0)</f>
        <v>1</v>
      </c>
      <c r="B3" s="98">
        <f>IFERROR(__xludf.DUMMYFUNCTION("""COMPUTED_VALUE"""),43743.0)</f>
        <v>43743</v>
      </c>
      <c r="C3" s="96" t="str">
        <f>IFERROR(__xludf.DUMMYFUNCTION("""COMPUTED_VALUE"""),"INT OTU")</f>
        <v>INT OTU</v>
      </c>
      <c r="D3" s="96" t="str">
        <f>IFERROR(__xludf.DUMMYFUNCTION("""COMPUTED_VALUE"""),"INT OTU1")</f>
        <v>INT OTU1</v>
      </c>
      <c r="E3" s="96"/>
      <c r="F3" s="96"/>
      <c r="G3" s="96"/>
      <c r="H3" s="96"/>
      <c r="I3" s="96"/>
      <c r="J3" s="96"/>
      <c r="K3" s="96">
        <f>IFERROR(__xludf.DUMMYFUNCTION("""COMPUTED_VALUE"""),555000.0)</f>
        <v>555000</v>
      </c>
      <c r="L3" s="99">
        <f>IFERROR(__xludf.DUMMYFUNCTION("""COMPUTED_VALUE"""),555000.0)</f>
        <v>555000</v>
      </c>
      <c r="M3" s="96"/>
      <c r="N3" s="96">
        <f>IFERROR(__xludf.DUMMYFUNCTION("""COMPUTED_VALUE"""),0.0)</f>
        <v>0</v>
      </c>
      <c r="O3" s="96">
        <f>IFERROR(__xludf.DUMMYFUNCTION("""COMPUTED_VALUE"""),0.0)</f>
        <v>0</v>
      </c>
      <c r="P3" s="96">
        <f>IFERROR(__xludf.DUMMYFUNCTION("""COMPUTED_VALUE"""),0.0)</f>
        <v>0</v>
      </c>
      <c r="Q3" s="129">
        <f>IFERROR(__xludf.DUMMYFUNCTION("""COMPUTED_VALUE"""),0.0)</f>
        <v>0</v>
      </c>
      <c r="R3" s="99"/>
      <c r="S3" s="99">
        <f>IFERROR(__xludf.DUMMYFUNCTION("""COMPUTED_VALUE"""),555000.0)</f>
        <v>555000</v>
      </c>
    </row>
    <row r="4">
      <c r="A4" s="96">
        <f>IFERROR(__xludf.DUMMYFUNCTION("""COMPUTED_VALUE"""),1.0)</f>
        <v>1</v>
      </c>
      <c r="B4" s="98">
        <f>IFERROR(__xludf.DUMMYFUNCTION("""COMPUTED_VALUE"""),43743.0)</f>
        <v>43743</v>
      </c>
      <c r="C4" s="96" t="str">
        <f>IFERROR(__xludf.DUMMYFUNCTION("""COMPUTED_VALUE"""),"ETUK EFFI")</f>
        <v>ETUK EFFI</v>
      </c>
      <c r="D4" s="96" t="str">
        <f>IFERROR(__xludf.DUMMYFUNCTION("""COMPUTED_VALUE"""),"ETUK EFFI1")</f>
        <v>ETUK EFFI1</v>
      </c>
      <c r="E4" s="96"/>
      <c r="F4" s="96"/>
      <c r="G4" s="96"/>
      <c r="H4" s="96"/>
      <c r="I4" s="96"/>
      <c r="J4" s="96"/>
      <c r="K4" s="96">
        <f>IFERROR(__xludf.DUMMYFUNCTION("""COMPUTED_VALUE"""),700000.0)</f>
        <v>700000</v>
      </c>
      <c r="L4" s="99">
        <f>IFERROR(__xludf.DUMMYFUNCTION("""COMPUTED_VALUE"""),700000.0)</f>
        <v>700000</v>
      </c>
      <c r="M4" s="96"/>
      <c r="N4" s="96">
        <f>IFERROR(__xludf.DUMMYFUNCTION("""COMPUTED_VALUE"""),0.0)</f>
        <v>0</v>
      </c>
      <c r="O4" s="96">
        <f>IFERROR(__xludf.DUMMYFUNCTION("""COMPUTED_VALUE"""),0.0)</f>
        <v>0</v>
      </c>
      <c r="P4" s="96">
        <f>IFERROR(__xludf.DUMMYFUNCTION("""COMPUTED_VALUE"""),0.0)</f>
        <v>0</v>
      </c>
      <c r="Q4" s="129">
        <f>IFERROR(__xludf.DUMMYFUNCTION("""COMPUTED_VALUE"""),0.0)</f>
        <v>0</v>
      </c>
      <c r="R4" s="99"/>
      <c r="S4" s="99">
        <f>IFERROR(__xludf.DUMMYFUNCTION("""COMPUTED_VALUE"""),700000.0)</f>
        <v>700000</v>
      </c>
    </row>
    <row r="5">
      <c r="A5" s="96">
        <f>IFERROR(__xludf.DUMMYFUNCTION("""COMPUTED_VALUE"""),1.0)</f>
        <v>1</v>
      </c>
      <c r="B5" s="98">
        <f>IFERROR(__xludf.DUMMYFUNCTION("""COMPUTED_VALUE"""),43743.0)</f>
        <v>43743</v>
      </c>
      <c r="C5" s="96" t="str">
        <f>IFERROR(__xludf.DUMMYFUNCTION("""COMPUTED_VALUE"""),"ADE ADE")</f>
        <v>ADE ADE</v>
      </c>
      <c r="D5" s="96" t="str">
        <f>IFERROR(__xludf.DUMMYFUNCTION("""COMPUTED_VALUE"""),"ADE ADE1")</f>
        <v>ADE ADE1</v>
      </c>
      <c r="E5" s="96"/>
      <c r="F5" s="96"/>
      <c r="G5" s="96"/>
      <c r="H5" s="96"/>
      <c r="I5" s="96"/>
      <c r="J5" s="96"/>
      <c r="K5" s="96">
        <f>IFERROR(__xludf.DUMMYFUNCTION("""COMPUTED_VALUE"""),328000.0)</f>
        <v>328000</v>
      </c>
      <c r="L5" s="99">
        <f>IFERROR(__xludf.DUMMYFUNCTION("""COMPUTED_VALUE"""),328000.0)</f>
        <v>328000</v>
      </c>
      <c r="M5" s="96"/>
      <c r="N5" s="96">
        <f>IFERROR(__xludf.DUMMYFUNCTION("""COMPUTED_VALUE"""),0.0)</f>
        <v>0</v>
      </c>
      <c r="O5" s="96">
        <f>IFERROR(__xludf.DUMMYFUNCTION("""COMPUTED_VALUE"""),0.0)</f>
        <v>0</v>
      </c>
      <c r="P5" s="96">
        <f>IFERROR(__xludf.DUMMYFUNCTION("""COMPUTED_VALUE"""),0.0)</f>
        <v>0</v>
      </c>
      <c r="Q5" s="129">
        <f>IFERROR(__xludf.DUMMYFUNCTION("""COMPUTED_VALUE"""),0.0)</f>
        <v>0</v>
      </c>
      <c r="R5" s="99"/>
      <c r="S5" s="99">
        <f>IFERROR(__xludf.DUMMYFUNCTION("""COMPUTED_VALUE"""),328000.0)</f>
        <v>328000</v>
      </c>
    </row>
    <row r="6">
      <c r="A6" s="96">
        <f>IFERROR(__xludf.DUMMYFUNCTION("""COMPUTED_VALUE"""),1.0)</f>
        <v>1</v>
      </c>
      <c r="B6" s="98">
        <f>IFERROR(__xludf.DUMMYFUNCTION("""COMPUTED_VALUE"""),43743.0)</f>
        <v>43743</v>
      </c>
      <c r="C6" s="96" t="str">
        <f>IFERROR(__xludf.DUMMYFUNCTION("""COMPUTED_VALUE"""),"BESSONG BESONG")</f>
        <v>BESSONG BESONG</v>
      </c>
      <c r="D6" s="96" t="str">
        <f>IFERROR(__xludf.DUMMYFUNCTION("""COMPUTED_VALUE"""),"BESSONG BESONG1")</f>
        <v>BESSONG BESONG1</v>
      </c>
      <c r="E6" s="96"/>
      <c r="F6" s="96"/>
      <c r="G6" s="96"/>
      <c r="H6" s="96"/>
      <c r="I6" s="96"/>
      <c r="J6" s="96"/>
      <c r="K6" s="96">
        <f>IFERROR(__xludf.DUMMYFUNCTION("""COMPUTED_VALUE"""),497440.0)</f>
        <v>497440</v>
      </c>
      <c r="L6" s="99">
        <f>IFERROR(__xludf.DUMMYFUNCTION("""COMPUTED_VALUE"""),497440.0)</f>
        <v>497440</v>
      </c>
      <c r="M6" s="96"/>
      <c r="N6" s="96">
        <f>IFERROR(__xludf.DUMMYFUNCTION("""COMPUTED_VALUE"""),0.0)</f>
        <v>0</v>
      </c>
      <c r="O6" s="96">
        <f>IFERROR(__xludf.DUMMYFUNCTION("""COMPUTED_VALUE"""),0.0)</f>
        <v>0</v>
      </c>
      <c r="P6" s="96">
        <f>IFERROR(__xludf.DUMMYFUNCTION("""COMPUTED_VALUE"""),0.0)</f>
        <v>0</v>
      </c>
      <c r="Q6" s="129">
        <f>IFERROR(__xludf.DUMMYFUNCTION("""COMPUTED_VALUE"""),0.0)</f>
        <v>0</v>
      </c>
      <c r="R6" s="99"/>
      <c r="S6" s="99">
        <f>IFERROR(__xludf.DUMMYFUNCTION("""COMPUTED_VALUE"""),497440.0)</f>
        <v>497440</v>
      </c>
    </row>
    <row r="7">
      <c r="A7" s="96">
        <f>IFERROR(__xludf.DUMMYFUNCTION("""COMPUTED_VALUE"""),1.0)</f>
        <v>1</v>
      </c>
      <c r="B7" s="98">
        <f>IFERROR(__xludf.DUMMYFUNCTION("""COMPUTED_VALUE"""),43743.0)</f>
        <v>43743</v>
      </c>
      <c r="C7" s="96" t="str">
        <f>IFERROR(__xludf.DUMMYFUNCTION("""COMPUTED_VALUE"""),"MINOR")</f>
        <v>MINOR</v>
      </c>
      <c r="D7" s="96" t="str">
        <f>IFERROR(__xludf.DUMMYFUNCTION("""COMPUTED_VALUE"""),"MINOR1")</f>
        <v>MINOR1</v>
      </c>
      <c r="E7" s="96"/>
      <c r="F7" s="96"/>
      <c r="G7" s="96"/>
      <c r="H7" s="96"/>
      <c r="I7" s="96"/>
      <c r="J7" s="96"/>
      <c r="K7" s="96">
        <f>IFERROR(__xludf.DUMMYFUNCTION("""COMPUTED_VALUE"""),409300.0)</f>
        <v>409300</v>
      </c>
      <c r="L7" s="99">
        <f>IFERROR(__xludf.DUMMYFUNCTION("""COMPUTED_VALUE"""),409300.0)</f>
        <v>409300</v>
      </c>
      <c r="M7" s="96"/>
      <c r="N7" s="96">
        <f>IFERROR(__xludf.DUMMYFUNCTION("""COMPUTED_VALUE"""),0.0)</f>
        <v>0</v>
      </c>
      <c r="O7" s="96">
        <f>IFERROR(__xludf.DUMMYFUNCTION("""COMPUTED_VALUE"""),0.0)</f>
        <v>0</v>
      </c>
      <c r="P7" s="96">
        <f>IFERROR(__xludf.DUMMYFUNCTION("""COMPUTED_VALUE"""),0.0)</f>
        <v>0</v>
      </c>
      <c r="Q7" s="129">
        <f>IFERROR(__xludf.DUMMYFUNCTION("""COMPUTED_VALUE"""),0.0)</f>
        <v>0</v>
      </c>
      <c r="R7" s="99"/>
      <c r="S7" s="99">
        <f>IFERROR(__xludf.DUMMYFUNCTION("""COMPUTED_VALUE"""),409300.0)</f>
        <v>409300</v>
      </c>
    </row>
    <row r="8">
      <c r="A8" s="96">
        <f>IFERROR(__xludf.DUMMYFUNCTION("""COMPUTED_VALUE"""),1.0)</f>
        <v>1</v>
      </c>
      <c r="B8" s="98">
        <f>IFERROR(__xludf.DUMMYFUNCTION("""COMPUTED_VALUE"""),43743.0)</f>
        <v>43743</v>
      </c>
      <c r="C8" s="96" t="str">
        <f>IFERROR(__xludf.DUMMYFUNCTION("""COMPUTED_VALUE"""),"COLLINS  OFFA")</f>
        <v>COLLINS  OFFA</v>
      </c>
      <c r="D8" s="96" t="str">
        <f>IFERROR(__xludf.DUMMYFUNCTION("""COMPUTED_VALUE"""),"COLLINS  OFFA1")</f>
        <v>COLLINS  OFFA1</v>
      </c>
      <c r="E8" s="96"/>
      <c r="F8" s="96"/>
      <c r="G8" s="96"/>
      <c r="H8" s="96"/>
      <c r="I8" s="96"/>
      <c r="J8" s="96"/>
      <c r="K8" s="96">
        <f>IFERROR(__xludf.DUMMYFUNCTION("""COMPUTED_VALUE"""),1090000.0)</f>
        <v>1090000</v>
      </c>
      <c r="L8" s="99">
        <f>IFERROR(__xludf.DUMMYFUNCTION("""COMPUTED_VALUE"""),1090000.0)</f>
        <v>1090000</v>
      </c>
      <c r="M8" s="96"/>
      <c r="N8" s="96">
        <f>IFERROR(__xludf.DUMMYFUNCTION("""COMPUTED_VALUE"""),0.0)</f>
        <v>0</v>
      </c>
      <c r="O8" s="96">
        <f>IFERROR(__xludf.DUMMYFUNCTION("""COMPUTED_VALUE"""),0.0)</f>
        <v>0</v>
      </c>
      <c r="P8" s="96">
        <f>IFERROR(__xludf.DUMMYFUNCTION("""COMPUTED_VALUE"""),0.0)</f>
        <v>0</v>
      </c>
      <c r="Q8" s="129">
        <f>IFERROR(__xludf.DUMMYFUNCTION("""COMPUTED_VALUE"""),0.0)</f>
        <v>0</v>
      </c>
      <c r="R8" s="99"/>
      <c r="S8" s="99">
        <f>IFERROR(__xludf.DUMMYFUNCTION("""COMPUTED_VALUE"""),1090000.0)</f>
        <v>1090000</v>
      </c>
    </row>
    <row r="9">
      <c r="A9" s="96">
        <f>IFERROR(__xludf.DUMMYFUNCTION("""COMPUTED_VALUE"""),1.0)</f>
        <v>1</v>
      </c>
      <c r="B9" s="98">
        <f>IFERROR(__xludf.DUMMYFUNCTION("""COMPUTED_VALUE"""),43743.0)</f>
        <v>43743</v>
      </c>
      <c r="C9" s="96" t="str">
        <f>IFERROR(__xludf.DUMMYFUNCTION("""COMPUTED_VALUE"""),"SEPH ODEY")</f>
        <v>SEPH ODEY</v>
      </c>
      <c r="D9" s="96" t="str">
        <f>IFERROR(__xludf.DUMMYFUNCTION("""COMPUTED_VALUE"""),"SEPH ODEY1")</f>
        <v>SEPH ODEY1</v>
      </c>
      <c r="E9" s="96"/>
      <c r="F9" s="96"/>
      <c r="G9" s="96"/>
      <c r="H9" s="96"/>
      <c r="I9" s="96"/>
      <c r="J9" s="96"/>
      <c r="K9" s="96">
        <f>IFERROR(__xludf.DUMMYFUNCTION("""COMPUTED_VALUE"""),126000.0)</f>
        <v>126000</v>
      </c>
      <c r="L9" s="99">
        <f>IFERROR(__xludf.DUMMYFUNCTION("""COMPUTED_VALUE"""),126000.0)</f>
        <v>126000</v>
      </c>
      <c r="M9" s="96"/>
      <c r="N9" s="96">
        <f>IFERROR(__xludf.DUMMYFUNCTION("""COMPUTED_VALUE"""),0.0)</f>
        <v>0</v>
      </c>
      <c r="O9" s="96">
        <f>IFERROR(__xludf.DUMMYFUNCTION("""COMPUTED_VALUE"""),0.0)</f>
        <v>0</v>
      </c>
      <c r="P9" s="96">
        <f>IFERROR(__xludf.DUMMYFUNCTION("""COMPUTED_VALUE"""),0.0)</f>
        <v>0</v>
      </c>
      <c r="Q9" s="129">
        <f>IFERROR(__xludf.DUMMYFUNCTION("""COMPUTED_VALUE"""),0.0)</f>
        <v>0</v>
      </c>
      <c r="R9" s="99"/>
      <c r="S9" s="99">
        <f>IFERROR(__xludf.DUMMYFUNCTION("""COMPUTED_VALUE"""),126000.0)</f>
        <v>126000</v>
      </c>
    </row>
    <row r="10">
      <c r="A10" s="96">
        <f>IFERROR(__xludf.DUMMYFUNCTION("""COMPUTED_VALUE"""),1.0)</f>
        <v>1</v>
      </c>
      <c r="B10" s="98">
        <f>IFERROR(__xludf.DUMMYFUNCTION("""COMPUTED_VALUE"""),43743.0)</f>
        <v>43743</v>
      </c>
      <c r="C10" s="96" t="str">
        <f>IFERROR(__xludf.DUMMYFUNCTION("""COMPUTED_VALUE"""),"OSIM MARIAM")</f>
        <v>OSIM MARIAM</v>
      </c>
      <c r="D10" s="96" t="str">
        <f>IFERROR(__xludf.DUMMYFUNCTION("""COMPUTED_VALUE"""),"OSIM MARIAM1")</f>
        <v>OSIM MARIAM1</v>
      </c>
      <c r="E10" s="96"/>
      <c r="F10" s="96"/>
      <c r="G10" s="96"/>
      <c r="H10" s="96"/>
      <c r="I10" s="96"/>
      <c r="J10" s="96"/>
      <c r="K10" s="96">
        <f>IFERROR(__xludf.DUMMYFUNCTION("""COMPUTED_VALUE"""),400000.0)</f>
        <v>400000</v>
      </c>
      <c r="L10" s="99">
        <f>IFERROR(__xludf.DUMMYFUNCTION("""COMPUTED_VALUE"""),400000.0)</f>
        <v>400000</v>
      </c>
      <c r="M10" s="96"/>
      <c r="N10" s="96">
        <f>IFERROR(__xludf.DUMMYFUNCTION("""COMPUTED_VALUE"""),0.0)</f>
        <v>0</v>
      </c>
      <c r="O10" s="96">
        <f>IFERROR(__xludf.DUMMYFUNCTION("""COMPUTED_VALUE"""),0.0)</f>
        <v>0</v>
      </c>
      <c r="P10" s="96">
        <f>IFERROR(__xludf.DUMMYFUNCTION("""COMPUTED_VALUE"""),0.0)</f>
        <v>0</v>
      </c>
      <c r="Q10" s="129">
        <f>IFERROR(__xludf.DUMMYFUNCTION("""COMPUTED_VALUE"""),0.0)</f>
        <v>0</v>
      </c>
      <c r="R10" s="99"/>
      <c r="S10" s="99">
        <f>IFERROR(__xludf.DUMMYFUNCTION("""COMPUTED_VALUE"""),400000.0)</f>
        <v>400000</v>
      </c>
    </row>
    <row r="11">
      <c r="A11" s="96">
        <f>IFERROR(__xludf.DUMMYFUNCTION("""COMPUTED_VALUE"""),1.0)</f>
        <v>1</v>
      </c>
      <c r="B11" s="98">
        <f>IFERROR(__xludf.DUMMYFUNCTION("""COMPUTED_VALUE"""),43743.0)</f>
        <v>43743</v>
      </c>
      <c r="C11" s="96" t="str">
        <f>IFERROR(__xludf.DUMMYFUNCTION("""COMPUTED_VALUE"""),"ENYA HN")</f>
        <v>ENYA HN</v>
      </c>
      <c r="D11" s="96" t="str">
        <f>IFERROR(__xludf.DUMMYFUNCTION("""COMPUTED_VALUE"""),"ENYA HN1")</f>
        <v>ENYA HN1</v>
      </c>
      <c r="E11" s="96"/>
      <c r="F11" s="96"/>
      <c r="G11" s="96"/>
      <c r="H11" s="96"/>
      <c r="I11" s="96"/>
      <c r="J11" s="96"/>
      <c r="K11" s="96">
        <f>IFERROR(__xludf.DUMMYFUNCTION("""COMPUTED_VALUE"""),187000.0)</f>
        <v>187000</v>
      </c>
      <c r="L11" s="99">
        <f>IFERROR(__xludf.DUMMYFUNCTION("""COMPUTED_VALUE"""),187000.0)</f>
        <v>187000</v>
      </c>
      <c r="M11" s="96"/>
      <c r="N11" s="96">
        <f>IFERROR(__xludf.DUMMYFUNCTION("""COMPUTED_VALUE"""),0.0)</f>
        <v>0</v>
      </c>
      <c r="O11" s="96">
        <f>IFERROR(__xludf.DUMMYFUNCTION("""COMPUTED_VALUE"""),0.0)</f>
        <v>0</v>
      </c>
      <c r="P11" s="96">
        <f>IFERROR(__xludf.DUMMYFUNCTION("""COMPUTED_VALUE"""),0.0)</f>
        <v>0</v>
      </c>
      <c r="Q11" s="129">
        <f>IFERROR(__xludf.DUMMYFUNCTION("""COMPUTED_VALUE"""),0.0)</f>
        <v>0</v>
      </c>
      <c r="R11" s="99"/>
      <c r="S11" s="99">
        <f>IFERROR(__xludf.DUMMYFUNCTION("""COMPUTED_VALUE"""),187000.0)</f>
        <v>187000</v>
      </c>
    </row>
    <row r="12">
      <c r="A12" s="96">
        <f>IFERROR(__xludf.DUMMYFUNCTION("""COMPUTED_VALUE"""),1.0)</f>
        <v>1</v>
      </c>
      <c r="B12" s="98">
        <f>IFERROR(__xludf.DUMMYFUNCTION("""COMPUTED_VALUE"""),43743.0)</f>
        <v>43743</v>
      </c>
      <c r="C12" s="96" t="str">
        <f>IFERROR(__xludf.DUMMYFUNCTION("""COMPUTED_VALUE"""),"BOSURU  BOSURU")</f>
        <v>BOSURU  BOSURU</v>
      </c>
      <c r="D12" s="96" t="str">
        <f>IFERROR(__xludf.DUMMYFUNCTION("""COMPUTED_VALUE"""),"BOSURU  BOSURU1")</f>
        <v>BOSURU  BOSURU1</v>
      </c>
      <c r="E12" s="96"/>
      <c r="F12" s="96"/>
      <c r="G12" s="96"/>
      <c r="H12" s="96"/>
      <c r="I12" s="96"/>
      <c r="J12" s="96"/>
      <c r="K12" s="96">
        <f>IFERROR(__xludf.DUMMYFUNCTION("""COMPUTED_VALUE"""),1000000.0)</f>
        <v>1000000</v>
      </c>
      <c r="L12" s="99">
        <f>IFERROR(__xludf.DUMMYFUNCTION("""COMPUTED_VALUE"""),1000000.0)</f>
        <v>1000000</v>
      </c>
      <c r="M12" s="96"/>
      <c r="N12" s="96">
        <f>IFERROR(__xludf.DUMMYFUNCTION("""COMPUTED_VALUE"""),0.0)</f>
        <v>0</v>
      </c>
      <c r="O12" s="96">
        <f>IFERROR(__xludf.DUMMYFUNCTION("""COMPUTED_VALUE"""),0.0)</f>
        <v>0</v>
      </c>
      <c r="P12" s="96">
        <f>IFERROR(__xludf.DUMMYFUNCTION("""COMPUTED_VALUE"""),0.0)</f>
        <v>0</v>
      </c>
      <c r="Q12" s="129">
        <f>IFERROR(__xludf.DUMMYFUNCTION("""COMPUTED_VALUE"""),0.0)</f>
        <v>0</v>
      </c>
      <c r="R12" s="99"/>
      <c r="S12" s="99">
        <f>IFERROR(__xludf.DUMMYFUNCTION("""COMPUTED_VALUE"""),1000000.0)</f>
        <v>1000000</v>
      </c>
    </row>
    <row r="13">
      <c r="A13" s="96">
        <f>IFERROR(__xludf.DUMMYFUNCTION("""COMPUTED_VALUE"""),1.0)</f>
        <v>1</v>
      </c>
      <c r="B13" s="98">
        <f>IFERROR(__xludf.DUMMYFUNCTION("""COMPUTED_VALUE"""),43743.0)</f>
        <v>43743</v>
      </c>
      <c r="C13" s="96" t="str">
        <f>IFERROR(__xludf.DUMMYFUNCTION("""COMPUTED_VALUE"""),"ASOQUO SUNDAY")</f>
        <v>ASOQUO SUNDAY</v>
      </c>
      <c r="D13" s="96" t="str">
        <f>IFERROR(__xludf.DUMMYFUNCTION("""COMPUTED_VALUE"""),"ASOQUO SUNDAY1")</f>
        <v>ASOQUO SUNDAY1</v>
      </c>
      <c r="E13" s="96"/>
      <c r="F13" s="96"/>
      <c r="G13" s="96"/>
      <c r="H13" s="96"/>
      <c r="I13" s="96"/>
      <c r="J13" s="96"/>
      <c r="K13" s="96">
        <f>IFERROR(__xludf.DUMMYFUNCTION("""COMPUTED_VALUE"""),620000.0)</f>
        <v>620000</v>
      </c>
      <c r="L13" s="99">
        <f>IFERROR(__xludf.DUMMYFUNCTION("""COMPUTED_VALUE"""),620000.0)</f>
        <v>620000</v>
      </c>
      <c r="M13" s="96"/>
      <c r="N13" s="96">
        <f>IFERROR(__xludf.DUMMYFUNCTION("""COMPUTED_VALUE"""),0.0)</f>
        <v>0</v>
      </c>
      <c r="O13" s="96">
        <f>IFERROR(__xludf.DUMMYFUNCTION("""COMPUTED_VALUE"""),0.0)</f>
        <v>0</v>
      </c>
      <c r="P13" s="96">
        <f>IFERROR(__xludf.DUMMYFUNCTION("""COMPUTED_VALUE"""),0.0)</f>
        <v>0</v>
      </c>
      <c r="Q13" s="129">
        <f>IFERROR(__xludf.DUMMYFUNCTION("""COMPUTED_VALUE"""),0.0)</f>
        <v>0</v>
      </c>
      <c r="R13" s="99"/>
      <c r="S13" s="99">
        <f>IFERROR(__xludf.DUMMYFUNCTION("""COMPUTED_VALUE"""),620000.0)</f>
        <v>620000</v>
      </c>
    </row>
    <row r="14">
      <c r="A14" s="96">
        <f>IFERROR(__xludf.DUMMYFUNCTION("""COMPUTED_VALUE"""),1.0)</f>
        <v>1</v>
      </c>
      <c r="B14" s="98">
        <f>IFERROR(__xludf.DUMMYFUNCTION("""COMPUTED_VALUE"""),43743.0)</f>
        <v>43743</v>
      </c>
      <c r="C14" s="96" t="str">
        <f>IFERROR(__xludf.DUMMYFUNCTION("""COMPUTED_VALUE"""),"OTU KOKO KEIBO")</f>
        <v>OTU KOKO KEIBO</v>
      </c>
      <c r="D14" s="96" t="str">
        <f>IFERROR(__xludf.DUMMYFUNCTION("""COMPUTED_VALUE"""),"OTU KOKO KEIBO1")</f>
        <v>OTU KOKO KEIBO1</v>
      </c>
      <c r="E14" s="96"/>
      <c r="F14" s="96"/>
      <c r="G14" s="96"/>
      <c r="H14" s="96"/>
      <c r="I14" s="96"/>
      <c r="J14" s="96"/>
      <c r="K14" s="96">
        <f>IFERROR(__xludf.DUMMYFUNCTION("""COMPUTED_VALUE"""),2399925.0)</f>
        <v>2399925</v>
      </c>
      <c r="L14" s="99">
        <f>IFERROR(__xludf.DUMMYFUNCTION("""COMPUTED_VALUE"""),2399925.0)</f>
        <v>2399925</v>
      </c>
      <c r="M14" s="96"/>
      <c r="N14" s="96">
        <f>IFERROR(__xludf.DUMMYFUNCTION("""COMPUTED_VALUE"""),0.0)</f>
        <v>0</v>
      </c>
      <c r="O14" s="96">
        <f>IFERROR(__xludf.DUMMYFUNCTION("""COMPUTED_VALUE"""),0.0)</f>
        <v>0</v>
      </c>
      <c r="P14" s="96">
        <f>IFERROR(__xludf.DUMMYFUNCTION("""COMPUTED_VALUE"""),0.0)</f>
        <v>0</v>
      </c>
      <c r="Q14" s="129">
        <f>IFERROR(__xludf.DUMMYFUNCTION("""COMPUTED_VALUE"""),0.0)</f>
        <v>0</v>
      </c>
      <c r="R14" s="99"/>
      <c r="S14" s="99">
        <f>IFERROR(__xludf.DUMMYFUNCTION("""COMPUTED_VALUE"""),2399925.0)</f>
        <v>2399925</v>
      </c>
    </row>
    <row r="15">
      <c r="A15" s="96">
        <f>IFERROR(__xludf.DUMMYFUNCTION("""COMPUTED_VALUE"""),1.0)</f>
        <v>1</v>
      </c>
      <c r="B15" s="98">
        <f>IFERROR(__xludf.DUMMYFUNCTION("""COMPUTED_VALUE"""),43743.0)</f>
        <v>43743</v>
      </c>
      <c r="C15" s="96" t="str">
        <f>IFERROR(__xludf.DUMMYFUNCTION("""COMPUTED_VALUE"""),"AUGUSTINE IGBA")</f>
        <v>AUGUSTINE IGBA</v>
      </c>
      <c r="D15" s="96" t="str">
        <f>IFERROR(__xludf.DUMMYFUNCTION("""COMPUTED_VALUE"""),"AUGUSTINE IGBA1")</f>
        <v>AUGUSTINE IGBA1</v>
      </c>
      <c r="E15" s="96"/>
      <c r="F15" s="96"/>
      <c r="G15" s="96"/>
      <c r="H15" s="96"/>
      <c r="I15" s="96"/>
      <c r="J15" s="96"/>
      <c r="K15" s="96">
        <f>IFERROR(__xludf.DUMMYFUNCTION("""COMPUTED_VALUE"""),2.025962E7)</f>
        <v>20259620</v>
      </c>
      <c r="L15" s="99">
        <f>IFERROR(__xludf.DUMMYFUNCTION("""COMPUTED_VALUE"""),2.025962E7)</f>
        <v>20259620</v>
      </c>
      <c r="M15" s="96"/>
      <c r="N15" s="96">
        <f>IFERROR(__xludf.DUMMYFUNCTION("""COMPUTED_VALUE"""),0.0)</f>
        <v>0</v>
      </c>
      <c r="O15" s="96">
        <f>IFERROR(__xludf.DUMMYFUNCTION("""COMPUTED_VALUE"""),0.0)</f>
        <v>0</v>
      </c>
      <c r="P15" s="96">
        <f>IFERROR(__xludf.DUMMYFUNCTION("""COMPUTED_VALUE"""),0.0)</f>
        <v>0</v>
      </c>
      <c r="Q15" s="129">
        <f>IFERROR(__xludf.DUMMYFUNCTION("""COMPUTED_VALUE"""),0.0)</f>
        <v>0</v>
      </c>
      <c r="R15" s="99"/>
      <c r="S15" s="99">
        <f>IFERROR(__xludf.DUMMYFUNCTION("""COMPUTED_VALUE"""),2.025962E7)</f>
        <v>20259620</v>
      </c>
    </row>
    <row r="16">
      <c r="A16" s="96">
        <f>IFERROR(__xludf.DUMMYFUNCTION("""COMPUTED_VALUE"""),1.0)</f>
        <v>1</v>
      </c>
      <c r="B16" s="98">
        <f>IFERROR(__xludf.DUMMYFUNCTION("""COMPUTED_VALUE"""),43743.0)</f>
        <v>43743</v>
      </c>
      <c r="C16" s="96" t="str">
        <f>IFERROR(__xludf.DUMMYFUNCTION("""COMPUTED_VALUE"""),"PETER JAMES")</f>
        <v>PETER JAMES</v>
      </c>
      <c r="D16" s="96" t="str">
        <f>IFERROR(__xludf.DUMMYFUNCTION("""COMPUTED_VALUE"""),"PETER JAMES1")</f>
        <v>PETER JAMES1</v>
      </c>
      <c r="E16" s="96"/>
      <c r="F16" s="96"/>
      <c r="G16" s="96"/>
      <c r="H16" s="96"/>
      <c r="I16" s="96"/>
      <c r="J16" s="96"/>
      <c r="K16" s="96">
        <f>IFERROR(__xludf.DUMMYFUNCTION("""COMPUTED_VALUE"""),340094.0)</f>
        <v>340094</v>
      </c>
      <c r="L16" s="99">
        <f>IFERROR(__xludf.DUMMYFUNCTION("""COMPUTED_VALUE"""),340094.0)</f>
        <v>340094</v>
      </c>
      <c r="M16" s="96"/>
      <c r="N16" s="96">
        <f>IFERROR(__xludf.DUMMYFUNCTION("""COMPUTED_VALUE"""),0.0)</f>
        <v>0</v>
      </c>
      <c r="O16" s="96">
        <f>IFERROR(__xludf.DUMMYFUNCTION("""COMPUTED_VALUE"""),0.0)</f>
        <v>0</v>
      </c>
      <c r="P16" s="96">
        <f>IFERROR(__xludf.DUMMYFUNCTION("""COMPUTED_VALUE"""),0.0)</f>
        <v>0</v>
      </c>
      <c r="Q16" s="129">
        <f>IFERROR(__xludf.DUMMYFUNCTION("""COMPUTED_VALUE"""),0.0)</f>
        <v>0</v>
      </c>
      <c r="R16" s="99"/>
      <c r="S16" s="99">
        <f>IFERROR(__xludf.DUMMYFUNCTION("""COMPUTED_VALUE"""),340094.0)</f>
        <v>340094</v>
      </c>
    </row>
    <row r="17">
      <c r="A17" s="96">
        <f>IFERROR(__xludf.DUMMYFUNCTION("""COMPUTED_VALUE"""),1.0)</f>
        <v>1</v>
      </c>
      <c r="B17" s="98">
        <f>IFERROR(__xludf.DUMMYFUNCTION("""COMPUTED_VALUE"""),43743.0)</f>
        <v>43743</v>
      </c>
      <c r="C17" s="96" t="str">
        <f>IFERROR(__xludf.DUMMYFUNCTION("""COMPUTED_VALUE"""),"AYUK AYUK")</f>
        <v>AYUK AYUK</v>
      </c>
      <c r="D17" s="96" t="str">
        <f>IFERROR(__xludf.DUMMYFUNCTION("""COMPUTED_VALUE"""),"AYUK AYUK1")</f>
        <v>AYUK AYUK1</v>
      </c>
      <c r="E17" s="96"/>
      <c r="F17" s="96"/>
      <c r="G17" s="96"/>
      <c r="H17" s="96"/>
      <c r="I17" s="96"/>
      <c r="J17" s="96"/>
      <c r="K17" s="96">
        <f>IFERROR(__xludf.DUMMYFUNCTION("""COMPUTED_VALUE"""),120000.0)</f>
        <v>120000</v>
      </c>
      <c r="L17" s="99">
        <f>IFERROR(__xludf.DUMMYFUNCTION("""COMPUTED_VALUE"""),120000.0)</f>
        <v>120000</v>
      </c>
      <c r="M17" s="96"/>
      <c r="N17" s="96">
        <f>IFERROR(__xludf.DUMMYFUNCTION("""COMPUTED_VALUE"""),0.0)</f>
        <v>0</v>
      </c>
      <c r="O17" s="96">
        <f>IFERROR(__xludf.DUMMYFUNCTION("""COMPUTED_VALUE"""),0.0)</f>
        <v>0</v>
      </c>
      <c r="P17" s="96">
        <f>IFERROR(__xludf.DUMMYFUNCTION("""COMPUTED_VALUE"""),0.0)</f>
        <v>0</v>
      </c>
      <c r="Q17" s="129">
        <f>IFERROR(__xludf.DUMMYFUNCTION("""COMPUTED_VALUE"""),0.0)</f>
        <v>0</v>
      </c>
      <c r="R17" s="99"/>
      <c r="S17" s="99">
        <f>IFERROR(__xludf.DUMMYFUNCTION("""COMPUTED_VALUE"""),120000.0)</f>
        <v>120000</v>
      </c>
    </row>
    <row r="18">
      <c r="A18" s="96">
        <f>IFERROR(__xludf.DUMMYFUNCTION("""COMPUTED_VALUE"""),1.0)</f>
        <v>1</v>
      </c>
      <c r="B18" s="98">
        <f>IFERROR(__xludf.DUMMYFUNCTION("""COMPUTED_VALUE"""),43743.0)</f>
        <v>43743</v>
      </c>
      <c r="C18" s="96" t="str">
        <f>IFERROR(__xludf.DUMMYFUNCTION("""COMPUTED_VALUE""")," MAXWELL AGRO")</f>
        <v> MAXWELL AGRO</v>
      </c>
      <c r="D18" s="96" t="str">
        <f>IFERROR(__xludf.DUMMYFUNCTION("""COMPUTED_VALUE""")," MAXWELL AGRO1")</f>
        <v> MAXWELL AGRO1</v>
      </c>
      <c r="E18" s="96"/>
      <c r="F18" s="96"/>
      <c r="G18" s="96"/>
      <c r="H18" s="96"/>
      <c r="I18" s="96"/>
      <c r="J18" s="96"/>
      <c r="K18" s="96">
        <f>IFERROR(__xludf.DUMMYFUNCTION("""COMPUTED_VALUE"""),300000.0)</f>
        <v>300000</v>
      </c>
      <c r="L18" s="99">
        <f>IFERROR(__xludf.DUMMYFUNCTION("""COMPUTED_VALUE"""),300000.0)</f>
        <v>300000</v>
      </c>
      <c r="M18" s="96"/>
      <c r="N18" s="96">
        <f>IFERROR(__xludf.DUMMYFUNCTION("""COMPUTED_VALUE"""),0.0)</f>
        <v>0</v>
      </c>
      <c r="O18" s="96">
        <f>IFERROR(__xludf.DUMMYFUNCTION("""COMPUTED_VALUE"""),0.0)</f>
        <v>0</v>
      </c>
      <c r="P18" s="96">
        <f>IFERROR(__xludf.DUMMYFUNCTION("""COMPUTED_VALUE"""),0.0)</f>
        <v>0</v>
      </c>
      <c r="Q18" s="129">
        <f>IFERROR(__xludf.DUMMYFUNCTION("""COMPUTED_VALUE"""),0.0)</f>
        <v>0</v>
      </c>
      <c r="R18" s="99"/>
      <c r="S18" s="99">
        <f>IFERROR(__xludf.DUMMYFUNCTION("""COMPUTED_VALUE"""),300000.0)</f>
        <v>300000</v>
      </c>
    </row>
    <row r="19">
      <c r="A19" s="96">
        <f>IFERROR(__xludf.DUMMYFUNCTION("""COMPUTED_VALUE"""),1.0)</f>
        <v>1</v>
      </c>
      <c r="B19" s="98">
        <f>IFERROR(__xludf.DUMMYFUNCTION("""COMPUTED_VALUE"""),43743.0)</f>
        <v>43743</v>
      </c>
      <c r="C19" s="96" t="str">
        <f>IFERROR(__xludf.DUMMYFUNCTION("""COMPUTED_VALUE"""),"RAPHEAL OKON")</f>
        <v>RAPHEAL OKON</v>
      </c>
      <c r="D19" s="96" t="str">
        <f>IFERROR(__xludf.DUMMYFUNCTION("""COMPUTED_VALUE"""),"RAPHEAL OKON1")</f>
        <v>RAPHEAL OKON1</v>
      </c>
      <c r="E19" s="96"/>
      <c r="F19" s="96"/>
      <c r="G19" s="96"/>
      <c r="H19" s="96"/>
      <c r="I19" s="96"/>
      <c r="J19" s="96"/>
      <c r="K19" s="96">
        <f>IFERROR(__xludf.DUMMYFUNCTION("""COMPUTED_VALUE"""),200000.0)</f>
        <v>200000</v>
      </c>
      <c r="L19" s="99">
        <f>IFERROR(__xludf.DUMMYFUNCTION("""COMPUTED_VALUE"""),200000.0)</f>
        <v>200000</v>
      </c>
      <c r="M19" s="96"/>
      <c r="N19" s="96">
        <f>IFERROR(__xludf.DUMMYFUNCTION("""COMPUTED_VALUE"""),0.0)</f>
        <v>0</v>
      </c>
      <c r="O19" s="96">
        <f>IFERROR(__xludf.DUMMYFUNCTION("""COMPUTED_VALUE"""),0.0)</f>
        <v>0</v>
      </c>
      <c r="P19" s="96">
        <f>IFERROR(__xludf.DUMMYFUNCTION("""COMPUTED_VALUE"""),0.0)</f>
        <v>0</v>
      </c>
      <c r="Q19" s="129">
        <f>IFERROR(__xludf.DUMMYFUNCTION("""COMPUTED_VALUE"""),0.0)</f>
        <v>0</v>
      </c>
      <c r="R19" s="99"/>
      <c r="S19" s="99">
        <f>IFERROR(__xludf.DUMMYFUNCTION("""COMPUTED_VALUE"""),200000.0)</f>
        <v>200000</v>
      </c>
    </row>
    <row r="20">
      <c r="A20" s="96">
        <f>IFERROR(__xludf.DUMMYFUNCTION("""COMPUTED_VALUE"""),1.0)</f>
        <v>1</v>
      </c>
      <c r="B20" s="98">
        <f>IFERROR(__xludf.DUMMYFUNCTION("""COMPUTED_VALUE"""),43743.0)</f>
        <v>43743</v>
      </c>
      <c r="C20" s="96" t="str">
        <f>IFERROR(__xludf.DUMMYFUNCTION("""COMPUTED_VALUE"""),"EKABA ETTA")</f>
        <v>EKABA ETTA</v>
      </c>
      <c r="D20" s="96" t="str">
        <f>IFERROR(__xludf.DUMMYFUNCTION("""COMPUTED_VALUE"""),"EKABA ETTA1")</f>
        <v>EKABA ETTA1</v>
      </c>
      <c r="E20" s="96"/>
      <c r="F20" s="96"/>
      <c r="G20" s="96"/>
      <c r="H20" s="96"/>
      <c r="I20" s="96"/>
      <c r="J20" s="96"/>
      <c r="K20" s="96">
        <f>IFERROR(__xludf.DUMMYFUNCTION("""COMPUTED_VALUE"""),1200000.0)</f>
        <v>1200000</v>
      </c>
      <c r="L20" s="99">
        <f>IFERROR(__xludf.DUMMYFUNCTION("""COMPUTED_VALUE"""),1200000.0)</f>
        <v>1200000</v>
      </c>
      <c r="M20" s="96"/>
      <c r="N20" s="96">
        <f>IFERROR(__xludf.DUMMYFUNCTION("""COMPUTED_VALUE"""),0.0)</f>
        <v>0</v>
      </c>
      <c r="O20" s="96">
        <f>IFERROR(__xludf.DUMMYFUNCTION("""COMPUTED_VALUE"""),0.0)</f>
        <v>0</v>
      </c>
      <c r="P20" s="96">
        <f>IFERROR(__xludf.DUMMYFUNCTION("""COMPUTED_VALUE"""),0.0)</f>
        <v>0</v>
      </c>
      <c r="Q20" s="129">
        <f>IFERROR(__xludf.DUMMYFUNCTION("""COMPUTED_VALUE"""),0.0)</f>
        <v>0</v>
      </c>
      <c r="R20" s="99"/>
      <c r="S20" s="99">
        <f>IFERROR(__xludf.DUMMYFUNCTION("""COMPUTED_VALUE"""),1200000.0)</f>
        <v>1200000</v>
      </c>
    </row>
    <row r="21">
      <c r="A21" s="96">
        <f>IFERROR(__xludf.DUMMYFUNCTION("""COMPUTED_VALUE"""),1.0)</f>
        <v>1</v>
      </c>
      <c r="B21" s="98">
        <f>IFERROR(__xludf.DUMMYFUNCTION("""COMPUTED_VALUE"""),43743.0)</f>
        <v>43743</v>
      </c>
      <c r="C21" s="96" t="str">
        <f>IFERROR(__xludf.DUMMYFUNCTION("""COMPUTED_VALUE"""),"LAWERENCE ETTA OGAR")</f>
        <v>LAWERENCE ETTA OGAR</v>
      </c>
      <c r="D21" s="96" t="str">
        <f>IFERROR(__xludf.DUMMYFUNCTION("""COMPUTED_VALUE"""),"LAWERENCE ETTA OGAR1")</f>
        <v>LAWERENCE ETTA OGAR1</v>
      </c>
      <c r="E21" s="96"/>
      <c r="F21" s="96"/>
      <c r="G21" s="96"/>
      <c r="H21" s="96"/>
      <c r="I21" s="96"/>
      <c r="J21" s="96"/>
      <c r="K21" s="96">
        <f>IFERROR(__xludf.DUMMYFUNCTION("""COMPUTED_VALUE"""),323719.0)</f>
        <v>323719</v>
      </c>
      <c r="L21" s="99">
        <f>IFERROR(__xludf.DUMMYFUNCTION("""COMPUTED_VALUE"""),323719.0)</f>
        <v>323719</v>
      </c>
      <c r="M21" s="96"/>
      <c r="N21" s="96">
        <f>IFERROR(__xludf.DUMMYFUNCTION("""COMPUTED_VALUE"""),0.0)</f>
        <v>0</v>
      </c>
      <c r="O21" s="96">
        <f>IFERROR(__xludf.DUMMYFUNCTION("""COMPUTED_VALUE"""),0.0)</f>
        <v>0</v>
      </c>
      <c r="P21" s="96">
        <f>IFERROR(__xludf.DUMMYFUNCTION("""COMPUTED_VALUE"""),0.0)</f>
        <v>0</v>
      </c>
      <c r="Q21" s="129">
        <f>IFERROR(__xludf.DUMMYFUNCTION("""COMPUTED_VALUE"""),0.0)</f>
        <v>0</v>
      </c>
      <c r="R21" s="99"/>
      <c r="S21" s="99">
        <f>IFERROR(__xludf.DUMMYFUNCTION("""COMPUTED_VALUE"""),323719.0)</f>
        <v>323719</v>
      </c>
    </row>
    <row r="22">
      <c r="A22" s="96">
        <f>IFERROR(__xludf.DUMMYFUNCTION("""COMPUTED_VALUE"""),1.0)</f>
        <v>1</v>
      </c>
      <c r="B22" s="98">
        <f>IFERROR(__xludf.DUMMYFUNCTION("""COMPUTED_VALUE"""),43743.0)</f>
        <v>43743</v>
      </c>
      <c r="C22" s="96" t="str">
        <f>IFERROR(__xludf.DUMMYFUNCTION("""COMPUTED_VALUE"""),"LYDIA HNSON ")</f>
        <v>LYDIA HNSON </v>
      </c>
      <c r="D22" s="96" t="str">
        <f>IFERROR(__xludf.DUMMYFUNCTION("""COMPUTED_VALUE"""),"LYDIA HNSON 1")</f>
        <v>LYDIA HNSON 1</v>
      </c>
      <c r="E22" s="96"/>
      <c r="F22" s="96"/>
      <c r="G22" s="96"/>
      <c r="H22" s="96"/>
      <c r="I22" s="96"/>
      <c r="J22" s="96"/>
      <c r="K22" s="96">
        <f>IFERROR(__xludf.DUMMYFUNCTION("""COMPUTED_VALUE"""),2600000.0)</f>
        <v>2600000</v>
      </c>
      <c r="L22" s="99">
        <f>IFERROR(__xludf.DUMMYFUNCTION("""COMPUTED_VALUE"""),2600000.0)</f>
        <v>2600000</v>
      </c>
      <c r="M22" s="96"/>
      <c r="N22" s="96">
        <f>IFERROR(__xludf.DUMMYFUNCTION("""COMPUTED_VALUE"""),0.0)</f>
        <v>0</v>
      </c>
      <c r="O22" s="96">
        <f>IFERROR(__xludf.DUMMYFUNCTION("""COMPUTED_VALUE"""),0.0)</f>
        <v>0</v>
      </c>
      <c r="P22" s="96">
        <f>IFERROR(__xludf.DUMMYFUNCTION("""COMPUTED_VALUE"""),0.0)</f>
        <v>0</v>
      </c>
      <c r="Q22" s="129">
        <f>IFERROR(__xludf.DUMMYFUNCTION("""COMPUTED_VALUE"""),0.0)</f>
        <v>0</v>
      </c>
      <c r="R22" s="99"/>
      <c r="S22" s="99">
        <f>IFERROR(__xludf.DUMMYFUNCTION("""COMPUTED_VALUE"""),2600000.0)</f>
        <v>2600000</v>
      </c>
    </row>
    <row r="23">
      <c r="A23" s="96">
        <f>IFERROR(__xludf.DUMMYFUNCTION("""COMPUTED_VALUE"""),1.0)</f>
        <v>1</v>
      </c>
      <c r="B23" s="98">
        <f>IFERROR(__xludf.DUMMYFUNCTION("""COMPUTED_VALUE"""),43743.0)</f>
        <v>43743</v>
      </c>
      <c r="C23" s="96" t="str">
        <f>IFERROR(__xludf.DUMMYFUNCTION("""COMPUTED_VALUE"""),"NAOMI")</f>
        <v>NAOMI</v>
      </c>
      <c r="D23" s="96" t="str">
        <f>IFERROR(__xludf.DUMMYFUNCTION("""COMPUTED_VALUE"""),"NAOMI1")</f>
        <v>NAOMI1</v>
      </c>
      <c r="E23" s="96"/>
      <c r="F23" s="96"/>
      <c r="G23" s="96"/>
      <c r="H23" s="96"/>
      <c r="I23" s="96"/>
      <c r="J23" s="96"/>
      <c r="K23" s="96">
        <f>IFERROR(__xludf.DUMMYFUNCTION("""COMPUTED_VALUE"""),1.3090265E7)</f>
        <v>13090265</v>
      </c>
      <c r="L23" s="99">
        <f>IFERROR(__xludf.DUMMYFUNCTION("""COMPUTED_VALUE"""),1.3090265E7)</f>
        <v>13090265</v>
      </c>
      <c r="M23" s="96"/>
      <c r="N23" s="96">
        <f>IFERROR(__xludf.DUMMYFUNCTION("""COMPUTED_VALUE"""),0.0)</f>
        <v>0</v>
      </c>
      <c r="O23" s="96">
        <f>IFERROR(__xludf.DUMMYFUNCTION("""COMPUTED_VALUE"""),0.0)</f>
        <v>0</v>
      </c>
      <c r="P23" s="96">
        <f>IFERROR(__xludf.DUMMYFUNCTION("""COMPUTED_VALUE"""),0.0)</f>
        <v>0</v>
      </c>
      <c r="Q23" s="129">
        <f>IFERROR(__xludf.DUMMYFUNCTION("""COMPUTED_VALUE"""),0.0)</f>
        <v>0</v>
      </c>
      <c r="R23" s="99"/>
      <c r="S23" s="99">
        <f>IFERROR(__xludf.DUMMYFUNCTION("""COMPUTED_VALUE"""),1.3090265E7)</f>
        <v>13090265</v>
      </c>
    </row>
    <row r="24">
      <c r="A24" s="96">
        <f>IFERROR(__xludf.DUMMYFUNCTION("""COMPUTED_VALUE"""),1.0)</f>
        <v>1</v>
      </c>
      <c r="B24" s="98">
        <f>IFERROR(__xludf.DUMMYFUNCTION("""COMPUTED_VALUE"""),43743.0)</f>
        <v>43743</v>
      </c>
      <c r="C24" s="96" t="str">
        <f>IFERROR(__xludf.DUMMYFUNCTION("""COMPUTED_VALUE"""),"MAXWELL AGRO OBI")</f>
        <v>MAXWELL AGRO OBI</v>
      </c>
      <c r="D24" s="96" t="str">
        <f>IFERROR(__xludf.DUMMYFUNCTION("""COMPUTED_VALUE"""),"MAXWELL AGRO OBI1")</f>
        <v>MAXWELL AGRO OBI1</v>
      </c>
      <c r="E24" s="96"/>
      <c r="F24" s="96"/>
      <c r="G24" s="96"/>
      <c r="H24" s="96"/>
      <c r="I24" s="96"/>
      <c r="J24" s="96"/>
      <c r="K24" s="96">
        <f>IFERROR(__xludf.DUMMYFUNCTION("""COMPUTED_VALUE"""),500000.0)</f>
        <v>500000</v>
      </c>
      <c r="L24" s="99">
        <f>IFERROR(__xludf.DUMMYFUNCTION("""COMPUTED_VALUE"""),500000.0)</f>
        <v>500000</v>
      </c>
      <c r="M24" s="96"/>
      <c r="N24" s="96">
        <f>IFERROR(__xludf.DUMMYFUNCTION("""COMPUTED_VALUE"""),0.0)</f>
        <v>0</v>
      </c>
      <c r="O24" s="96">
        <f>IFERROR(__xludf.DUMMYFUNCTION("""COMPUTED_VALUE"""),0.0)</f>
        <v>0</v>
      </c>
      <c r="P24" s="96">
        <f>IFERROR(__xludf.DUMMYFUNCTION("""COMPUTED_VALUE"""),0.0)</f>
        <v>0</v>
      </c>
      <c r="Q24" s="129">
        <f>IFERROR(__xludf.DUMMYFUNCTION("""COMPUTED_VALUE"""),0.0)</f>
        <v>0</v>
      </c>
      <c r="R24" s="99"/>
      <c r="S24" s="99">
        <f>IFERROR(__xludf.DUMMYFUNCTION("""COMPUTED_VALUE"""),500000.0)</f>
        <v>500000</v>
      </c>
    </row>
    <row r="25">
      <c r="A25" s="96">
        <f>IFERROR(__xludf.DUMMYFUNCTION("""COMPUTED_VALUE"""),1.0)</f>
        <v>1</v>
      </c>
      <c r="B25" s="98">
        <f>IFERROR(__xludf.DUMMYFUNCTION("""COMPUTED_VALUE"""),43743.0)</f>
        <v>43743</v>
      </c>
      <c r="C25" s="96" t="str">
        <f>IFERROR(__xludf.DUMMYFUNCTION("""COMPUTED_VALUE"""),"R.  MAXWELL AGRO")</f>
        <v>R.  MAXWELL AGRO</v>
      </c>
      <c r="D25" s="96" t="str">
        <f>IFERROR(__xludf.DUMMYFUNCTION("""COMPUTED_VALUE"""),"R.  MAXWELL AGRO1")</f>
        <v>R.  MAXWELL AGRO1</v>
      </c>
      <c r="E25" s="96"/>
      <c r="F25" s="96"/>
      <c r="G25" s="96"/>
      <c r="H25" s="96"/>
      <c r="I25" s="96"/>
      <c r="J25" s="96"/>
      <c r="K25" s="96">
        <f>IFERROR(__xludf.DUMMYFUNCTION("""COMPUTED_VALUE"""),840000.0)</f>
        <v>840000</v>
      </c>
      <c r="L25" s="99">
        <f>IFERROR(__xludf.DUMMYFUNCTION("""COMPUTED_VALUE"""),840000.0)</f>
        <v>840000</v>
      </c>
      <c r="M25" s="96"/>
      <c r="N25" s="96">
        <f>IFERROR(__xludf.DUMMYFUNCTION("""COMPUTED_VALUE"""),0.0)</f>
        <v>0</v>
      </c>
      <c r="O25" s="96">
        <f>IFERROR(__xludf.DUMMYFUNCTION("""COMPUTED_VALUE"""),0.0)</f>
        <v>0</v>
      </c>
      <c r="P25" s="96">
        <f>IFERROR(__xludf.DUMMYFUNCTION("""COMPUTED_VALUE"""),0.0)</f>
        <v>0</v>
      </c>
      <c r="Q25" s="129">
        <f>IFERROR(__xludf.DUMMYFUNCTION("""COMPUTED_VALUE"""),0.0)</f>
        <v>0</v>
      </c>
      <c r="R25" s="99"/>
      <c r="S25" s="99">
        <f>IFERROR(__xludf.DUMMYFUNCTION("""COMPUTED_VALUE"""),840000.0)</f>
        <v>840000</v>
      </c>
    </row>
    <row r="26">
      <c r="A26" s="96">
        <f>IFERROR(__xludf.DUMMYFUNCTION("""COMPUTED_VALUE"""),1.0)</f>
        <v>1</v>
      </c>
      <c r="B26" s="98">
        <f>IFERROR(__xludf.DUMMYFUNCTION("""COMPUTED_VALUE"""),43743.0)</f>
        <v>43743</v>
      </c>
      <c r="C26" s="96" t="str">
        <f>IFERROR(__xludf.DUMMYFUNCTION("""COMPUTED_VALUE"""),"ABANG. BEN OLUM")</f>
        <v>ABANG. BEN OLUM</v>
      </c>
      <c r="D26" s="96" t="str">
        <f>IFERROR(__xludf.DUMMYFUNCTION("""COMPUTED_VALUE"""),"ABANG. BEN OLUM1")</f>
        <v>ABANG. BEN OLUM1</v>
      </c>
      <c r="E26" s="96"/>
      <c r="F26" s="96"/>
      <c r="G26" s="96"/>
      <c r="H26" s="96"/>
      <c r="I26" s="96"/>
      <c r="J26" s="96"/>
      <c r="K26" s="96">
        <f>IFERROR(__xludf.DUMMYFUNCTION("""COMPUTED_VALUE"""),920000.0)</f>
        <v>920000</v>
      </c>
      <c r="L26" s="99">
        <f>IFERROR(__xludf.DUMMYFUNCTION("""COMPUTED_VALUE"""),920000.0)</f>
        <v>920000</v>
      </c>
      <c r="M26" s="96"/>
      <c r="N26" s="96">
        <f>IFERROR(__xludf.DUMMYFUNCTION("""COMPUTED_VALUE"""),0.0)</f>
        <v>0</v>
      </c>
      <c r="O26" s="96">
        <f>IFERROR(__xludf.DUMMYFUNCTION("""COMPUTED_VALUE"""),0.0)</f>
        <v>0</v>
      </c>
      <c r="P26" s="96">
        <f>IFERROR(__xludf.DUMMYFUNCTION("""COMPUTED_VALUE"""),0.0)</f>
        <v>0</v>
      </c>
      <c r="Q26" s="129">
        <f>IFERROR(__xludf.DUMMYFUNCTION("""COMPUTED_VALUE"""),0.0)</f>
        <v>0</v>
      </c>
      <c r="R26" s="99"/>
      <c r="S26" s="99">
        <f>IFERROR(__xludf.DUMMYFUNCTION("""COMPUTED_VALUE"""),920000.0)</f>
        <v>920000</v>
      </c>
    </row>
    <row r="27">
      <c r="A27" s="96">
        <f>IFERROR(__xludf.DUMMYFUNCTION("""COMPUTED_VALUE"""),1.0)</f>
        <v>1</v>
      </c>
      <c r="B27" s="98">
        <f>IFERROR(__xludf.DUMMYFUNCTION("""COMPUTED_VALUE"""),43743.0)</f>
        <v>43743</v>
      </c>
      <c r="C27" s="96" t="str">
        <f>IFERROR(__xludf.DUMMYFUNCTION("""COMPUTED_VALUE"""),"NYIAM FREDERICK JUSTINE")</f>
        <v>NYIAM FREDERICK JUSTINE</v>
      </c>
      <c r="D27" s="96" t="str">
        <f>IFERROR(__xludf.DUMMYFUNCTION("""COMPUTED_VALUE"""),"NYIAM FREDERICK JUSTINE1")</f>
        <v>NYIAM FREDERICK JUSTINE1</v>
      </c>
      <c r="E27" s="96"/>
      <c r="F27" s="96"/>
      <c r="G27" s="96"/>
      <c r="H27" s="96"/>
      <c r="I27" s="96"/>
      <c r="J27" s="96"/>
      <c r="K27" s="96">
        <f>IFERROR(__xludf.DUMMYFUNCTION("""COMPUTED_VALUE"""),400000.0)</f>
        <v>400000</v>
      </c>
      <c r="L27" s="99">
        <f>IFERROR(__xludf.DUMMYFUNCTION("""COMPUTED_VALUE"""),400000.0)</f>
        <v>400000</v>
      </c>
      <c r="M27" s="96"/>
      <c r="N27" s="96">
        <f>IFERROR(__xludf.DUMMYFUNCTION("""COMPUTED_VALUE"""),0.0)</f>
        <v>0</v>
      </c>
      <c r="O27" s="96">
        <f>IFERROR(__xludf.DUMMYFUNCTION("""COMPUTED_VALUE"""),0.0)</f>
        <v>0</v>
      </c>
      <c r="P27" s="96">
        <f>IFERROR(__xludf.DUMMYFUNCTION("""COMPUTED_VALUE"""),0.0)</f>
        <v>0</v>
      </c>
      <c r="Q27" s="129">
        <f>IFERROR(__xludf.DUMMYFUNCTION("""COMPUTED_VALUE"""),0.0)</f>
        <v>0</v>
      </c>
      <c r="R27" s="99"/>
      <c r="S27" s="99">
        <f>IFERROR(__xludf.DUMMYFUNCTION("""COMPUTED_VALUE"""),400000.0)</f>
        <v>400000</v>
      </c>
    </row>
    <row r="28">
      <c r="A28" s="96">
        <f>IFERROR(__xludf.DUMMYFUNCTION("""COMPUTED_VALUE"""),1.0)</f>
        <v>1</v>
      </c>
      <c r="B28" s="98">
        <f>IFERROR(__xludf.DUMMYFUNCTION("""COMPUTED_VALUE"""),43743.0)</f>
        <v>43743</v>
      </c>
      <c r="C28" s="96" t="str">
        <f>IFERROR(__xludf.DUMMYFUNCTION("""COMPUTED_VALUE"""),"RI SAMP")</f>
        <v>RI SAMP</v>
      </c>
      <c r="D28" s="96" t="str">
        <f>IFERROR(__xludf.DUMMYFUNCTION("""COMPUTED_VALUE"""),"RI SAMP1")</f>
        <v>RI SAMP1</v>
      </c>
      <c r="E28" s="96"/>
      <c r="F28" s="96"/>
      <c r="G28" s="96"/>
      <c r="H28" s="96"/>
      <c r="I28" s="96"/>
      <c r="J28" s="96"/>
      <c r="K28" s="96">
        <f>IFERROR(__xludf.DUMMYFUNCTION("""COMPUTED_VALUE"""),1000000.0)</f>
        <v>1000000</v>
      </c>
      <c r="L28" s="99">
        <f>IFERROR(__xludf.DUMMYFUNCTION("""COMPUTED_VALUE"""),1000000.0)</f>
        <v>1000000</v>
      </c>
      <c r="M28" s="96"/>
      <c r="N28" s="96">
        <f>IFERROR(__xludf.DUMMYFUNCTION("""COMPUTED_VALUE"""),0.0)</f>
        <v>0</v>
      </c>
      <c r="O28" s="96">
        <f>IFERROR(__xludf.DUMMYFUNCTION("""COMPUTED_VALUE"""),0.0)</f>
        <v>0</v>
      </c>
      <c r="P28" s="96">
        <f>IFERROR(__xludf.DUMMYFUNCTION("""COMPUTED_VALUE"""),0.0)</f>
        <v>0</v>
      </c>
      <c r="Q28" s="129">
        <f>IFERROR(__xludf.DUMMYFUNCTION("""COMPUTED_VALUE"""),0.0)</f>
        <v>0</v>
      </c>
      <c r="R28" s="99"/>
      <c r="S28" s="99">
        <f>IFERROR(__xludf.DUMMYFUNCTION("""COMPUTED_VALUE"""),1000000.0)</f>
        <v>1000000</v>
      </c>
    </row>
    <row r="29">
      <c r="A29" s="96">
        <f>IFERROR(__xludf.DUMMYFUNCTION("""COMPUTED_VALUE"""),1.0)</f>
        <v>1</v>
      </c>
      <c r="B29" s="98">
        <f>IFERROR(__xludf.DUMMYFUNCTION("""COMPUTED_VALUE"""),43743.0)</f>
        <v>43743</v>
      </c>
      <c r="C29" s="96" t="str">
        <f>IFERROR(__xludf.DUMMYFUNCTION("""COMPUTED_VALUE"""),"REMMY BODES")</f>
        <v>REMMY BODES</v>
      </c>
      <c r="D29" s="96" t="str">
        <f>IFERROR(__xludf.DUMMYFUNCTION("""COMPUTED_VALUE"""),"REMMY BODES1")</f>
        <v>REMMY BODES1</v>
      </c>
      <c r="E29" s="96"/>
      <c r="F29" s="96"/>
      <c r="G29" s="96"/>
      <c r="H29" s="96"/>
      <c r="I29" s="96"/>
      <c r="J29" s="96"/>
      <c r="K29" s="96">
        <f>IFERROR(__xludf.DUMMYFUNCTION("""COMPUTED_VALUE"""),510000.0)</f>
        <v>510000</v>
      </c>
      <c r="L29" s="99">
        <f>IFERROR(__xludf.DUMMYFUNCTION("""COMPUTED_VALUE"""),510000.0)</f>
        <v>510000</v>
      </c>
      <c r="M29" s="96"/>
      <c r="N29" s="96">
        <f>IFERROR(__xludf.DUMMYFUNCTION("""COMPUTED_VALUE"""),0.0)</f>
        <v>0</v>
      </c>
      <c r="O29" s="96">
        <f>IFERROR(__xludf.DUMMYFUNCTION("""COMPUTED_VALUE"""),0.0)</f>
        <v>0</v>
      </c>
      <c r="P29" s="96">
        <f>IFERROR(__xludf.DUMMYFUNCTION("""COMPUTED_VALUE"""),0.0)</f>
        <v>0</v>
      </c>
      <c r="Q29" s="129">
        <f>IFERROR(__xludf.DUMMYFUNCTION("""COMPUTED_VALUE"""),0.0)</f>
        <v>0</v>
      </c>
      <c r="R29" s="99"/>
      <c r="S29" s="99">
        <f>IFERROR(__xludf.DUMMYFUNCTION("""COMPUTED_VALUE"""),510000.0)</f>
        <v>510000</v>
      </c>
    </row>
    <row r="30">
      <c r="A30" s="96">
        <f>IFERROR(__xludf.DUMMYFUNCTION("""COMPUTED_VALUE"""),1.0)</f>
        <v>1</v>
      </c>
      <c r="B30" s="98">
        <f>IFERROR(__xludf.DUMMYFUNCTION("""COMPUTED_VALUE"""),43743.0)</f>
        <v>43743</v>
      </c>
      <c r="C30" s="96" t="str">
        <f>IFERROR(__xludf.DUMMYFUNCTION("""COMPUTED_VALUE"""),"ANDRDEW GREAT")</f>
        <v>ANDRDEW GREAT</v>
      </c>
      <c r="D30" s="96" t="str">
        <f>IFERROR(__xludf.DUMMYFUNCTION("""COMPUTED_VALUE"""),"ANDRDEW GREAT1")</f>
        <v>ANDRDEW GREAT1</v>
      </c>
      <c r="E30" s="96"/>
      <c r="F30" s="96"/>
      <c r="G30" s="96"/>
      <c r="H30" s="96"/>
      <c r="I30" s="96"/>
      <c r="J30" s="96"/>
      <c r="K30" s="96">
        <f>IFERROR(__xludf.DUMMYFUNCTION("""COMPUTED_VALUE"""),1517570.0)</f>
        <v>1517570</v>
      </c>
      <c r="L30" s="99">
        <f>IFERROR(__xludf.DUMMYFUNCTION("""COMPUTED_VALUE"""),1517570.0)</f>
        <v>1517570</v>
      </c>
      <c r="M30" s="96"/>
      <c r="N30" s="96">
        <f>IFERROR(__xludf.DUMMYFUNCTION("""COMPUTED_VALUE"""),0.0)</f>
        <v>0</v>
      </c>
      <c r="O30" s="96">
        <f>IFERROR(__xludf.DUMMYFUNCTION("""COMPUTED_VALUE"""),0.0)</f>
        <v>0</v>
      </c>
      <c r="P30" s="96">
        <f>IFERROR(__xludf.DUMMYFUNCTION("""COMPUTED_VALUE"""),0.0)</f>
        <v>0</v>
      </c>
      <c r="Q30" s="129">
        <f>IFERROR(__xludf.DUMMYFUNCTION("""COMPUTED_VALUE"""),0.0)</f>
        <v>0</v>
      </c>
      <c r="R30" s="99"/>
      <c r="S30" s="99">
        <f>IFERROR(__xludf.DUMMYFUNCTION("""COMPUTED_VALUE"""),1517570.0)</f>
        <v>1517570</v>
      </c>
    </row>
    <row r="31">
      <c r="A31" s="96">
        <f>IFERROR(__xludf.DUMMYFUNCTION("""COMPUTED_VALUE"""),1.0)</f>
        <v>1</v>
      </c>
      <c r="B31" s="98">
        <f>IFERROR(__xludf.DUMMYFUNCTION("""COMPUTED_VALUE"""),43743.0)</f>
        <v>43743</v>
      </c>
      <c r="C31" s="96" t="str">
        <f>IFERROR(__xludf.DUMMYFUNCTION("""COMPUTED_VALUE"""),"NDOMA BODE I.D")</f>
        <v>NDOMA BODE I.D</v>
      </c>
      <c r="D31" s="96" t="str">
        <f>IFERROR(__xludf.DUMMYFUNCTION("""COMPUTED_VALUE"""),"NDOMA BODE I.D1")</f>
        <v>NDOMA BODE I.D1</v>
      </c>
      <c r="E31" s="96"/>
      <c r="F31" s="96"/>
      <c r="G31" s="96"/>
      <c r="H31" s="96"/>
      <c r="I31" s="96"/>
      <c r="J31" s="96"/>
      <c r="K31" s="96">
        <f>IFERROR(__xludf.DUMMYFUNCTION("""COMPUTED_VALUE"""),800000.0)</f>
        <v>800000</v>
      </c>
      <c r="L31" s="99">
        <f>IFERROR(__xludf.DUMMYFUNCTION("""COMPUTED_VALUE"""),800000.0)</f>
        <v>800000</v>
      </c>
      <c r="M31" s="96"/>
      <c r="N31" s="96">
        <f>IFERROR(__xludf.DUMMYFUNCTION("""COMPUTED_VALUE"""),0.0)</f>
        <v>0</v>
      </c>
      <c r="O31" s="96">
        <f>IFERROR(__xludf.DUMMYFUNCTION("""COMPUTED_VALUE"""),0.0)</f>
        <v>0</v>
      </c>
      <c r="P31" s="96">
        <f>IFERROR(__xludf.DUMMYFUNCTION("""COMPUTED_VALUE"""),0.0)</f>
        <v>0</v>
      </c>
      <c r="Q31" s="129">
        <f>IFERROR(__xludf.DUMMYFUNCTION("""COMPUTED_VALUE"""),0.0)</f>
        <v>0</v>
      </c>
      <c r="R31" s="99"/>
      <c r="S31" s="99">
        <f>IFERROR(__xludf.DUMMYFUNCTION("""COMPUTED_VALUE"""),800000.0)</f>
        <v>800000</v>
      </c>
    </row>
    <row r="32">
      <c r="A32" s="96">
        <f>IFERROR(__xludf.DUMMYFUNCTION("""COMPUTED_VALUE"""),1.0)</f>
        <v>1</v>
      </c>
      <c r="B32" s="98">
        <f>IFERROR(__xludf.DUMMYFUNCTION("""COMPUTED_VALUE"""),43743.0)</f>
        <v>43743</v>
      </c>
      <c r="C32" s="96" t="str">
        <f>IFERROR(__xludf.DUMMYFUNCTION("""COMPUTED_VALUE"""),"ALLI SYLVESTER")</f>
        <v>ALLI SYLVESTER</v>
      </c>
      <c r="D32" s="96" t="str">
        <f>IFERROR(__xludf.DUMMYFUNCTION("""COMPUTED_VALUE"""),"ALLI SYLVESTER1")</f>
        <v>ALLI SYLVESTER1</v>
      </c>
      <c r="E32" s="96"/>
      <c r="F32" s="96"/>
      <c r="G32" s="96"/>
      <c r="H32" s="96"/>
      <c r="I32" s="96"/>
      <c r="J32" s="96"/>
      <c r="K32" s="96">
        <f>IFERROR(__xludf.DUMMYFUNCTION("""COMPUTED_VALUE"""),2376910.0)</f>
        <v>2376910</v>
      </c>
      <c r="L32" s="99">
        <f>IFERROR(__xludf.DUMMYFUNCTION("""COMPUTED_VALUE"""),2376910.0)</f>
        <v>2376910</v>
      </c>
      <c r="M32" s="96"/>
      <c r="N32" s="96">
        <f>IFERROR(__xludf.DUMMYFUNCTION("""COMPUTED_VALUE"""),0.0)</f>
        <v>0</v>
      </c>
      <c r="O32" s="96">
        <f>IFERROR(__xludf.DUMMYFUNCTION("""COMPUTED_VALUE"""),0.0)</f>
        <v>0</v>
      </c>
      <c r="P32" s="96">
        <f>IFERROR(__xludf.DUMMYFUNCTION("""COMPUTED_VALUE"""),0.0)</f>
        <v>0</v>
      </c>
      <c r="Q32" s="129">
        <f>IFERROR(__xludf.DUMMYFUNCTION("""COMPUTED_VALUE"""),0.0)</f>
        <v>0</v>
      </c>
      <c r="R32" s="99"/>
      <c r="S32" s="99">
        <f>IFERROR(__xludf.DUMMYFUNCTION("""COMPUTED_VALUE"""),2376910.0)</f>
        <v>2376910</v>
      </c>
    </row>
    <row r="33">
      <c r="A33" s="96">
        <f>IFERROR(__xludf.DUMMYFUNCTION("""COMPUTED_VALUE"""),1.0)</f>
        <v>1</v>
      </c>
      <c r="B33" s="98">
        <f>IFERROR(__xludf.DUMMYFUNCTION("""COMPUTED_VALUE"""),43743.0)</f>
        <v>43743</v>
      </c>
      <c r="C33" s="96" t="str">
        <f>IFERROR(__xludf.DUMMYFUNCTION("""COMPUTED_VALUE""")," OP OJUA")</f>
        <v> OP OJUA</v>
      </c>
      <c r="D33" s="96" t="str">
        <f>IFERROR(__xludf.DUMMYFUNCTION("""COMPUTED_VALUE""")," OP OJUA1")</f>
        <v> OP OJUA1</v>
      </c>
      <c r="E33" s="96"/>
      <c r="F33" s="96"/>
      <c r="G33" s="96"/>
      <c r="H33" s="96"/>
      <c r="I33" s="96"/>
      <c r="J33" s="96"/>
      <c r="K33" s="96">
        <f>IFERROR(__xludf.DUMMYFUNCTION("""COMPUTED_VALUE"""),46550.0)</f>
        <v>46550</v>
      </c>
      <c r="L33" s="99">
        <f>IFERROR(__xludf.DUMMYFUNCTION("""COMPUTED_VALUE"""),46550.0)</f>
        <v>46550</v>
      </c>
      <c r="M33" s="96"/>
      <c r="N33" s="96">
        <f>IFERROR(__xludf.DUMMYFUNCTION("""COMPUTED_VALUE"""),0.0)</f>
        <v>0</v>
      </c>
      <c r="O33" s="96">
        <f>IFERROR(__xludf.DUMMYFUNCTION("""COMPUTED_VALUE"""),0.0)</f>
        <v>0</v>
      </c>
      <c r="P33" s="96">
        <f>IFERROR(__xludf.DUMMYFUNCTION("""COMPUTED_VALUE"""),0.0)</f>
        <v>0</v>
      </c>
      <c r="Q33" s="129">
        <f>IFERROR(__xludf.DUMMYFUNCTION("""COMPUTED_VALUE"""),0.0)</f>
        <v>0</v>
      </c>
      <c r="R33" s="99"/>
      <c r="S33" s="99">
        <f>IFERROR(__xludf.DUMMYFUNCTION("""COMPUTED_VALUE"""),46550.0)</f>
        <v>46550</v>
      </c>
    </row>
    <row r="34">
      <c r="A34" s="96">
        <f>IFERROR(__xludf.DUMMYFUNCTION("""COMPUTED_VALUE"""),1.0)</f>
        <v>1</v>
      </c>
      <c r="B34" s="98">
        <f>IFERROR(__xludf.DUMMYFUNCTION("""COMPUTED_VALUE"""),43743.0)</f>
        <v>43743</v>
      </c>
      <c r="C34" s="96" t="str">
        <f>IFERROR(__xludf.DUMMYFUNCTION("""COMPUTED_VALUE"""),"HN KEIBO")</f>
        <v>HN KEIBO</v>
      </c>
      <c r="D34" s="96" t="str">
        <f>IFERROR(__xludf.DUMMYFUNCTION("""COMPUTED_VALUE"""),"HN KEIBO1")</f>
        <v>HN KEIBO1</v>
      </c>
      <c r="E34" s="96"/>
      <c r="F34" s="96"/>
      <c r="G34" s="96"/>
      <c r="H34" s="96"/>
      <c r="I34" s="96"/>
      <c r="J34" s="96"/>
      <c r="K34" s="96">
        <f>IFERROR(__xludf.DUMMYFUNCTION("""COMPUTED_VALUE"""),249707.0)</f>
        <v>249707</v>
      </c>
      <c r="L34" s="99">
        <f>IFERROR(__xludf.DUMMYFUNCTION("""COMPUTED_VALUE"""),249707.0)</f>
        <v>249707</v>
      </c>
      <c r="M34" s="96"/>
      <c r="N34" s="96">
        <f>IFERROR(__xludf.DUMMYFUNCTION("""COMPUTED_VALUE"""),0.0)</f>
        <v>0</v>
      </c>
      <c r="O34" s="96">
        <f>IFERROR(__xludf.DUMMYFUNCTION("""COMPUTED_VALUE"""),0.0)</f>
        <v>0</v>
      </c>
      <c r="P34" s="96">
        <f>IFERROR(__xludf.DUMMYFUNCTION("""COMPUTED_VALUE"""),0.0)</f>
        <v>0</v>
      </c>
      <c r="Q34" s="129">
        <f>IFERROR(__xludf.DUMMYFUNCTION("""COMPUTED_VALUE"""),0.0)</f>
        <v>0</v>
      </c>
      <c r="R34" s="99"/>
      <c r="S34" s="99">
        <f>IFERROR(__xludf.DUMMYFUNCTION("""COMPUTED_VALUE"""),249707.0)</f>
        <v>249707</v>
      </c>
    </row>
    <row r="35">
      <c r="A35" s="96">
        <f>IFERROR(__xludf.DUMMYFUNCTION("""COMPUTED_VALUE"""),1.0)</f>
        <v>1</v>
      </c>
      <c r="B35" s="98">
        <f>IFERROR(__xludf.DUMMYFUNCTION("""COMPUTED_VALUE"""),43743.0)</f>
        <v>43743</v>
      </c>
      <c r="C35" s="96" t="str">
        <f>IFERROR(__xludf.DUMMYFUNCTION("""COMPUTED_VALUE""")," OP OCHICHIE")</f>
        <v> OP OCHICHIE</v>
      </c>
      <c r="D35" s="96" t="str">
        <f>IFERROR(__xludf.DUMMYFUNCTION("""COMPUTED_VALUE""")," OP OCHICHIE1")</f>
        <v> OP OCHICHIE1</v>
      </c>
      <c r="E35" s="96"/>
      <c r="F35" s="96"/>
      <c r="G35" s="96"/>
      <c r="H35" s="96"/>
      <c r="I35" s="96"/>
      <c r="J35" s="96"/>
      <c r="K35" s="96">
        <f>IFERROR(__xludf.DUMMYFUNCTION("""COMPUTED_VALUE"""),535525.0)</f>
        <v>535525</v>
      </c>
      <c r="L35" s="99">
        <f>IFERROR(__xludf.DUMMYFUNCTION("""COMPUTED_VALUE"""),535525.0)</f>
        <v>535525</v>
      </c>
      <c r="M35" s="96"/>
      <c r="N35" s="96">
        <f>IFERROR(__xludf.DUMMYFUNCTION("""COMPUTED_VALUE"""),0.0)</f>
        <v>0</v>
      </c>
      <c r="O35" s="96">
        <f>IFERROR(__xludf.DUMMYFUNCTION("""COMPUTED_VALUE"""),0.0)</f>
        <v>0</v>
      </c>
      <c r="P35" s="96">
        <f>IFERROR(__xludf.DUMMYFUNCTION("""COMPUTED_VALUE"""),0.0)</f>
        <v>0</v>
      </c>
      <c r="Q35" s="129">
        <f>IFERROR(__xludf.DUMMYFUNCTION("""COMPUTED_VALUE"""),0.0)</f>
        <v>0</v>
      </c>
      <c r="R35" s="99"/>
      <c r="S35" s="99">
        <f>IFERROR(__xludf.DUMMYFUNCTION("""COMPUTED_VALUE"""),535525.0)</f>
        <v>535525</v>
      </c>
    </row>
    <row r="36">
      <c r="A36" s="96">
        <f>IFERROR(__xludf.DUMMYFUNCTION("""COMPUTED_VALUE"""),1.0)</f>
        <v>1</v>
      </c>
      <c r="B36" s="98">
        <f>IFERROR(__xludf.DUMMYFUNCTION("""COMPUTED_VALUE"""),43743.0)</f>
        <v>43743</v>
      </c>
      <c r="C36" s="96" t="str">
        <f>IFERROR(__xludf.DUMMYFUNCTION("""COMPUTED_VALUE"""),"PETER KEIBO SIDE")</f>
        <v>PETER KEIBO SIDE</v>
      </c>
      <c r="D36" s="96" t="str">
        <f>IFERROR(__xludf.DUMMYFUNCTION("""COMPUTED_VALUE"""),"PETER KEIBO SIDE1")</f>
        <v>PETER KEIBO SIDE1</v>
      </c>
      <c r="E36" s="96"/>
      <c r="F36" s="96"/>
      <c r="G36" s="96"/>
      <c r="H36" s="96"/>
      <c r="I36" s="96"/>
      <c r="J36" s="96"/>
      <c r="K36" s="96">
        <f>IFERROR(__xludf.DUMMYFUNCTION("""COMPUTED_VALUE"""),1318980.0)</f>
        <v>1318980</v>
      </c>
      <c r="L36" s="99">
        <f>IFERROR(__xludf.DUMMYFUNCTION("""COMPUTED_VALUE"""),1318980.0)</f>
        <v>1318980</v>
      </c>
      <c r="M36" s="96"/>
      <c r="N36" s="96">
        <f>IFERROR(__xludf.DUMMYFUNCTION("""COMPUTED_VALUE"""),0.0)</f>
        <v>0</v>
      </c>
      <c r="O36" s="96">
        <f>IFERROR(__xludf.DUMMYFUNCTION("""COMPUTED_VALUE"""),0.0)</f>
        <v>0</v>
      </c>
      <c r="P36" s="96">
        <f>IFERROR(__xludf.DUMMYFUNCTION("""COMPUTED_VALUE"""),0.0)</f>
        <v>0</v>
      </c>
      <c r="Q36" s="129">
        <f>IFERROR(__xludf.DUMMYFUNCTION("""COMPUTED_VALUE"""),0.0)</f>
        <v>0</v>
      </c>
      <c r="R36" s="99"/>
      <c r="S36" s="99">
        <f>IFERROR(__xludf.DUMMYFUNCTION("""COMPUTED_VALUE"""),1318980.0)</f>
        <v>1318980</v>
      </c>
    </row>
    <row r="37">
      <c r="A37" s="96">
        <f>IFERROR(__xludf.DUMMYFUNCTION("""COMPUTED_VALUE"""),1.0)</f>
        <v>1</v>
      </c>
      <c r="B37" s="98">
        <f>IFERROR(__xludf.DUMMYFUNCTION("""COMPUTED_VALUE"""),43743.0)</f>
        <v>43743</v>
      </c>
      <c r="C37" s="96" t="str">
        <f>IFERROR(__xludf.DUMMYFUNCTION("""COMPUTED_VALUE"""),"CONFIDENCE")</f>
        <v>CONFIDENCE</v>
      </c>
      <c r="D37" s="96" t="str">
        <f>IFERROR(__xludf.DUMMYFUNCTION("""COMPUTED_VALUE"""),"CONFIDENCE1")</f>
        <v>CONFIDENCE1</v>
      </c>
      <c r="E37" s="96"/>
      <c r="F37" s="96"/>
      <c r="G37" s="96"/>
      <c r="H37" s="96"/>
      <c r="I37" s="96"/>
      <c r="J37" s="96"/>
      <c r="K37" s="96">
        <f>IFERROR(__xludf.DUMMYFUNCTION("""COMPUTED_VALUE"""),300000.0)</f>
        <v>300000</v>
      </c>
      <c r="L37" s="99">
        <f>IFERROR(__xludf.DUMMYFUNCTION("""COMPUTED_VALUE"""),300000.0)</f>
        <v>300000</v>
      </c>
      <c r="M37" s="96"/>
      <c r="N37" s="96">
        <f>IFERROR(__xludf.DUMMYFUNCTION("""COMPUTED_VALUE"""),0.0)</f>
        <v>0</v>
      </c>
      <c r="O37" s="96">
        <f>IFERROR(__xludf.DUMMYFUNCTION("""COMPUTED_VALUE"""),0.0)</f>
        <v>0</v>
      </c>
      <c r="P37" s="96">
        <f>IFERROR(__xludf.DUMMYFUNCTION("""COMPUTED_VALUE"""),0.0)</f>
        <v>0</v>
      </c>
      <c r="Q37" s="129">
        <f>IFERROR(__xludf.DUMMYFUNCTION("""COMPUTED_VALUE"""),0.0)</f>
        <v>0</v>
      </c>
      <c r="R37" s="99"/>
      <c r="S37" s="99">
        <f>IFERROR(__xludf.DUMMYFUNCTION("""COMPUTED_VALUE"""),300000.0)</f>
        <v>300000</v>
      </c>
    </row>
    <row r="38">
      <c r="A38" s="96">
        <f>IFERROR(__xludf.DUMMYFUNCTION("""COMPUTED_VALUE"""),1.0)</f>
        <v>1</v>
      </c>
      <c r="B38" s="98">
        <f>IFERROR(__xludf.DUMMYFUNCTION("""COMPUTED_VALUE"""),43743.0)</f>
        <v>43743</v>
      </c>
      <c r="C38" s="96" t="str">
        <f>IFERROR(__xludf.DUMMYFUNCTION("""COMPUTED_VALUE"""),"LAI BIG MAN")</f>
        <v>LAI BIG MAN</v>
      </c>
      <c r="D38" s="96" t="str">
        <f>IFERROR(__xludf.DUMMYFUNCTION("""COMPUTED_VALUE"""),"LAI BIG MAN1")</f>
        <v>LAI BIG MAN1</v>
      </c>
      <c r="E38" s="96"/>
      <c r="F38" s="96"/>
      <c r="G38" s="96"/>
      <c r="H38" s="96"/>
      <c r="I38" s="96"/>
      <c r="J38" s="96"/>
      <c r="K38" s="96">
        <f>IFERROR(__xludf.DUMMYFUNCTION("""COMPUTED_VALUE"""),200000.0)</f>
        <v>200000</v>
      </c>
      <c r="L38" s="99">
        <f>IFERROR(__xludf.DUMMYFUNCTION("""COMPUTED_VALUE"""),200000.0)</f>
        <v>200000</v>
      </c>
      <c r="M38" s="96"/>
      <c r="N38" s="96">
        <f>IFERROR(__xludf.DUMMYFUNCTION("""COMPUTED_VALUE"""),0.0)</f>
        <v>0</v>
      </c>
      <c r="O38" s="96">
        <f>IFERROR(__xludf.DUMMYFUNCTION("""COMPUTED_VALUE"""),0.0)</f>
        <v>0</v>
      </c>
      <c r="P38" s="96">
        <f>IFERROR(__xludf.DUMMYFUNCTION("""COMPUTED_VALUE"""),0.0)</f>
        <v>0</v>
      </c>
      <c r="Q38" s="129">
        <f>IFERROR(__xludf.DUMMYFUNCTION("""COMPUTED_VALUE"""),0.0)</f>
        <v>0</v>
      </c>
      <c r="R38" s="99"/>
      <c r="S38" s="99">
        <f>IFERROR(__xludf.DUMMYFUNCTION("""COMPUTED_VALUE"""),200000.0)</f>
        <v>200000</v>
      </c>
    </row>
    <row r="39">
      <c r="A39" s="96">
        <f>IFERROR(__xludf.DUMMYFUNCTION("""COMPUTED_VALUE"""),1.0)</f>
        <v>1</v>
      </c>
      <c r="B39" s="98">
        <f>IFERROR(__xludf.DUMMYFUNCTION("""COMPUTED_VALUE"""),43743.0)</f>
        <v>43743</v>
      </c>
      <c r="C39" s="96" t="str">
        <f>IFERROR(__xludf.DUMMYFUNCTION("""COMPUTED_VALUE"""),"ABANG TATAW CAMEROUN")</f>
        <v>ABANG TATAW CAMEROUN</v>
      </c>
      <c r="D39" s="96" t="str">
        <f>IFERROR(__xludf.DUMMYFUNCTION("""COMPUTED_VALUE"""),"ABANG TATAW CAMEROUN1")</f>
        <v>ABANG TATAW CAMEROUN1</v>
      </c>
      <c r="E39" s="96"/>
      <c r="F39" s="96"/>
      <c r="G39" s="96"/>
      <c r="H39" s="96"/>
      <c r="I39" s="96"/>
      <c r="J39" s="96"/>
      <c r="K39" s="96">
        <f>IFERROR(__xludf.DUMMYFUNCTION("""COMPUTED_VALUE"""),16000.0)</f>
        <v>16000</v>
      </c>
      <c r="L39" s="99">
        <f>IFERROR(__xludf.DUMMYFUNCTION("""COMPUTED_VALUE"""),16000.0)</f>
        <v>16000</v>
      </c>
      <c r="M39" s="96"/>
      <c r="N39" s="96">
        <f>IFERROR(__xludf.DUMMYFUNCTION("""COMPUTED_VALUE"""),0.0)</f>
        <v>0</v>
      </c>
      <c r="O39" s="96">
        <f>IFERROR(__xludf.DUMMYFUNCTION("""COMPUTED_VALUE"""),0.0)</f>
        <v>0</v>
      </c>
      <c r="P39" s="96">
        <f>IFERROR(__xludf.DUMMYFUNCTION("""COMPUTED_VALUE"""),0.0)</f>
        <v>0</v>
      </c>
      <c r="Q39" s="129">
        <f>IFERROR(__xludf.DUMMYFUNCTION("""COMPUTED_VALUE"""),0.0)</f>
        <v>0</v>
      </c>
      <c r="R39" s="99"/>
      <c r="S39" s="99">
        <f>IFERROR(__xludf.DUMMYFUNCTION("""COMPUTED_VALUE"""),16000.0)</f>
        <v>16000</v>
      </c>
    </row>
    <row r="40">
      <c r="A40" s="96">
        <f>IFERROR(__xludf.DUMMYFUNCTION("""COMPUTED_VALUE"""),1.0)</f>
        <v>1</v>
      </c>
      <c r="B40" s="98">
        <f>IFERROR(__xludf.DUMMYFUNCTION("""COMPUTED_VALUE"""),43743.0)</f>
        <v>43743</v>
      </c>
      <c r="C40" s="96" t="str">
        <f>IFERROR(__xludf.DUMMYFUNCTION("""COMPUTED_VALUE"""),"ABANG FREDINARD")</f>
        <v>ABANG FREDINARD</v>
      </c>
      <c r="D40" s="96" t="str">
        <f>IFERROR(__xludf.DUMMYFUNCTION("""COMPUTED_VALUE"""),"ABANG FREDINARD1")</f>
        <v>ABANG FREDINARD1</v>
      </c>
      <c r="E40" s="96"/>
      <c r="F40" s="96"/>
      <c r="G40" s="96"/>
      <c r="H40" s="96"/>
      <c r="I40" s="96"/>
      <c r="J40" s="96"/>
      <c r="K40" s="96">
        <f>IFERROR(__xludf.DUMMYFUNCTION("""COMPUTED_VALUE"""),30000.0)</f>
        <v>30000</v>
      </c>
      <c r="L40" s="99">
        <f>IFERROR(__xludf.DUMMYFUNCTION("""COMPUTED_VALUE"""),30000.0)</f>
        <v>30000</v>
      </c>
      <c r="M40" s="96"/>
      <c r="N40" s="96">
        <f>IFERROR(__xludf.DUMMYFUNCTION("""COMPUTED_VALUE"""),0.0)</f>
        <v>0</v>
      </c>
      <c r="O40" s="96">
        <f>IFERROR(__xludf.DUMMYFUNCTION("""COMPUTED_VALUE"""),0.0)</f>
        <v>0</v>
      </c>
      <c r="P40" s="96">
        <f>IFERROR(__xludf.DUMMYFUNCTION("""COMPUTED_VALUE"""),0.0)</f>
        <v>0</v>
      </c>
      <c r="Q40" s="129">
        <f>IFERROR(__xludf.DUMMYFUNCTION("""COMPUTED_VALUE"""),0.0)</f>
        <v>0</v>
      </c>
      <c r="R40" s="99"/>
      <c r="S40" s="99">
        <f>IFERROR(__xludf.DUMMYFUNCTION("""COMPUTED_VALUE"""),30000.0)</f>
        <v>30000</v>
      </c>
    </row>
    <row r="41">
      <c r="A41" s="96">
        <f>IFERROR(__xludf.DUMMYFUNCTION("""COMPUTED_VALUE"""),1.0)</f>
        <v>1</v>
      </c>
      <c r="B41" s="98">
        <f>IFERROR(__xludf.DUMMYFUNCTION("""COMPUTED_VALUE"""),43743.0)</f>
        <v>43743</v>
      </c>
      <c r="C41" s="96" t="str">
        <f>IFERROR(__xludf.DUMMYFUNCTION("""COMPUTED_VALUE"""),"KOKOK PRIN")</f>
        <v>KOKOK PRIN</v>
      </c>
      <c r="D41" s="96" t="str">
        <f>IFERROR(__xludf.DUMMYFUNCTION("""COMPUTED_VALUE"""),"KOKOK PRIN1")</f>
        <v>KOKOK PRIN1</v>
      </c>
      <c r="E41" s="96"/>
      <c r="F41" s="96"/>
      <c r="G41" s="96"/>
      <c r="H41" s="96"/>
      <c r="I41" s="96"/>
      <c r="J41" s="96"/>
      <c r="K41" s="96">
        <f>IFERROR(__xludf.DUMMYFUNCTION("""COMPUTED_VALUE"""),215000.0)</f>
        <v>215000</v>
      </c>
      <c r="L41" s="99">
        <f>IFERROR(__xludf.DUMMYFUNCTION("""COMPUTED_VALUE"""),215000.0)</f>
        <v>215000</v>
      </c>
      <c r="M41" s="96"/>
      <c r="N41" s="96">
        <f>IFERROR(__xludf.DUMMYFUNCTION("""COMPUTED_VALUE"""),0.0)</f>
        <v>0</v>
      </c>
      <c r="O41" s="96">
        <f>IFERROR(__xludf.DUMMYFUNCTION("""COMPUTED_VALUE"""),0.0)</f>
        <v>0</v>
      </c>
      <c r="P41" s="96">
        <f>IFERROR(__xludf.DUMMYFUNCTION("""COMPUTED_VALUE"""),0.0)</f>
        <v>0</v>
      </c>
      <c r="Q41" s="129">
        <f>IFERROR(__xludf.DUMMYFUNCTION("""COMPUTED_VALUE"""),0.0)</f>
        <v>0</v>
      </c>
      <c r="R41" s="99"/>
      <c r="S41" s="99">
        <f>IFERROR(__xludf.DUMMYFUNCTION("""COMPUTED_VALUE"""),215000.0)</f>
        <v>215000</v>
      </c>
    </row>
    <row r="42">
      <c r="A42" s="96">
        <f>IFERROR(__xludf.DUMMYFUNCTION("""COMPUTED_VALUE"""),1.0)</f>
        <v>1</v>
      </c>
      <c r="B42" s="98">
        <f>IFERROR(__xludf.DUMMYFUNCTION("""COMPUTED_VALUE"""),43743.0)</f>
        <v>43743</v>
      </c>
      <c r="C42" s="96" t="str">
        <f>IFERROR(__xludf.DUMMYFUNCTION("""COMPUTED_VALUE"""),"BABA NDIFON")</f>
        <v>BABA NDIFON</v>
      </c>
      <c r="D42" s="96" t="str">
        <f>IFERROR(__xludf.DUMMYFUNCTION("""COMPUTED_VALUE"""),"BABA NDIFON1")</f>
        <v>BABA NDIFON1</v>
      </c>
      <c r="E42" s="96"/>
      <c r="F42" s="96"/>
      <c r="G42" s="96"/>
      <c r="H42" s="96"/>
      <c r="I42" s="96"/>
      <c r="J42" s="96"/>
      <c r="K42" s="96">
        <f>IFERROR(__xludf.DUMMYFUNCTION("""COMPUTED_VALUE"""),190000.0)</f>
        <v>190000</v>
      </c>
      <c r="L42" s="99">
        <f>IFERROR(__xludf.DUMMYFUNCTION("""COMPUTED_VALUE"""),190000.0)</f>
        <v>190000</v>
      </c>
      <c r="M42" s="96"/>
      <c r="N42" s="96">
        <f>IFERROR(__xludf.DUMMYFUNCTION("""COMPUTED_VALUE"""),0.0)</f>
        <v>0</v>
      </c>
      <c r="O42" s="96">
        <f>IFERROR(__xludf.DUMMYFUNCTION("""COMPUTED_VALUE"""),0.0)</f>
        <v>0</v>
      </c>
      <c r="P42" s="96">
        <f>IFERROR(__xludf.DUMMYFUNCTION("""COMPUTED_VALUE"""),0.0)</f>
        <v>0</v>
      </c>
      <c r="Q42" s="129">
        <f>IFERROR(__xludf.DUMMYFUNCTION("""COMPUTED_VALUE"""),0.0)</f>
        <v>0</v>
      </c>
      <c r="R42" s="99"/>
      <c r="S42" s="99">
        <f>IFERROR(__xludf.DUMMYFUNCTION("""COMPUTED_VALUE"""),190000.0)</f>
        <v>190000</v>
      </c>
    </row>
    <row r="43">
      <c r="A43" s="96">
        <f>IFERROR(__xludf.DUMMYFUNCTION("""COMPUTED_VALUE"""),1.0)</f>
        <v>1</v>
      </c>
      <c r="B43" s="98">
        <f>IFERROR(__xludf.DUMMYFUNCTION("""COMPUTED_VALUE"""),43743.0)</f>
        <v>43743</v>
      </c>
      <c r="C43" s="96" t="str">
        <f>IFERROR(__xludf.DUMMYFUNCTION("""COMPUTED_VALUE"""),"TIMOTHY  OLUM")</f>
        <v>TIMOTHY  OLUM</v>
      </c>
      <c r="D43" s="96" t="str">
        <f>IFERROR(__xludf.DUMMYFUNCTION("""COMPUTED_VALUE"""),"TIMOTHY  OLUM1")</f>
        <v>TIMOTHY  OLUM1</v>
      </c>
      <c r="E43" s="96"/>
      <c r="F43" s="96"/>
      <c r="G43" s="96"/>
      <c r="H43" s="96"/>
      <c r="I43" s="96"/>
      <c r="J43" s="96"/>
      <c r="K43" s="96">
        <f>IFERROR(__xludf.DUMMYFUNCTION("""COMPUTED_VALUE"""),150000.0)</f>
        <v>150000</v>
      </c>
      <c r="L43" s="99">
        <f>IFERROR(__xludf.DUMMYFUNCTION("""COMPUTED_VALUE"""),150000.0)</f>
        <v>150000</v>
      </c>
      <c r="M43" s="96"/>
      <c r="N43" s="96">
        <f>IFERROR(__xludf.DUMMYFUNCTION("""COMPUTED_VALUE"""),0.0)</f>
        <v>0</v>
      </c>
      <c r="O43" s="96">
        <f>IFERROR(__xludf.DUMMYFUNCTION("""COMPUTED_VALUE"""),0.0)</f>
        <v>0</v>
      </c>
      <c r="P43" s="96">
        <f>IFERROR(__xludf.DUMMYFUNCTION("""COMPUTED_VALUE"""),0.0)</f>
        <v>0</v>
      </c>
      <c r="Q43" s="129">
        <f>IFERROR(__xludf.DUMMYFUNCTION("""COMPUTED_VALUE"""),0.0)</f>
        <v>0</v>
      </c>
      <c r="R43" s="99"/>
      <c r="S43" s="99">
        <f>IFERROR(__xludf.DUMMYFUNCTION("""COMPUTED_VALUE"""),150000.0)</f>
        <v>150000</v>
      </c>
    </row>
    <row r="44">
      <c r="A44" s="96">
        <f>IFERROR(__xludf.DUMMYFUNCTION("""COMPUTED_VALUE"""),1.0)</f>
        <v>1</v>
      </c>
      <c r="B44" s="98">
        <f>IFERROR(__xludf.DUMMYFUNCTION("""COMPUTED_VALUE"""),43743.0)</f>
        <v>43743</v>
      </c>
      <c r="C44" s="96" t="str">
        <f>IFERROR(__xludf.DUMMYFUNCTION("""COMPUTED_VALUE"""),"AGEGE BOY")</f>
        <v>AGEGE BOY</v>
      </c>
      <c r="D44" s="96" t="str">
        <f>IFERROR(__xludf.DUMMYFUNCTION("""COMPUTED_VALUE"""),"AGEGE BOY1")</f>
        <v>AGEGE BOY1</v>
      </c>
      <c r="E44" s="96"/>
      <c r="F44" s="96"/>
      <c r="G44" s="96"/>
      <c r="H44" s="96"/>
      <c r="I44" s="96"/>
      <c r="J44" s="96"/>
      <c r="K44" s="96">
        <f>IFERROR(__xludf.DUMMYFUNCTION("""COMPUTED_VALUE"""),300000.0)</f>
        <v>300000</v>
      </c>
      <c r="L44" s="99">
        <f>IFERROR(__xludf.DUMMYFUNCTION("""COMPUTED_VALUE"""),300000.0)</f>
        <v>300000</v>
      </c>
      <c r="M44" s="96"/>
      <c r="N44" s="96">
        <f>IFERROR(__xludf.DUMMYFUNCTION("""COMPUTED_VALUE"""),0.0)</f>
        <v>0</v>
      </c>
      <c r="O44" s="96">
        <f>IFERROR(__xludf.DUMMYFUNCTION("""COMPUTED_VALUE"""),0.0)</f>
        <v>0</v>
      </c>
      <c r="P44" s="96">
        <f>IFERROR(__xludf.DUMMYFUNCTION("""COMPUTED_VALUE"""),0.0)</f>
        <v>0</v>
      </c>
      <c r="Q44" s="129">
        <f>IFERROR(__xludf.DUMMYFUNCTION("""COMPUTED_VALUE"""),0.0)</f>
        <v>0</v>
      </c>
      <c r="R44" s="99"/>
      <c r="S44" s="99">
        <f>IFERROR(__xludf.DUMMYFUNCTION("""COMPUTED_VALUE"""),300000.0)</f>
        <v>300000</v>
      </c>
    </row>
    <row r="45">
      <c r="A45" s="96">
        <f>IFERROR(__xludf.DUMMYFUNCTION("""COMPUTED_VALUE"""),1.0)</f>
        <v>1</v>
      </c>
      <c r="B45" s="98">
        <f>IFERROR(__xludf.DUMMYFUNCTION("""COMPUTED_VALUE"""),43743.0)</f>
        <v>43743</v>
      </c>
      <c r="C45" s="96" t="str">
        <f>IFERROR(__xludf.DUMMYFUNCTION("""COMPUTED_VALUE"""),"PRINNESS")</f>
        <v>PRINNESS</v>
      </c>
      <c r="D45" s="96" t="str">
        <f>IFERROR(__xludf.DUMMYFUNCTION("""COMPUTED_VALUE"""),"PRINNESS1")</f>
        <v>PRINNESS1</v>
      </c>
      <c r="E45" s="96"/>
      <c r="F45" s="96"/>
      <c r="G45" s="96"/>
      <c r="H45" s="96"/>
      <c r="I45" s="96"/>
      <c r="J45" s="96"/>
      <c r="K45" s="96">
        <f>IFERROR(__xludf.DUMMYFUNCTION("""COMPUTED_VALUE"""),200000.0)</f>
        <v>200000</v>
      </c>
      <c r="L45" s="99">
        <f>IFERROR(__xludf.DUMMYFUNCTION("""COMPUTED_VALUE"""),200000.0)</f>
        <v>200000</v>
      </c>
      <c r="M45" s="96"/>
      <c r="N45" s="96">
        <f>IFERROR(__xludf.DUMMYFUNCTION("""COMPUTED_VALUE"""),0.0)</f>
        <v>0</v>
      </c>
      <c r="O45" s="96">
        <f>IFERROR(__xludf.DUMMYFUNCTION("""COMPUTED_VALUE"""),0.0)</f>
        <v>0</v>
      </c>
      <c r="P45" s="96">
        <f>IFERROR(__xludf.DUMMYFUNCTION("""COMPUTED_VALUE"""),0.0)</f>
        <v>0</v>
      </c>
      <c r="Q45" s="129">
        <f>IFERROR(__xludf.DUMMYFUNCTION("""COMPUTED_VALUE"""),0.0)</f>
        <v>0</v>
      </c>
      <c r="R45" s="99"/>
      <c r="S45" s="99">
        <f>IFERROR(__xludf.DUMMYFUNCTION("""COMPUTED_VALUE"""),200000.0)</f>
        <v>200000</v>
      </c>
    </row>
    <row r="46">
      <c r="A46" s="96">
        <f>IFERROR(__xludf.DUMMYFUNCTION("""COMPUTED_VALUE"""),1.0)</f>
        <v>1</v>
      </c>
      <c r="B46" s="98">
        <f>IFERROR(__xludf.DUMMYFUNCTION("""COMPUTED_VALUE"""),43743.0)</f>
        <v>43743</v>
      </c>
      <c r="C46" s="96" t="str">
        <f>IFERROR(__xludf.DUMMYFUNCTION("""COMPUTED_VALUE"""),"CORNWELL")</f>
        <v>CORNWELL</v>
      </c>
      <c r="D46" s="96" t="str">
        <f>IFERROR(__xludf.DUMMYFUNCTION("""COMPUTED_VALUE"""),"CORNWELL1")</f>
        <v>CORNWELL1</v>
      </c>
      <c r="E46" s="96"/>
      <c r="F46" s="96"/>
      <c r="G46" s="96"/>
      <c r="H46" s="96"/>
      <c r="I46" s="96"/>
      <c r="J46" s="96"/>
      <c r="K46" s="96">
        <f>IFERROR(__xludf.DUMMYFUNCTION("""COMPUTED_VALUE"""),879440.0)</f>
        <v>879440</v>
      </c>
      <c r="L46" s="99">
        <f>IFERROR(__xludf.DUMMYFUNCTION("""COMPUTED_VALUE"""),879440.0)</f>
        <v>879440</v>
      </c>
      <c r="M46" s="96"/>
      <c r="N46" s="96">
        <f>IFERROR(__xludf.DUMMYFUNCTION("""COMPUTED_VALUE"""),0.0)</f>
        <v>0</v>
      </c>
      <c r="O46" s="96">
        <f>IFERROR(__xludf.DUMMYFUNCTION("""COMPUTED_VALUE"""),0.0)</f>
        <v>0</v>
      </c>
      <c r="P46" s="96">
        <f>IFERROR(__xludf.DUMMYFUNCTION("""COMPUTED_VALUE"""),0.0)</f>
        <v>0</v>
      </c>
      <c r="Q46" s="129">
        <f>IFERROR(__xludf.DUMMYFUNCTION("""COMPUTED_VALUE"""),0.0)</f>
        <v>0</v>
      </c>
      <c r="R46" s="99"/>
      <c r="S46" s="99">
        <f>IFERROR(__xludf.DUMMYFUNCTION("""COMPUTED_VALUE"""),879440.0)</f>
        <v>879440</v>
      </c>
    </row>
    <row r="47">
      <c r="A47" s="96">
        <f>IFERROR(__xludf.DUMMYFUNCTION("""COMPUTED_VALUE"""),1.0)</f>
        <v>1</v>
      </c>
      <c r="B47" s="98">
        <f>IFERROR(__xludf.DUMMYFUNCTION("""COMPUTED_VALUE"""),43743.0)</f>
        <v>43743</v>
      </c>
      <c r="C47" s="96" t="str">
        <f>IFERROR(__xludf.DUMMYFUNCTION("""COMPUTED_VALUE"""),"DUN ODI A.")</f>
        <v>DUN ODI A.</v>
      </c>
      <c r="D47" s="96" t="str">
        <f>IFERROR(__xludf.DUMMYFUNCTION("""COMPUTED_VALUE"""),"DUN ODI A.1")</f>
        <v>DUN ODI A.1</v>
      </c>
      <c r="E47" s="96"/>
      <c r="F47" s="96"/>
      <c r="G47" s="96"/>
      <c r="H47" s="96"/>
      <c r="I47" s="96"/>
      <c r="J47" s="96"/>
      <c r="K47" s="96">
        <f>IFERROR(__xludf.DUMMYFUNCTION("""COMPUTED_VALUE"""),30000.0)</f>
        <v>30000</v>
      </c>
      <c r="L47" s="99">
        <f>IFERROR(__xludf.DUMMYFUNCTION("""COMPUTED_VALUE"""),30000.0)</f>
        <v>30000</v>
      </c>
      <c r="M47" s="96"/>
      <c r="N47" s="96">
        <f>IFERROR(__xludf.DUMMYFUNCTION("""COMPUTED_VALUE"""),0.0)</f>
        <v>0</v>
      </c>
      <c r="O47" s="96">
        <f>IFERROR(__xludf.DUMMYFUNCTION("""COMPUTED_VALUE"""),0.0)</f>
        <v>0</v>
      </c>
      <c r="P47" s="96">
        <f>IFERROR(__xludf.DUMMYFUNCTION("""COMPUTED_VALUE"""),0.0)</f>
        <v>0</v>
      </c>
      <c r="Q47" s="129">
        <f>IFERROR(__xludf.DUMMYFUNCTION("""COMPUTED_VALUE"""),0.0)</f>
        <v>0</v>
      </c>
      <c r="R47" s="99"/>
      <c r="S47" s="99">
        <f>IFERROR(__xludf.DUMMYFUNCTION("""COMPUTED_VALUE"""),30000.0)</f>
        <v>30000</v>
      </c>
    </row>
    <row r="48">
      <c r="A48" s="96">
        <f>IFERROR(__xludf.DUMMYFUNCTION("""COMPUTED_VALUE"""),1.0)</f>
        <v>1</v>
      </c>
      <c r="B48" s="98">
        <f>IFERROR(__xludf.DUMMYFUNCTION("""COMPUTED_VALUE"""),43743.0)</f>
        <v>43743</v>
      </c>
      <c r="C48" s="96" t="str">
        <f>IFERROR(__xludf.DUMMYFUNCTION("""COMPUTED_VALUE"""),"MAXWELL AGRO PRIN")</f>
        <v>MAXWELL AGRO PRIN</v>
      </c>
      <c r="D48" s="96" t="str">
        <f>IFERROR(__xludf.DUMMYFUNCTION("""COMPUTED_VALUE"""),"MAXWELL AGRO PRIN1")</f>
        <v>MAXWELL AGRO PRIN1</v>
      </c>
      <c r="E48" s="96"/>
      <c r="F48" s="96"/>
      <c r="G48" s="96"/>
      <c r="H48" s="96"/>
      <c r="I48" s="96"/>
      <c r="J48" s="96"/>
      <c r="K48" s="96">
        <f>IFERROR(__xludf.DUMMYFUNCTION("""COMPUTED_VALUE"""),280000.0)</f>
        <v>280000</v>
      </c>
      <c r="L48" s="99">
        <f>IFERROR(__xludf.DUMMYFUNCTION("""COMPUTED_VALUE"""),280000.0)</f>
        <v>280000</v>
      </c>
      <c r="M48" s="96"/>
      <c r="N48" s="96">
        <f>IFERROR(__xludf.DUMMYFUNCTION("""COMPUTED_VALUE"""),0.0)</f>
        <v>0</v>
      </c>
      <c r="O48" s="96">
        <f>IFERROR(__xludf.DUMMYFUNCTION("""COMPUTED_VALUE"""),0.0)</f>
        <v>0</v>
      </c>
      <c r="P48" s="96">
        <f>IFERROR(__xludf.DUMMYFUNCTION("""COMPUTED_VALUE"""),0.0)</f>
        <v>0</v>
      </c>
      <c r="Q48" s="129">
        <f>IFERROR(__xludf.DUMMYFUNCTION("""COMPUTED_VALUE"""),0.0)</f>
        <v>0</v>
      </c>
      <c r="R48" s="99"/>
      <c r="S48" s="99">
        <f>IFERROR(__xludf.DUMMYFUNCTION("""COMPUTED_VALUE"""),280000.0)</f>
        <v>280000</v>
      </c>
    </row>
    <row r="49">
      <c r="A49" s="96">
        <f>IFERROR(__xludf.DUMMYFUNCTION("""COMPUTED_VALUE"""),1.0)</f>
        <v>1</v>
      </c>
      <c r="B49" s="98">
        <f>IFERROR(__xludf.DUMMYFUNCTION("""COMPUTED_VALUE"""),43743.0)</f>
        <v>43743</v>
      </c>
      <c r="C49" s="96" t="str">
        <f>IFERROR(__xludf.DUMMYFUNCTION("""COMPUTED_VALUE"""),"FRANCIS KEIBO")</f>
        <v>FRANCIS KEIBO</v>
      </c>
      <c r="D49" s="96" t="str">
        <f>IFERROR(__xludf.DUMMYFUNCTION("""COMPUTED_VALUE"""),"FRANCIS KEIBO1")</f>
        <v>FRANCIS KEIBO1</v>
      </c>
      <c r="E49" s="96"/>
      <c r="F49" s="96"/>
      <c r="G49" s="96"/>
      <c r="H49" s="96"/>
      <c r="I49" s="96"/>
      <c r="J49" s="96"/>
      <c r="K49" s="96">
        <f>IFERROR(__xludf.DUMMYFUNCTION("""COMPUTED_VALUE"""),237000.0)</f>
        <v>237000</v>
      </c>
      <c r="L49" s="99">
        <f>IFERROR(__xludf.DUMMYFUNCTION("""COMPUTED_VALUE"""),237000.0)</f>
        <v>237000</v>
      </c>
      <c r="M49" s="96"/>
      <c r="N49" s="96">
        <f>IFERROR(__xludf.DUMMYFUNCTION("""COMPUTED_VALUE"""),0.0)</f>
        <v>0</v>
      </c>
      <c r="O49" s="96">
        <f>IFERROR(__xludf.DUMMYFUNCTION("""COMPUTED_VALUE"""),0.0)</f>
        <v>0</v>
      </c>
      <c r="P49" s="96">
        <f>IFERROR(__xludf.DUMMYFUNCTION("""COMPUTED_VALUE"""),0.0)</f>
        <v>0</v>
      </c>
      <c r="Q49" s="129">
        <f>IFERROR(__xludf.DUMMYFUNCTION("""COMPUTED_VALUE"""),0.0)</f>
        <v>0</v>
      </c>
      <c r="R49" s="99"/>
      <c r="S49" s="99">
        <f>IFERROR(__xludf.DUMMYFUNCTION("""COMPUTED_VALUE"""),237000.0)</f>
        <v>237000</v>
      </c>
    </row>
    <row r="50">
      <c r="A50" s="96">
        <f>IFERROR(__xludf.DUMMYFUNCTION("""COMPUTED_VALUE"""),1.0)</f>
        <v>1</v>
      </c>
      <c r="B50" s="98">
        <f>IFERROR(__xludf.DUMMYFUNCTION("""COMPUTED_VALUE"""),43743.0)</f>
        <v>43743</v>
      </c>
      <c r="C50" s="96" t="str">
        <f>IFERROR(__xludf.DUMMYFUNCTION("""COMPUTED_VALUE"""),"COLLABS")</f>
        <v>COLLABS</v>
      </c>
      <c r="D50" s="96" t="str">
        <f>IFERROR(__xludf.DUMMYFUNCTION("""COMPUTED_VALUE"""),"COLLABS1")</f>
        <v>COLLABS1</v>
      </c>
      <c r="E50" s="96"/>
      <c r="F50" s="96"/>
      <c r="G50" s="96"/>
      <c r="H50" s="96"/>
      <c r="I50" s="96"/>
      <c r="J50" s="96"/>
      <c r="K50" s="96">
        <f>IFERROR(__xludf.DUMMYFUNCTION("""COMPUTED_VALUE"""),220000.0)</f>
        <v>220000</v>
      </c>
      <c r="L50" s="99">
        <f>IFERROR(__xludf.DUMMYFUNCTION("""COMPUTED_VALUE"""),220000.0)</f>
        <v>220000</v>
      </c>
      <c r="M50" s="96"/>
      <c r="N50" s="96">
        <f>IFERROR(__xludf.DUMMYFUNCTION("""COMPUTED_VALUE"""),0.0)</f>
        <v>0</v>
      </c>
      <c r="O50" s="96">
        <f>IFERROR(__xludf.DUMMYFUNCTION("""COMPUTED_VALUE"""),0.0)</f>
        <v>0</v>
      </c>
      <c r="P50" s="96">
        <f>IFERROR(__xludf.DUMMYFUNCTION("""COMPUTED_VALUE"""),0.0)</f>
        <v>0</v>
      </c>
      <c r="Q50" s="129">
        <f>IFERROR(__xludf.DUMMYFUNCTION("""COMPUTED_VALUE"""),0.0)</f>
        <v>0</v>
      </c>
      <c r="R50" s="99"/>
      <c r="S50" s="99">
        <f>IFERROR(__xludf.DUMMYFUNCTION("""COMPUTED_VALUE"""),220000.0)</f>
        <v>220000</v>
      </c>
    </row>
    <row r="51">
      <c r="A51" s="96">
        <f>IFERROR(__xludf.DUMMYFUNCTION("""COMPUTED_VALUE"""),1.0)</f>
        <v>1</v>
      </c>
      <c r="B51" s="98">
        <f>IFERROR(__xludf.DUMMYFUNCTION("""COMPUTED_VALUE"""),43743.0)</f>
        <v>43743</v>
      </c>
      <c r="C51" s="96" t="str">
        <f>IFERROR(__xludf.DUMMYFUNCTION("""COMPUTED_VALUE"""),"CONNECT")</f>
        <v>CONNECT</v>
      </c>
      <c r="D51" s="96" t="str">
        <f>IFERROR(__xludf.DUMMYFUNCTION("""COMPUTED_VALUE"""),"CONNECT1")</f>
        <v>CONNECT1</v>
      </c>
      <c r="E51" s="96"/>
      <c r="F51" s="96"/>
      <c r="G51" s="96"/>
      <c r="H51" s="96"/>
      <c r="I51" s="96"/>
      <c r="J51" s="96"/>
      <c r="K51" s="96">
        <f>IFERROR(__xludf.DUMMYFUNCTION("""COMPUTED_VALUE"""),1200000.0)</f>
        <v>1200000</v>
      </c>
      <c r="L51" s="99">
        <f>IFERROR(__xludf.DUMMYFUNCTION("""COMPUTED_VALUE"""),1200000.0)</f>
        <v>1200000</v>
      </c>
      <c r="M51" s="96"/>
      <c r="N51" s="96">
        <f>IFERROR(__xludf.DUMMYFUNCTION("""COMPUTED_VALUE"""),0.0)</f>
        <v>0</v>
      </c>
      <c r="O51" s="96">
        <f>IFERROR(__xludf.DUMMYFUNCTION("""COMPUTED_VALUE"""),0.0)</f>
        <v>0</v>
      </c>
      <c r="P51" s="96">
        <f>IFERROR(__xludf.DUMMYFUNCTION("""COMPUTED_VALUE"""),0.0)</f>
        <v>0</v>
      </c>
      <c r="Q51" s="129">
        <f>IFERROR(__xludf.DUMMYFUNCTION("""COMPUTED_VALUE"""),0.0)</f>
        <v>0</v>
      </c>
      <c r="R51" s="99"/>
      <c r="S51" s="99">
        <f>IFERROR(__xludf.DUMMYFUNCTION("""COMPUTED_VALUE"""),1200000.0)</f>
        <v>1200000</v>
      </c>
    </row>
    <row r="52">
      <c r="A52" s="96">
        <f>IFERROR(__xludf.DUMMYFUNCTION("""COMPUTED_VALUE"""),1.0)</f>
        <v>1</v>
      </c>
      <c r="B52" s="98">
        <f>IFERROR(__xludf.DUMMYFUNCTION("""COMPUTED_VALUE"""),43743.0)</f>
        <v>43743</v>
      </c>
      <c r="C52" s="96" t="str">
        <f>IFERROR(__xludf.DUMMYFUNCTION("""COMPUTED_VALUE"""),"KARIEN EBAN")</f>
        <v>KARIEN EBAN</v>
      </c>
      <c r="D52" s="96" t="str">
        <f>IFERROR(__xludf.DUMMYFUNCTION("""COMPUTED_VALUE"""),"KARIEN EBAN1")</f>
        <v>KARIEN EBAN1</v>
      </c>
      <c r="E52" s="96"/>
      <c r="F52" s="96"/>
      <c r="G52" s="96"/>
      <c r="H52" s="96"/>
      <c r="I52" s="96"/>
      <c r="J52" s="96"/>
      <c r="K52" s="96">
        <f>IFERROR(__xludf.DUMMYFUNCTION("""COMPUTED_VALUE"""),1500000.0)</f>
        <v>1500000</v>
      </c>
      <c r="L52" s="99">
        <f>IFERROR(__xludf.DUMMYFUNCTION("""COMPUTED_VALUE"""),1500000.0)</f>
        <v>1500000</v>
      </c>
      <c r="M52" s="96"/>
      <c r="N52" s="96">
        <f>IFERROR(__xludf.DUMMYFUNCTION("""COMPUTED_VALUE"""),0.0)</f>
        <v>0</v>
      </c>
      <c r="O52" s="96">
        <f>IFERROR(__xludf.DUMMYFUNCTION("""COMPUTED_VALUE"""),0.0)</f>
        <v>0</v>
      </c>
      <c r="P52" s="96">
        <f>IFERROR(__xludf.DUMMYFUNCTION("""COMPUTED_VALUE"""),0.0)</f>
        <v>0</v>
      </c>
      <c r="Q52" s="129">
        <f>IFERROR(__xludf.DUMMYFUNCTION("""COMPUTED_VALUE"""),0.0)</f>
        <v>0</v>
      </c>
      <c r="R52" s="99"/>
      <c r="S52" s="99">
        <f>IFERROR(__xludf.DUMMYFUNCTION("""COMPUTED_VALUE"""),1500000.0)</f>
        <v>1500000</v>
      </c>
    </row>
    <row r="53">
      <c r="A53" s="96">
        <f>IFERROR(__xludf.DUMMYFUNCTION("""COMPUTED_VALUE"""),1.0)</f>
        <v>1</v>
      </c>
      <c r="B53" s="98">
        <f>IFERROR(__xludf.DUMMYFUNCTION("""COMPUTED_VALUE"""),43743.0)</f>
        <v>43743</v>
      </c>
      <c r="C53" s="96" t="str">
        <f>IFERROR(__xludf.DUMMYFUNCTION("""COMPUTED_VALUE"""),"ZULU &amp; NDOMA")</f>
        <v>ZULU &amp; NDOMA</v>
      </c>
      <c r="D53" s="96" t="str">
        <f>IFERROR(__xludf.DUMMYFUNCTION("""COMPUTED_VALUE"""),"ZULU &amp; NDOMA1")</f>
        <v>ZULU &amp; NDOMA1</v>
      </c>
      <c r="E53" s="96"/>
      <c r="F53" s="96"/>
      <c r="G53" s="96"/>
      <c r="H53" s="96"/>
      <c r="I53" s="96"/>
      <c r="J53" s="96"/>
      <c r="K53" s="96">
        <f>IFERROR(__xludf.DUMMYFUNCTION("""COMPUTED_VALUE"""),165400.0)</f>
        <v>165400</v>
      </c>
      <c r="L53" s="99">
        <f>IFERROR(__xludf.DUMMYFUNCTION("""COMPUTED_VALUE"""),165400.0)</f>
        <v>165400</v>
      </c>
      <c r="M53" s="96"/>
      <c r="N53" s="96">
        <f>IFERROR(__xludf.DUMMYFUNCTION("""COMPUTED_VALUE"""),0.0)</f>
        <v>0</v>
      </c>
      <c r="O53" s="96">
        <f>IFERROR(__xludf.DUMMYFUNCTION("""COMPUTED_VALUE"""),0.0)</f>
        <v>0</v>
      </c>
      <c r="P53" s="96">
        <f>IFERROR(__xludf.DUMMYFUNCTION("""COMPUTED_VALUE"""),0.0)</f>
        <v>0</v>
      </c>
      <c r="Q53" s="129">
        <f>IFERROR(__xludf.DUMMYFUNCTION("""COMPUTED_VALUE"""),0.0)</f>
        <v>0</v>
      </c>
      <c r="R53" s="99"/>
      <c r="S53" s="99">
        <f>IFERROR(__xludf.DUMMYFUNCTION("""COMPUTED_VALUE"""),165400.0)</f>
        <v>165400</v>
      </c>
    </row>
    <row r="54">
      <c r="A54" s="96">
        <f>IFERROR(__xludf.DUMMYFUNCTION("""COMPUTED_VALUE"""),1.0)</f>
        <v>1</v>
      </c>
      <c r="B54" s="98">
        <f>IFERROR(__xludf.DUMMYFUNCTION("""COMPUTED_VALUE"""),43743.0)</f>
        <v>43743</v>
      </c>
      <c r="C54" s="96" t="str">
        <f>IFERROR(__xludf.DUMMYFUNCTION("""COMPUTED_VALUE"""),"TIWA AGBA")</f>
        <v>TIWA AGBA</v>
      </c>
      <c r="D54" s="96" t="str">
        <f>IFERROR(__xludf.DUMMYFUNCTION("""COMPUTED_VALUE"""),"TIWA AGBA1")</f>
        <v>TIWA AGBA1</v>
      </c>
      <c r="E54" s="96"/>
      <c r="F54" s="96"/>
      <c r="G54" s="96"/>
      <c r="H54" s="96"/>
      <c r="I54" s="96"/>
      <c r="J54" s="96"/>
      <c r="K54" s="96">
        <f>IFERROR(__xludf.DUMMYFUNCTION("""COMPUTED_VALUE"""),5000.0)</f>
        <v>5000</v>
      </c>
      <c r="L54" s="99">
        <f>IFERROR(__xludf.DUMMYFUNCTION("""COMPUTED_VALUE"""),5000.0)</f>
        <v>5000</v>
      </c>
      <c r="M54" s="96"/>
      <c r="N54" s="96">
        <f>IFERROR(__xludf.DUMMYFUNCTION("""COMPUTED_VALUE"""),0.0)</f>
        <v>0</v>
      </c>
      <c r="O54" s="96">
        <f>IFERROR(__xludf.DUMMYFUNCTION("""COMPUTED_VALUE"""),0.0)</f>
        <v>0</v>
      </c>
      <c r="P54" s="96">
        <f>IFERROR(__xludf.DUMMYFUNCTION("""COMPUTED_VALUE"""),0.0)</f>
        <v>0</v>
      </c>
      <c r="Q54" s="129">
        <f>IFERROR(__xludf.DUMMYFUNCTION("""COMPUTED_VALUE"""),0.0)</f>
        <v>0</v>
      </c>
      <c r="R54" s="99"/>
      <c r="S54" s="99">
        <f>IFERROR(__xludf.DUMMYFUNCTION("""COMPUTED_VALUE"""),5000.0)</f>
        <v>5000</v>
      </c>
    </row>
    <row r="55">
      <c r="A55" s="96">
        <f>IFERROR(__xludf.DUMMYFUNCTION("""COMPUTED_VALUE"""),1.0)</f>
        <v>1</v>
      </c>
      <c r="B55" s="98">
        <f>IFERROR(__xludf.DUMMYFUNCTION("""COMPUTED_VALUE"""),43743.0)</f>
        <v>43743</v>
      </c>
      <c r="C55" s="96" t="str">
        <f>IFERROR(__xludf.DUMMYFUNCTION("""COMPUTED_VALUE"""),"PAPA AJASCO BETTE")</f>
        <v>PAPA AJASCO BETTE</v>
      </c>
      <c r="D55" s="96" t="str">
        <f>IFERROR(__xludf.DUMMYFUNCTION("""COMPUTED_VALUE"""),"PAPA AJASCO BETTE1")</f>
        <v>PAPA AJASCO BETTE1</v>
      </c>
      <c r="E55" s="96"/>
      <c r="F55" s="96"/>
      <c r="G55" s="96"/>
      <c r="H55" s="96"/>
      <c r="I55" s="96"/>
      <c r="J55" s="96"/>
      <c r="K55" s="96">
        <f>IFERROR(__xludf.DUMMYFUNCTION("""COMPUTED_VALUE"""),200000.0)</f>
        <v>200000</v>
      </c>
      <c r="L55" s="99">
        <f>IFERROR(__xludf.DUMMYFUNCTION("""COMPUTED_VALUE"""),200000.0)</f>
        <v>200000</v>
      </c>
      <c r="M55" s="96"/>
      <c r="N55" s="96">
        <f>IFERROR(__xludf.DUMMYFUNCTION("""COMPUTED_VALUE"""),0.0)</f>
        <v>0</v>
      </c>
      <c r="O55" s="96">
        <f>IFERROR(__xludf.DUMMYFUNCTION("""COMPUTED_VALUE"""),0.0)</f>
        <v>0</v>
      </c>
      <c r="P55" s="96">
        <f>IFERROR(__xludf.DUMMYFUNCTION("""COMPUTED_VALUE"""),0.0)</f>
        <v>0</v>
      </c>
      <c r="Q55" s="129">
        <f>IFERROR(__xludf.DUMMYFUNCTION("""COMPUTED_VALUE"""),0.0)</f>
        <v>0</v>
      </c>
      <c r="R55" s="99"/>
      <c r="S55" s="99">
        <f>IFERROR(__xludf.DUMMYFUNCTION("""COMPUTED_VALUE"""),200000.0)</f>
        <v>200000</v>
      </c>
    </row>
    <row r="56">
      <c r="A56" s="96">
        <f>IFERROR(__xludf.DUMMYFUNCTION("""COMPUTED_VALUE"""),2.0)</f>
        <v>2</v>
      </c>
      <c r="B56" s="98">
        <f>IFERROR(__xludf.DUMMYFUNCTION("""COMPUTED_VALUE"""),44027.0)</f>
        <v>44027</v>
      </c>
      <c r="C56" s="96" t="str">
        <f>IFERROR(__xludf.DUMMYFUNCTION("""COMPUTED_VALUE"""),"REMMY BODES")</f>
        <v>REMMY BODES</v>
      </c>
      <c r="D56" s="96" t="str">
        <f>IFERROR(__xludf.DUMMYFUNCTION("""COMPUTED_VALUE"""),"REMMY BODES2")</f>
        <v>REMMY BODES2</v>
      </c>
      <c r="E56" s="96"/>
      <c r="F56" s="96"/>
      <c r="G56" s="96"/>
      <c r="H56" s="96"/>
      <c r="I56" s="96"/>
      <c r="J56" s="96"/>
      <c r="K56" s="96">
        <f>IFERROR(__xludf.DUMMYFUNCTION("""COMPUTED_VALUE"""),200000.0)</f>
        <v>200000</v>
      </c>
      <c r="L56" s="99">
        <f>IFERROR(__xludf.DUMMYFUNCTION("""COMPUTED_VALUE"""),200000.0)</f>
        <v>200000</v>
      </c>
      <c r="M56" s="96"/>
      <c r="N56" s="96">
        <f>IFERROR(__xludf.DUMMYFUNCTION("""COMPUTED_VALUE"""),0.0)</f>
        <v>0</v>
      </c>
      <c r="O56" s="96">
        <f>IFERROR(__xludf.DUMMYFUNCTION("""COMPUTED_VALUE"""),0.0)</f>
        <v>0</v>
      </c>
      <c r="P56" s="96">
        <f>IFERROR(__xludf.DUMMYFUNCTION("""COMPUTED_VALUE"""),0.0)</f>
        <v>0</v>
      </c>
      <c r="Q56" s="129">
        <f>IFERROR(__xludf.DUMMYFUNCTION("""COMPUTED_VALUE"""),0.0)</f>
        <v>0</v>
      </c>
      <c r="R56" s="99"/>
      <c r="S56" s="99">
        <f>IFERROR(__xludf.DUMMYFUNCTION("""COMPUTED_VALUE"""),710000.0)</f>
        <v>710000</v>
      </c>
    </row>
    <row r="57">
      <c r="A57" s="96">
        <f>IFERROR(__xludf.DUMMYFUNCTION("""COMPUTED_VALUE"""),2.0)</f>
        <v>2</v>
      </c>
      <c r="B57" s="98">
        <f>IFERROR(__xludf.DUMMYFUNCTION("""COMPUTED_VALUE"""),44027.0)</f>
        <v>44027</v>
      </c>
      <c r="C57" s="96" t="str">
        <f>IFERROR(__xludf.DUMMYFUNCTION("""COMPUTED_VALUE"""),"CORNWELL")</f>
        <v>CORNWELL</v>
      </c>
      <c r="D57" s="96" t="str">
        <f>IFERROR(__xludf.DUMMYFUNCTION("""COMPUTED_VALUE"""),"CORNWELL2")</f>
        <v>CORNWELL2</v>
      </c>
      <c r="E57" s="96"/>
      <c r="F57" s="96"/>
      <c r="G57" s="96"/>
      <c r="H57" s="96"/>
      <c r="I57" s="96"/>
      <c r="J57" s="96"/>
      <c r="K57" s="96">
        <f>IFERROR(__xludf.DUMMYFUNCTION("""COMPUTED_VALUE"""),5000000.0)</f>
        <v>5000000</v>
      </c>
      <c r="L57" s="99">
        <f>IFERROR(__xludf.DUMMYFUNCTION("""COMPUTED_VALUE"""),5000000.0)</f>
        <v>5000000</v>
      </c>
      <c r="M57" s="96"/>
      <c r="N57" s="96">
        <f>IFERROR(__xludf.DUMMYFUNCTION("""COMPUTED_VALUE"""),0.0)</f>
        <v>0</v>
      </c>
      <c r="O57" s="96">
        <f>IFERROR(__xludf.DUMMYFUNCTION("""COMPUTED_VALUE"""),0.0)</f>
        <v>0</v>
      </c>
      <c r="P57" s="96">
        <f>IFERROR(__xludf.DUMMYFUNCTION("""COMPUTED_VALUE"""),0.0)</f>
        <v>0</v>
      </c>
      <c r="Q57" s="129">
        <f>IFERROR(__xludf.DUMMYFUNCTION("""COMPUTED_VALUE"""),0.0)</f>
        <v>0</v>
      </c>
      <c r="R57" s="99"/>
      <c r="S57" s="99">
        <f>IFERROR(__xludf.DUMMYFUNCTION("""COMPUTED_VALUE"""),5879440.0)</f>
        <v>5879440</v>
      </c>
    </row>
    <row r="58">
      <c r="A58" s="96">
        <f>IFERROR(__xludf.DUMMYFUNCTION("""COMPUTED_VALUE"""),1.0)</f>
        <v>1</v>
      </c>
      <c r="B58" s="98">
        <f>IFERROR(__xludf.DUMMYFUNCTION("""COMPUTED_VALUE"""),44027.0)</f>
        <v>44027</v>
      </c>
      <c r="C58" s="96" t="str">
        <f>IFERROR(__xludf.DUMMYFUNCTION("""COMPUTED_VALUE"""),"LIVINUS")</f>
        <v>LIVINUS</v>
      </c>
      <c r="D58" s="96" t="str">
        <f>IFERROR(__xludf.DUMMYFUNCTION("""COMPUTED_VALUE"""),"LIVINUS1")</f>
        <v>LIVINUS1</v>
      </c>
      <c r="E58" s="96"/>
      <c r="F58" s="96"/>
      <c r="G58" s="96"/>
      <c r="H58" s="96"/>
      <c r="I58" s="96"/>
      <c r="J58" s="96"/>
      <c r="K58" s="96">
        <f>IFERROR(__xludf.DUMMYFUNCTION("""COMPUTED_VALUE"""),240000.0)</f>
        <v>240000</v>
      </c>
      <c r="L58" s="99">
        <f>IFERROR(__xludf.DUMMYFUNCTION("""COMPUTED_VALUE"""),240000.0)</f>
        <v>240000</v>
      </c>
      <c r="M58" s="96"/>
      <c r="N58" s="96">
        <f>IFERROR(__xludf.DUMMYFUNCTION("""COMPUTED_VALUE"""),0.0)</f>
        <v>0</v>
      </c>
      <c r="O58" s="96">
        <f>IFERROR(__xludf.DUMMYFUNCTION("""COMPUTED_VALUE"""),0.0)</f>
        <v>0</v>
      </c>
      <c r="P58" s="96">
        <f>IFERROR(__xludf.DUMMYFUNCTION("""COMPUTED_VALUE"""),0.0)</f>
        <v>0</v>
      </c>
      <c r="Q58" s="129">
        <f>IFERROR(__xludf.DUMMYFUNCTION("""COMPUTED_VALUE"""),0.0)</f>
        <v>0</v>
      </c>
      <c r="R58" s="99"/>
      <c r="S58" s="99">
        <f>IFERROR(__xludf.DUMMYFUNCTION("""COMPUTED_VALUE"""),240000.0)</f>
        <v>240000</v>
      </c>
    </row>
    <row r="59">
      <c r="A59" s="96">
        <f>IFERROR(__xludf.DUMMYFUNCTION("""COMPUTED_VALUE"""),1.0)</f>
        <v>1</v>
      </c>
      <c r="B59" s="98">
        <f>IFERROR(__xludf.DUMMYFUNCTION("""COMPUTED_VALUE"""),44027.0)</f>
        <v>44027</v>
      </c>
      <c r="C59" s="96" t="str">
        <f>IFERROR(__xludf.DUMMYFUNCTION("""COMPUTED_VALUE"""),"JAMES AKAN")</f>
        <v>JAMES AKAN</v>
      </c>
      <c r="D59" s="96" t="str">
        <f>IFERROR(__xludf.DUMMYFUNCTION("""COMPUTED_VALUE"""),"JAMES AKAN1")</f>
        <v>JAMES AKAN1</v>
      </c>
      <c r="E59" s="96"/>
      <c r="F59" s="96"/>
      <c r="G59" s="96"/>
      <c r="H59" s="96"/>
      <c r="I59" s="96"/>
      <c r="J59" s="96"/>
      <c r="K59" s="96">
        <f>IFERROR(__xludf.DUMMYFUNCTION("""COMPUTED_VALUE"""),245000.0)</f>
        <v>245000</v>
      </c>
      <c r="L59" s="99">
        <f>IFERROR(__xludf.DUMMYFUNCTION("""COMPUTED_VALUE"""),245000.0)</f>
        <v>245000</v>
      </c>
      <c r="M59" s="96"/>
      <c r="N59" s="96">
        <f>IFERROR(__xludf.DUMMYFUNCTION("""COMPUTED_VALUE"""),0.0)</f>
        <v>0</v>
      </c>
      <c r="O59" s="96">
        <f>IFERROR(__xludf.DUMMYFUNCTION("""COMPUTED_VALUE"""),0.0)</f>
        <v>0</v>
      </c>
      <c r="P59" s="96">
        <f>IFERROR(__xludf.DUMMYFUNCTION("""COMPUTED_VALUE"""),0.0)</f>
        <v>0</v>
      </c>
      <c r="Q59" s="129">
        <f>IFERROR(__xludf.DUMMYFUNCTION("""COMPUTED_VALUE"""),0.0)</f>
        <v>0</v>
      </c>
      <c r="R59" s="99"/>
      <c r="S59" s="99">
        <f>IFERROR(__xludf.DUMMYFUNCTION("""COMPUTED_VALUE"""),245000.0)</f>
        <v>245000</v>
      </c>
    </row>
    <row r="60">
      <c r="A60" s="96">
        <f>IFERROR(__xludf.DUMMYFUNCTION("""COMPUTED_VALUE"""),1.0)</f>
        <v>1</v>
      </c>
      <c r="B60" s="98">
        <f>IFERROR(__xludf.DUMMYFUNCTION("""COMPUTED_VALUE"""),44029.0)</f>
        <v>44029</v>
      </c>
      <c r="C60" s="96" t="str">
        <f>IFERROR(__xludf.DUMMYFUNCTION("""COMPUTED_VALUE"""),"RECTOR W.")</f>
        <v>RECTOR W.</v>
      </c>
      <c r="D60" s="96" t="str">
        <f>IFERROR(__xludf.DUMMYFUNCTION("""COMPUTED_VALUE"""),"RECTOR W.1")</f>
        <v>RECTOR W.1</v>
      </c>
      <c r="E60" s="96">
        <f>IFERROR(__xludf.DUMMYFUNCTION("""COMPUTED_VALUE"""),1316.0)</f>
        <v>1316</v>
      </c>
      <c r="F60" s="96">
        <f>IFERROR(__xludf.DUMMYFUNCTION("""COMPUTED_VALUE"""),160.0)</f>
        <v>160</v>
      </c>
      <c r="G60" s="96"/>
      <c r="H60" s="96">
        <f>IFERROR(__xludf.DUMMYFUNCTION("""COMPUTED_VALUE"""),20.0)</f>
        <v>20</v>
      </c>
      <c r="I60" s="96">
        <f>IFERROR(__xludf.DUMMYFUNCTION("""COMPUTED_VALUE"""),0.0)</f>
        <v>0</v>
      </c>
      <c r="J60" s="96">
        <f>IFERROR(__xludf.DUMMYFUNCTION("""COMPUTED_VALUE"""),780.0)</f>
        <v>780</v>
      </c>
      <c r="K60" s="96"/>
      <c r="L60" s="99">
        <f>IFERROR(__xludf.DUMMYFUNCTION("""COMPUTED_VALUE"""),-1010880.0)</f>
        <v>-1010880</v>
      </c>
      <c r="M60" s="96">
        <f>IFERROR(__xludf.DUMMYFUNCTION("""COMPUTED_VALUE"""),8.0)</f>
        <v>8</v>
      </c>
      <c r="N60" s="96">
        <f>IFERROR(__xludf.DUMMYFUNCTION("""COMPUTED_VALUE"""),0.0)</f>
        <v>0</v>
      </c>
      <c r="O60" s="96">
        <f>IFERROR(__xludf.DUMMYFUNCTION("""COMPUTED_VALUE"""),20.0)</f>
        <v>20</v>
      </c>
      <c r="P60" s="96">
        <f>IFERROR(__xludf.DUMMYFUNCTION("""COMPUTED_VALUE"""),36.0)</f>
        <v>36</v>
      </c>
      <c r="Q60" s="129">
        <f>IFERROR(__xludf.DUMMYFUNCTION("""COMPUTED_VALUE"""),1296.0)</f>
        <v>1296</v>
      </c>
      <c r="R60" s="99">
        <f>IFERROR(__xludf.DUMMYFUNCTION("""COMPUTED_VALUE"""),1010880.0)</f>
        <v>1010880</v>
      </c>
      <c r="S60" s="99">
        <f>IFERROR(__xludf.DUMMYFUNCTION("""COMPUTED_VALUE"""),-1010880.0)</f>
        <v>-1010880</v>
      </c>
    </row>
    <row r="61">
      <c r="A61" s="96">
        <f>IFERROR(__xludf.DUMMYFUNCTION("""COMPUTED_VALUE"""),2.0)</f>
        <v>2</v>
      </c>
      <c r="B61" s="98">
        <f>IFERROR(__xludf.DUMMYFUNCTION("""COMPUTED_VALUE"""),44030.0)</f>
        <v>44030</v>
      </c>
      <c r="C61" s="96" t="str">
        <f>IFERROR(__xludf.DUMMYFUNCTION("""COMPUTED_VALUE"""),"CONNECT")</f>
        <v>CONNECT</v>
      </c>
      <c r="D61" s="96" t="str">
        <f>IFERROR(__xludf.DUMMYFUNCTION("""COMPUTED_VALUE"""),"CONNECT2")</f>
        <v>CONNECT2</v>
      </c>
      <c r="E61" s="96"/>
      <c r="F61" s="96"/>
      <c r="G61" s="96"/>
      <c r="H61" s="96"/>
      <c r="I61" s="96"/>
      <c r="J61" s="96"/>
      <c r="K61" s="96"/>
      <c r="L61" s="99">
        <f>IFERROR(__xludf.DUMMYFUNCTION("""COMPUTED_VALUE"""),0.0)</f>
        <v>0</v>
      </c>
      <c r="M61" s="96"/>
      <c r="N61" s="96">
        <f>IFERROR(__xludf.DUMMYFUNCTION("""COMPUTED_VALUE"""),0.0)</f>
        <v>0</v>
      </c>
      <c r="O61" s="96">
        <f>IFERROR(__xludf.DUMMYFUNCTION("""COMPUTED_VALUE"""),0.0)</f>
        <v>0</v>
      </c>
      <c r="P61" s="96">
        <f>IFERROR(__xludf.DUMMYFUNCTION("""COMPUTED_VALUE"""),0.0)</f>
        <v>0</v>
      </c>
      <c r="Q61" s="129">
        <f>IFERROR(__xludf.DUMMYFUNCTION("""COMPUTED_VALUE"""),0.0)</f>
        <v>0</v>
      </c>
      <c r="R61" s="99"/>
      <c r="S61" s="99">
        <f>IFERROR(__xludf.DUMMYFUNCTION("""COMPUTED_VALUE"""),1200000.0)</f>
        <v>1200000</v>
      </c>
    </row>
    <row r="62">
      <c r="A62" s="96">
        <f>IFERROR(__xludf.DUMMYFUNCTION("""COMPUTED_VALUE"""),2.0)</f>
        <v>2</v>
      </c>
      <c r="B62" s="98">
        <f>IFERROR(__xludf.DUMMYFUNCTION("""COMPUTED_VALUE"""),44028.0)</f>
        <v>44028</v>
      </c>
      <c r="C62" s="96" t="str">
        <f>IFERROR(__xludf.DUMMYFUNCTION("""COMPUTED_VALUE"""),"RECTOR W.")</f>
        <v>RECTOR W.</v>
      </c>
      <c r="D62" s="96" t="str">
        <f>IFERROR(__xludf.DUMMYFUNCTION("""COMPUTED_VALUE"""),"RECTOR W.2")</f>
        <v>RECTOR W.2</v>
      </c>
      <c r="E62" s="96"/>
      <c r="F62" s="96"/>
      <c r="G62" s="96"/>
      <c r="H62" s="96"/>
      <c r="I62" s="96"/>
      <c r="J62" s="96"/>
      <c r="K62" s="96">
        <f>IFERROR(__xludf.DUMMYFUNCTION("""COMPUTED_VALUE"""),567000.0)</f>
        <v>567000</v>
      </c>
      <c r="L62" s="99">
        <f>IFERROR(__xludf.DUMMYFUNCTION("""COMPUTED_VALUE"""),567000.0)</f>
        <v>567000</v>
      </c>
      <c r="M62" s="96"/>
      <c r="N62" s="96">
        <f>IFERROR(__xludf.DUMMYFUNCTION("""COMPUTED_VALUE"""),0.0)</f>
        <v>0</v>
      </c>
      <c r="O62" s="96">
        <f>IFERROR(__xludf.DUMMYFUNCTION("""COMPUTED_VALUE"""),0.0)</f>
        <v>0</v>
      </c>
      <c r="P62" s="96">
        <f>IFERROR(__xludf.DUMMYFUNCTION("""COMPUTED_VALUE"""),0.0)</f>
        <v>0</v>
      </c>
      <c r="Q62" s="129">
        <f>IFERROR(__xludf.DUMMYFUNCTION("""COMPUTED_VALUE"""),0.0)</f>
        <v>0</v>
      </c>
      <c r="R62" s="99"/>
      <c r="S62" s="99">
        <f>IFERROR(__xludf.DUMMYFUNCTION("""COMPUTED_VALUE"""),-443880.0)</f>
        <v>-443880</v>
      </c>
    </row>
    <row r="63">
      <c r="A63" s="96">
        <f>IFERROR(__xludf.DUMMYFUNCTION("""COMPUTED_VALUE"""),3.0)</f>
        <v>3</v>
      </c>
      <c r="B63" s="98">
        <f>IFERROR(__xludf.DUMMYFUNCTION("""COMPUTED_VALUE"""),44028.0)</f>
        <v>44028</v>
      </c>
      <c r="C63" s="96" t="str">
        <f>IFERROR(__xludf.DUMMYFUNCTION("""COMPUTED_VALUE"""),"RECTOR W.")</f>
        <v>RECTOR W.</v>
      </c>
      <c r="D63" s="96" t="str">
        <f>IFERROR(__xludf.DUMMYFUNCTION("""COMPUTED_VALUE"""),"RECTOR W.3")</f>
        <v>RECTOR W.3</v>
      </c>
      <c r="E63" s="96"/>
      <c r="F63" s="96"/>
      <c r="G63" s="96"/>
      <c r="H63" s="96"/>
      <c r="I63" s="96"/>
      <c r="J63" s="96"/>
      <c r="K63" s="96">
        <f>IFERROR(__xludf.DUMMYFUNCTION("""COMPUTED_VALUE"""),50000.0)</f>
        <v>50000</v>
      </c>
      <c r="L63" s="99">
        <f>IFERROR(__xludf.DUMMYFUNCTION("""COMPUTED_VALUE"""),50000.0)</f>
        <v>50000</v>
      </c>
      <c r="M63" s="96"/>
      <c r="N63" s="96">
        <f>IFERROR(__xludf.DUMMYFUNCTION("""COMPUTED_VALUE"""),0.0)</f>
        <v>0</v>
      </c>
      <c r="O63" s="96">
        <f>IFERROR(__xludf.DUMMYFUNCTION("""COMPUTED_VALUE"""),0.0)</f>
        <v>0</v>
      </c>
      <c r="P63" s="96">
        <f>IFERROR(__xludf.DUMMYFUNCTION("""COMPUTED_VALUE"""),0.0)</f>
        <v>0</v>
      </c>
      <c r="Q63" s="129">
        <f>IFERROR(__xludf.DUMMYFUNCTION("""COMPUTED_VALUE"""),0.0)</f>
        <v>0</v>
      </c>
      <c r="R63" s="99"/>
      <c r="S63" s="99">
        <f>IFERROR(__xludf.DUMMYFUNCTION("""COMPUTED_VALUE"""),-393880.0)</f>
        <v>-393880</v>
      </c>
    </row>
    <row r="64">
      <c r="A64" s="96">
        <f>IFERROR(__xludf.DUMMYFUNCTION("""COMPUTED_VALUE"""),4.0)</f>
        <v>4</v>
      </c>
      <c r="B64" s="98">
        <f>IFERROR(__xludf.DUMMYFUNCTION("""COMPUTED_VALUE"""),44028.0)</f>
        <v>44028</v>
      </c>
      <c r="C64" s="96" t="str">
        <f>IFERROR(__xludf.DUMMYFUNCTION("""COMPUTED_VALUE"""),"RECTOR W.")</f>
        <v>RECTOR W.</v>
      </c>
      <c r="D64" s="96" t="str">
        <f>IFERROR(__xludf.DUMMYFUNCTION("""COMPUTED_VALUE"""),"RECTOR W.4")</f>
        <v>RECTOR W.4</v>
      </c>
      <c r="E64" s="96"/>
      <c r="F64" s="96"/>
      <c r="G64" s="96"/>
      <c r="H64" s="96"/>
      <c r="I64" s="96"/>
      <c r="J64" s="96"/>
      <c r="K64" s="96">
        <f>IFERROR(__xludf.DUMMYFUNCTION("""COMPUTED_VALUE"""),30000.0)</f>
        <v>30000</v>
      </c>
      <c r="L64" s="99">
        <f>IFERROR(__xludf.DUMMYFUNCTION("""COMPUTED_VALUE"""),30000.0)</f>
        <v>30000</v>
      </c>
      <c r="M64" s="96"/>
      <c r="N64" s="96">
        <f>IFERROR(__xludf.DUMMYFUNCTION("""COMPUTED_VALUE"""),0.0)</f>
        <v>0</v>
      </c>
      <c r="O64" s="96">
        <f>IFERROR(__xludf.DUMMYFUNCTION("""COMPUTED_VALUE"""),0.0)</f>
        <v>0</v>
      </c>
      <c r="P64" s="96">
        <f>IFERROR(__xludf.DUMMYFUNCTION("""COMPUTED_VALUE"""),0.0)</f>
        <v>0</v>
      </c>
      <c r="Q64" s="129">
        <f>IFERROR(__xludf.DUMMYFUNCTION("""COMPUTED_VALUE"""),0.0)</f>
        <v>0</v>
      </c>
      <c r="R64" s="99"/>
      <c r="S64" s="99">
        <f>IFERROR(__xludf.DUMMYFUNCTION("""COMPUTED_VALUE"""),-363880.0)</f>
        <v>-363880</v>
      </c>
    </row>
    <row r="65">
      <c r="A65" s="96">
        <f>IFERROR(__xludf.DUMMYFUNCTION("""COMPUTED_VALUE"""),5.0)</f>
        <v>5</v>
      </c>
      <c r="B65" s="98">
        <f>IFERROR(__xludf.DUMMYFUNCTION("""COMPUTED_VALUE"""),44028.0)</f>
        <v>44028</v>
      </c>
      <c r="C65" s="96" t="str">
        <f>IFERROR(__xludf.DUMMYFUNCTION("""COMPUTED_VALUE"""),"RECTOR W.")</f>
        <v>RECTOR W.</v>
      </c>
      <c r="D65" s="96" t="str">
        <f>IFERROR(__xludf.DUMMYFUNCTION("""COMPUTED_VALUE"""),"RECTOR W.5")</f>
        <v>RECTOR W.5</v>
      </c>
      <c r="E65" s="96"/>
      <c r="F65" s="96"/>
      <c r="G65" s="96"/>
      <c r="H65" s="96"/>
      <c r="I65" s="96"/>
      <c r="J65" s="96"/>
      <c r="K65" s="96">
        <f>IFERROR(__xludf.DUMMYFUNCTION("""COMPUTED_VALUE"""),5000.0)</f>
        <v>5000</v>
      </c>
      <c r="L65" s="99">
        <f>IFERROR(__xludf.DUMMYFUNCTION("""COMPUTED_VALUE"""),5000.0)</f>
        <v>5000</v>
      </c>
      <c r="M65" s="96"/>
      <c r="N65" s="96">
        <f>IFERROR(__xludf.DUMMYFUNCTION("""COMPUTED_VALUE"""),0.0)</f>
        <v>0</v>
      </c>
      <c r="O65" s="96">
        <f>IFERROR(__xludf.DUMMYFUNCTION("""COMPUTED_VALUE"""),0.0)</f>
        <v>0</v>
      </c>
      <c r="P65" s="96">
        <f>IFERROR(__xludf.DUMMYFUNCTION("""COMPUTED_VALUE"""),0.0)</f>
        <v>0</v>
      </c>
      <c r="Q65" s="129">
        <f>IFERROR(__xludf.DUMMYFUNCTION("""COMPUTED_VALUE"""),0.0)</f>
        <v>0</v>
      </c>
      <c r="R65" s="99"/>
      <c r="S65" s="99">
        <f>IFERROR(__xludf.DUMMYFUNCTION("""COMPUTED_VALUE"""),-358880.0)</f>
        <v>-358880</v>
      </c>
    </row>
    <row r="66">
      <c r="A66" s="96">
        <f>IFERROR(__xludf.DUMMYFUNCTION("""COMPUTED_VALUE"""),3.0)</f>
        <v>3</v>
      </c>
      <c r="B66" s="98">
        <f>IFERROR(__xludf.DUMMYFUNCTION("""COMPUTED_VALUE"""),44029.0)</f>
        <v>44029</v>
      </c>
      <c r="C66" s="96" t="str">
        <f>IFERROR(__xludf.DUMMYFUNCTION("""COMPUTED_VALUE"""),"CORNWELL")</f>
        <v>CORNWELL</v>
      </c>
      <c r="D66" s="96" t="str">
        <f>IFERROR(__xludf.DUMMYFUNCTION("""COMPUTED_VALUE"""),"CORNWELL3")</f>
        <v>CORNWELL3</v>
      </c>
      <c r="E66" s="96"/>
      <c r="F66" s="96"/>
      <c r="G66" s="96"/>
      <c r="H66" s="96"/>
      <c r="I66" s="96"/>
      <c r="J66" s="96"/>
      <c r="K66" s="96">
        <f>IFERROR(__xludf.DUMMYFUNCTION("""COMPUTED_VALUE"""),5000000.0)</f>
        <v>5000000</v>
      </c>
      <c r="L66" s="99">
        <f>IFERROR(__xludf.DUMMYFUNCTION("""COMPUTED_VALUE"""),5000000.0)</f>
        <v>5000000</v>
      </c>
      <c r="M66" s="96"/>
      <c r="N66" s="96">
        <f>IFERROR(__xludf.DUMMYFUNCTION("""COMPUTED_VALUE"""),0.0)</f>
        <v>0</v>
      </c>
      <c r="O66" s="96">
        <f>IFERROR(__xludf.DUMMYFUNCTION("""COMPUTED_VALUE"""),0.0)</f>
        <v>0</v>
      </c>
      <c r="P66" s="96">
        <f>IFERROR(__xludf.DUMMYFUNCTION("""COMPUTED_VALUE"""),0.0)</f>
        <v>0</v>
      </c>
      <c r="Q66" s="129">
        <f>IFERROR(__xludf.DUMMYFUNCTION("""COMPUTED_VALUE"""),0.0)</f>
        <v>0</v>
      </c>
      <c r="R66" s="99"/>
      <c r="S66" s="99">
        <f>IFERROR(__xludf.DUMMYFUNCTION("""COMPUTED_VALUE"""),1.087944E7)</f>
        <v>10879440</v>
      </c>
    </row>
    <row r="67">
      <c r="A67" s="96">
        <f>IFERROR(__xludf.DUMMYFUNCTION("""COMPUTED_VALUE"""),2.0)</f>
        <v>2</v>
      </c>
      <c r="B67" s="98">
        <f>IFERROR(__xludf.DUMMYFUNCTION("""COMPUTED_VALUE"""),44029.0)</f>
        <v>44029</v>
      </c>
      <c r="C67" s="96" t="str">
        <f>IFERROR(__xludf.DUMMYFUNCTION("""COMPUTED_VALUE"""),"NDOMA BODE I.D")</f>
        <v>NDOMA BODE I.D</v>
      </c>
      <c r="D67" s="96" t="str">
        <f>IFERROR(__xludf.DUMMYFUNCTION("""COMPUTED_VALUE"""),"NDOMA BODE I.D2")</f>
        <v>NDOMA BODE I.D2</v>
      </c>
      <c r="E67" s="96"/>
      <c r="F67" s="96"/>
      <c r="G67" s="96"/>
      <c r="H67" s="96"/>
      <c r="I67" s="96"/>
      <c r="J67" s="96"/>
      <c r="K67" s="96">
        <f>IFERROR(__xludf.DUMMYFUNCTION("""COMPUTED_VALUE"""),200000.0)</f>
        <v>200000</v>
      </c>
      <c r="L67" s="99">
        <f>IFERROR(__xludf.DUMMYFUNCTION("""COMPUTED_VALUE"""),200000.0)</f>
        <v>200000</v>
      </c>
      <c r="M67" s="96"/>
      <c r="N67" s="96">
        <f>IFERROR(__xludf.DUMMYFUNCTION("""COMPUTED_VALUE"""),0.0)</f>
        <v>0</v>
      </c>
      <c r="O67" s="96">
        <f>IFERROR(__xludf.DUMMYFUNCTION("""COMPUTED_VALUE"""),0.0)</f>
        <v>0</v>
      </c>
      <c r="P67" s="96">
        <f>IFERROR(__xludf.DUMMYFUNCTION("""COMPUTED_VALUE"""),0.0)</f>
        <v>0</v>
      </c>
      <c r="Q67" s="129">
        <f>IFERROR(__xludf.DUMMYFUNCTION("""COMPUTED_VALUE"""),0.0)</f>
        <v>0</v>
      </c>
      <c r="R67" s="99"/>
      <c r="S67" s="99">
        <f>IFERROR(__xludf.DUMMYFUNCTION("""COMPUTED_VALUE"""),1000000.0)</f>
        <v>1000000</v>
      </c>
    </row>
    <row r="68">
      <c r="A68" s="96">
        <f>IFERROR(__xludf.DUMMYFUNCTION("""COMPUTED_VALUE"""),3.0)</f>
        <v>3</v>
      </c>
      <c r="B68" s="98">
        <f>IFERROR(__xludf.DUMMYFUNCTION("""COMPUTED_VALUE"""),44029.0)</f>
        <v>44029</v>
      </c>
      <c r="C68" s="96" t="str">
        <f>IFERROR(__xludf.DUMMYFUNCTION("""COMPUTED_VALUE"""),"NDOMA BODE I.D")</f>
        <v>NDOMA BODE I.D</v>
      </c>
      <c r="D68" s="96" t="str">
        <f>IFERROR(__xludf.DUMMYFUNCTION("""COMPUTED_VALUE"""),"NDOMA BODE I.D3")</f>
        <v>NDOMA BODE I.D3</v>
      </c>
      <c r="E68" s="96"/>
      <c r="F68" s="96"/>
      <c r="G68" s="96"/>
      <c r="H68" s="96"/>
      <c r="I68" s="96"/>
      <c r="J68" s="96"/>
      <c r="K68" s="96">
        <f>IFERROR(__xludf.DUMMYFUNCTION("""COMPUTED_VALUE"""),25550.0)</f>
        <v>25550</v>
      </c>
      <c r="L68" s="99">
        <f>IFERROR(__xludf.DUMMYFUNCTION("""COMPUTED_VALUE"""),25550.0)</f>
        <v>25550</v>
      </c>
      <c r="M68" s="96"/>
      <c r="N68" s="96">
        <f>IFERROR(__xludf.DUMMYFUNCTION("""COMPUTED_VALUE"""),0.0)</f>
        <v>0</v>
      </c>
      <c r="O68" s="96">
        <f>IFERROR(__xludf.DUMMYFUNCTION("""COMPUTED_VALUE"""),0.0)</f>
        <v>0</v>
      </c>
      <c r="P68" s="96">
        <f>IFERROR(__xludf.DUMMYFUNCTION("""COMPUTED_VALUE"""),0.0)</f>
        <v>0</v>
      </c>
      <c r="Q68" s="129">
        <f>IFERROR(__xludf.DUMMYFUNCTION("""COMPUTED_VALUE"""),0.0)</f>
        <v>0</v>
      </c>
      <c r="R68" s="99"/>
      <c r="S68" s="99">
        <f>IFERROR(__xludf.DUMMYFUNCTION("""COMPUTED_VALUE"""),1025550.0)</f>
        <v>1025550</v>
      </c>
    </row>
    <row r="69">
      <c r="A69" s="96">
        <f>IFERROR(__xludf.DUMMYFUNCTION("""COMPUTED_VALUE"""),2.0)</f>
        <v>2</v>
      </c>
      <c r="B69" s="98">
        <f>IFERROR(__xludf.DUMMYFUNCTION("""COMPUTED_VALUE"""),44029.0)</f>
        <v>44029</v>
      </c>
      <c r="C69" s="96" t="str">
        <f>IFERROR(__xludf.DUMMYFUNCTION("""COMPUTED_VALUE"""),"LIVINUS")</f>
        <v>LIVINUS</v>
      </c>
      <c r="D69" s="96" t="str">
        <f>IFERROR(__xludf.DUMMYFUNCTION("""COMPUTED_VALUE"""),"LIVINUS2")</f>
        <v>LIVINUS2</v>
      </c>
      <c r="E69" s="96"/>
      <c r="F69" s="96"/>
      <c r="G69" s="96"/>
      <c r="H69" s="96"/>
      <c r="I69" s="96"/>
      <c r="J69" s="96"/>
      <c r="K69" s="96">
        <f>IFERROR(__xludf.DUMMYFUNCTION("""COMPUTED_VALUE"""),300000.0)</f>
        <v>300000</v>
      </c>
      <c r="L69" s="99">
        <f>IFERROR(__xludf.DUMMYFUNCTION("""COMPUTED_VALUE"""),300000.0)</f>
        <v>300000</v>
      </c>
      <c r="M69" s="96"/>
      <c r="N69" s="96">
        <f>IFERROR(__xludf.DUMMYFUNCTION("""COMPUTED_VALUE"""),0.0)</f>
        <v>0</v>
      </c>
      <c r="O69" s="96">
        <f>IFERROR(__xludf.DUMMYFUNCTION("""COMPUTED_VALUE"""),0.0)</f>
        <v>0</v>
      </c>
      <c r="P69" s="96">
        <f>IFERROR(__xludf.DUMMYFUNCTION("""COMPUTED_VALUE"""),0.0)</f>
        <v>0</v>
      </c>
      <c r="Q69" s="129">
        <f>IFERROR(__xludf.DUMMYFUNCTION("""COMPUTED_VALUE"""),0.0)</f>
        <v>0</v>
      </c>
      <c r="R69" s="99"/>
      <c r="S69" s="99">
        <f>IFERROR(__xludf.DUMMYFUNCTION("""COMPUTED_VALUE"""),540000.0)</f>
        <v>540000</v>
      </c>
    </row>
    <row r="70">
      <c r="A70" s="96">
        <f>IFERROR(__xludf.DUMMYFUNCTION("""COMPUTED_VALUE"""),3.0)</f>
        <v>3</v>
      </c>
      <c r="B70" s="98">
        <f>IFERROR(__xludf.DUMMYFUNCTION("""COMPUTED_VALUE"""),44030.0)</f>
        <v>44030</v>
      </c>
      <c r="C70" s="96" t="str">
        <f>IFERROR(__xludf.DUMMYFUNCTION("""COMPUTED_VALUE"""),"CONNECT")</f>
        <v>CONNECT</v>
      </c>
      <c r="D70" s="96" t="str">
        <f>IFERROR(__xludf.DUMMYFUNCTION("""COMPUTED_VALUE"""),"CONNECT3")</f>
        <v>CONNECT3</v>
      </c>
      <c r="E70" s="96">
        <f>IFERROR(__xludf.DUMMYFUNCTION("""COMPUTED_VALUE"""),1916.0)</f>
        <v>1916</v>
      </c>
      <c r="F70" s="96">
        <f>IFERROR(__xludf.DUMMYFUNCTION("""COMPUTED_VALUE"""),240.0)</f>
        <v>240</v>
      </c>
      <c r="G70" s="96"/>
      <c r="H70" s="96">
        <f>IFERROR(__xludf.DUMMYFUNCTION("""COMPUTED_VALUE"""),30.0)</f>
        <v>30</v>
      </c>
      <c r="I70" s="96"/>
      <c r="J70" s="96">
        <f>IFERROR(__xludf.DUMMYFUNCTION("""COMPUTED_VALUE"""),780.0)</f>
        <v>780</v>
      </c>
      <c r="K70" s="96"/>
      <c r="L70" s="99">
        <f>IFERROR(__xludf.DUMMYFUNCTION("""COMPUTED_VALUE"""),-1471080.0)</f>
        <v>-1471080</v>
      </c>
      <c r="M70" s="96">
        <f>IFERROR(__xludf.DUMMYFUNCTION("""COMPUTED_VALUE"""),8.0)</f>
        <v>8</v>
      </c>
      <c r="N70" s="96">
        <f>IFERROR(__xludf.DUMMYFUNCTION("""COMPUTED_VALUE"""),0.0)</f>
        <v>0</v>
      </c>
      <c r="O70" s="96">
        <f>IFERROR(__xludf.DUMMYFUNCTION("""COMPUTED_VALUE"""),29.0)</f>
        <v>29</v>
      </c>
      <c r="P70" s="96">
        <f>IFERROR(__xludf.DUMMYFUNCTION("""COMPUTED_VALUE"""),59.0)</f>
        <v>59</v>
      </c>
      <c r="Q70" s="129">
        <f>IFERROR(__xludf.DUMMYFUNCTION("""COMPUTED_VALUE"""),1886.0)</f>
        <v>1886</v>
      </c>
      <c r="R70" s="99">
        <f>IFERROR(__xludf.DUMMYFUNCTION("""COMPUTED_VALUE"""),1471080.0)</f>
        <v>1471080</v>
      </c>
      <c r="S70" s="99">
        <f>IFERROR(__xludf.DUMMYFUNCTION("""COMPUTED_VALUE"""),-271080.0)</f>
        <v>-271080</v>
      </c>
    </row>
    <row r="71">
      <c r="A71" s="96">
        <f>IFERROR(__xludf.DUMMYFUNCTION("""COMPUTED_VALUE"""),2.0)</f>
        <v>2</v>
      </c>
      <c r="B71" s="98">
        <f>IFERROR(__xludf.DUMMYFUNCTION("""COMPUTED_VALUE"""),44030.0)</f>
        <v>44030</v>
      </c>
      <c r="C71" s="96" t="str">
        <f>IFERROR(__xludf.DUMMYFUNCTION("""COMPUTED_VALUE"""),"LYDIA HNSON ")</f>
        <v>LYDIA HNSON </v>
      </c>
      <c r="D71" s="96" t="str">
        <f>IFERROR(__xludf.DUMMYFUNCTION("""COMPUTED_VALUE"""),"LYDIA HNSON 2")</f>
        <v>LYDIA HNSON 2</v>
      </c>
      <c r="E71" s="96">
        <f>IFERROR(__xludf.DUMMYFUNCTION("""COMPUTED_VALUE"""),223.0)</f>
        <v>223</v>
      </c>
      <c r="F71" s="96">
        <f>IFERROR(__xludf.DUMMYFUNCTION("""COMPUTED_VALUE"""),32.0)</f>
        <v>32</v>
      </c>
      <c r="G71" s="96"/>
      <c r="H71" s="96">
        <f>IFERROR(__xludf.DUMMYFUNCTION("""COMPUTED_VALUE"""),4.0)</f>
        <v>4</v>
      </c>
      <c r="I71" s="96">
        <f>IFERROR(__xludf.DUMMYFUNCTION("""COMPUTED_VALUE"""),0.0)</f>
        <v>0</v>
      </c>
      <c r="J71" s="96">
        <f>IFERROR(__xludf.DUMMYFUNCTION("""COMPUTED_VALUE"""),780.0)</f>
        <v>780</v>
      </c>
      <c r="K71" s="96"/>
      <c r="L71" s="99">
        <f>IFERROR(__xludf.DUMMYFUNCTION("""COMPUTED_VALUE"""),-170820.0)</f>
        <v>-170820</v>
      </c>
      <c r="M71" s="96">
        <f>IFERROR(__xludf.DUMMYFUNCTION("""COMPUTED_VALUE"""),8.0)</f>
        <v>8</v>
      </c>
      <c r="N71" s="96">
        <f>IFERROR(__xludf.DUMMYFUNCTION("""COMPUTED_VALUE"""),0.0)</f>
        <v>0</v>
      </c>
      <c r="O71" s="96">
        <f>IFERROR(__xludf.DUMMYFUNCTION("""COMPUTED_VALUE"""),3.0)</f>
        <v>3</v>
      </c>
      <c r="P71" s="96">
        <f>IFERROR(__xludf.DUMMYFUNCTION("""COMPUTED_VALUE"""),30.0)</f>
        <v>30</v>
      </c>
      <c r="Q71" s="129">
        <f>IFERROR(__xludf.DUMMYFUNCTION("""COMPUTED_VALUE"""),219.0)</f>
        <v>219</v>
      </c>
      <c r="R71" s="99">
        <f>IFERROR(__xludf.DUMMYFUNCTION("""COMPUTED_VALUE"""),170820.0)</f>
        <v>170820</v>
      </c>
      <c r="S71" s="99">
        <f>IFERROR(__xludf.DUMMYFUNCTION("""COMPUTED_VALUE"""),2429180.0)</f>
        <v>2429180</v>
      </c>
    </row>
    <row r="72">
      <c r="A72" s="96">
        <f>IFERROR(__xludf.DUMMYFUNCTION("""COMPUTED_VALUE"""),4.0)</f>
        <v>4</v>
      </c>
      <c r="B72" s="98">
        <f>IFERROR(__xludf.DUMMYFUNCTION("""COMPUTED_VALUE"""),44030.0)</f>
        <v>44030</v>
      </c>
      <c r="C72" s="96" t="str">
        <f>IFERROR(__xludf.DUMMYFUNCTION("""COMPUTED_VALUE"""),"NDOMA BODE I.D")</f>
        <v>NDOMA BODE I.D</v>
      </c>
      <c r="D72" s="96" t="str">
        <f>IFERROR(__xludf.DUMMYFUNCTION("""COMPUTED_VALUE"""),"NDOMA BODE I.D4")</f>
        <v>NDOMA BODE I.D4</v>
      </c>
      <c r="E72" s="96">
        <f>IFERROR(__xludf.DUMMYFUNCTION("""COMPUTED_VALUE"""),1065.0)</f>
        <v>1065</v>
      </c>
      <c r="F72" s="96">
        <f>IFERROR(__xludf.DUMMYFUNCTION("""COMPUTED_VALUE"""),140.0)</f>
        <v>140</v>
      </c>
      <c r="G72" s="96"/>
      <c r="H72" s="96">
        <f>IFERROR(__xludf.DUMMYFUNCTION("""COMPUTED_VALUE"""),17.0)</f>
        <v>17</v>
      </c>
      <c r="I72" s="96"/>
      <c r="J72" s="96">
        <f>IFERROR(__xludf.DUMMYFUNCTION("""COMPUTED_VALUE"""),790.0)</f>
        <v>790</v>
      </c>
      <c r="K72" s="96"/>
      <c r="L72" s="99">
        <f>IFERROR(__xludf.DUMMYFUNCTION("""COMPUTED_VALUE"""),-825550.0)</f>
        <v>-825550</v>
      </c>
      <c r="M72" s="96">
        <f>IFERROR(__xludf.DUMMYFUNCTION("""COMPUTED_VALUE"""),8.24)</f>
        <v>8.24</v>
      </c>
      <c r="N72" s="96">
        <f>IFERROR(__xludf.DUMMYFUNCTION("""COMPUTED_VALUE"""),3.0)</f>
        <v>3</v>
      </c>
      <c r="O72" s="96">
        <f>IFERROR(__xludf.DUMMYFUNCTION("""COMPUTED_VALUE"""),16.0)</f>
        <v>16</v>
      </c>
      <c r="P72" s="96">
        <f>IFERROR(__xludf.DUMMYFUNCTION("""COMPUTED_VALUE"""),37.0)</f>
        <v>37</v>
      </c>
      <c r="Q72" s="129">
        <f>IFERROR(__xludf.DUMMYFUNCTION("""COMPUTED_VALUE"""),1045.0)</f>
        <v>1045</v>
      </c>
      <c r="R72" s="99">
        <f>IFERROR(__xludf.DUMMYFUNCTION("""COMPUTED_VALUE"""),825550.0)</f>
        <v>825550</v>
      </c>
      <c r="S72" s="99">
        <f>IFERROR(__xludf.DUMMYFUNCTION("""COMPUTED_VALUE"""),200000.0)</f>
        <v>200000</v>
      </c>
    </row>
    <row r="73">
      <c r="A73" s="96">
        <f>IFERROR(__xludf.DUMMYFUNCTION("""COMPUTED_VALUE"""),3.0)</f>
        <v>3</v>
      </c>
      <c r="B73" s="98">
        <f>IFERROR(__xludf.DUMMYFUNCTION("""COMPUTED_VALUE"""),44030.0)</f>
        <v>44030</v>
      </c>
      <c r="C73" s="96" t="str">
        <f>IFERROR(__xludf.DUMMYFUNCTION("""COMPUTED_VALUE"""),"LIVINUS")</f>
        <v>LIVINUS</v>
      </c>
      <c r="D73" s="96" t="str">
        <f>IFERROR(__xludf.DUMMYFUNCTION("""COMPUTED_VALUE"""),"LIVINUS3")</f>
        <v>LIVINUS3</v>
      </c>
      <c r="E73" s="96">
        <f>IFERROR(__xludf.DUMMYFUNCTION("""COMPUTED_VALUE"""),854.0)</f>
        <v>854</v>
      </c>
      <c r="F73" s="96">
        <f>IFERROR(__xludf.DUMMYFUNCTION("""COMPUTED_VALUE"""),112.5)</f>
        <v>112.5</v>
      </c>
      <c r="G73" s="96"/>
      <c r="H73" s="96">
        <f>IFERROR(__xludf.DUMMYFUNCTION("""COMPUTED_VALUE"""),13.0)</f>
        <v>13</v>
      </c>
      <c r="I73" s="96"/>
      <c r="J73" s="96">
        <f>IFERROR(__xludf.DUMMYFUNCTION("""COMPUTED_VALUE"""),780.0)</f>
        <v>780</v>
      </c>
      <c r="K73" s="96"/>
      <c r="L73" s="99">
        <f>IFERROR(__xludf.DUMMYFUNCTION("""COMPUTED_VALUE"""),-652080.0)</f>
        <v>-652080</v>
      </c>
      <c r="M73" s="96">
        <f>IFERROR(__xludf.DUMMYFUNCTION("""COMPUTED_VALUE"""),8.65)</f>
        <v>8.65</v>
      </c>
      <c r="N73" s="96">
        <f>IFERROR(__xludf.DUMMYFUNCTION("""COMPUTED_VALUE"""),5.0)</f>
        <v>5</v>
      </c>
      <c r="O73" s="96">
        <f>IFERROR(__xludf.DUMMYFUNCTION("""COMPUTED_VALUE"""),13.0)</f>
        <v>13</v>
      </c>
      <c r="P73" s="96">
        <f>IFERROR(__xludf.DUMMYFUNCTION("""COMPUTED_VALUE"""),17.0)</f>
        <v>17</v>
      </c>
      <c r="Q73" s="129">
        <f>IFERROR(__xludf.DUMMYFUNCTION("""COMPUTED_VALUE"""),836.0)</f>
        <v>836</v>
      </c>
      <c r="R73" s="99">
        <f>IFERROR(__xludf.DUMMYFUNCTION("""COMPUTED_VALUE"""),652080.0)</f>
        <v>652080</v>
      </c>
      <c r="S73" s="99">
        <f>IFERROR(__xludf.DUMMYFUNCTION("""COMPUTED_VALUE"""),-112080.0)</f>
        <v>-112080</v>
      </c>
    </row>
    <row r="74">
      <c r="A74" s="96">
        <f>IFERROR(__xludf.DUMMYFUNCTION("""COMPUTED_VALUE"""),4.0)</f>
        <v>4</v>
      </c>
      <c r="B74" s="98">
        <f>IFERROR(__xludf.DUMMYFUNCTION("""COMPUTED_VALUE"""),44030.0)</f>
        <v>44030</v>
      </c>
      <c r="C74" s="96" t="str">
        <f>IFERROR(__xludf.DUMMYFUNCTION("""COMPUTED_VALUE"""),"CONNECT")</f>
        <v>CONNECT</v>
      </c>
      <c r="D74" s="96" t="str">
        <f>IFERROR(__xludf.DUMMYFUNCTION("""COMPUTED_VALUE"""),"CONNECT4")</f>
        <v>CONNECT4</v>
      </c>
      <c r="E74" s="96"/>
      <c r="F74" s="96"/>
      <c r="G74" s="96"/>
      <c r="H74" s="96"/>
      <c r="I74" s="96"/>
      <c r="J74" s="96"/>
      <c r="K74" s="96">
        <f>IFERROR(__xludf.DUMMYFUNCTION("""COMPUTED_VALUE"""),300000.0)</f>
        <v>300000</v>
      </c>
      <c r="L74" s="99">
        <f>IFERROR(__xludf.DUMMYFUNCTION("""COMPUTED_VALUE"""),300000.0)</f>
        <v>300000</v>
      </c>
      <c r="M74" s="96"/>
      <c r="N74" s="96">
        <f>IFERROR(__xludf.DUMMYFUNCTION("""COMPUTED_VALUE"""),0.0)</f>
        <v>0</v>
      </c>
      <c r="O74" s="96">
        <f>IFERROR(__xludf.DUMMYFUNCTION("""COMPUTED_VALUE"""),0.0)</f>
        <v>0</v>
      </c>
      <c r="P74" s="96">
        <f>IFERROR(__xludf.DUMMYFUNCTION("""COMPUTED_VALUE"""),0.0)</f>
        <v>0</v>
      </c>
      <c r="Q74" s="129">
        <f>IFERROR(__xludf.DUMMYFUNCTION("""COMPUTED_VALUE"""),0.0)</f>
        <v>0</v>
      </c>
      <c r="R74" s="99"/>
      <c r="S74" s="99">
        <f>IFERROR(__xludf.DUMMYFUNCTION("""COMPUTED_VALUE"""),28920.0)</f>
        <v>28920</v>
      </c>
    </row>
    <row r="75">
      <c r="A75" s="96">
        <f>IFERROR(__xludf.DUMMYFUNCTION("""COMPUTED_VALUE"""),5.0)</f>
        <v>5</v>
      </c>
      <c r="B75" s="98">
        <f>IFERROR(__xludf.DUMMYFUNCTION("""COMPUTED_VALUE"""),44030.0)</f>
        <v>44030</v>
      </c>
      <c r="C75" s="96" t="str">
        <f>IFERROR(__xludf.DUMMYFUNCTION("""COMPUTED_VALUE"""),"CONNECT")</f>
        <v>CONNECT</v>
      </c>
      <c r="D75" s="96" t="str">
        <f>IFERROR(__xludf.DUMMYFUNCTION("""COMPUTED_VALUE"""),"CONNECT5")</f>
        <v>CONNECT5</v>
      </c>
      <c r="E75" s="96"/>
      <c r="F75" s="96"/>
      <c r="G75" s="96"/>
      <c r="H75" s="96"/>
      <c r="I75" s="96"/>
      <c r="J75" s="96"/>
      <c r="K75" s="96">
        <f>IFERROR(__xludf.DUMMYFUNCTION("""COMPUTED_VALUE"""),800000.0)</f>
        <v>800000</v>
      </c>
      <c r="L75" s="99">
        <f>IFERROR(__xludf.DUMMYFUNCTION("""COMPUTED_VALUE"""),800000.0)</f>
        <v>800000</v>
      </c>
      <c r="M75" s="96"/>
      <c r="N75" s="96">
        <f>IFERROR(__xludf.DUMMYFUNCTION("""COMPUTED_VALUE"""),0.0)</f>
        <v>0</v>
      </c>
      <c r="O75" s="96">
        <f>IFERROR(__xludf.DUMMYFUNCTION("""COMPUTED_VALUE"""),0.0)</f>
        <v>0</v>
      </c>
      <c r="P75" s="96">
        <f>IFERROR(__xludf.DUMMYFUNCTION("""COMPUTED_VALUE"""),0.0)</f>
        <v>0</v>
      </c>
      <c r="Q75" s="129">
        <f>IFERROR(__xludf.DUMMYFUNCTION("""COMPUTED_VALUE"""),0.0)</f>
        <v>0</v>
      </c>
      <c r="R75" s="99"/>
      <c r="S75" s="99">
        <f>IFERROR(__xludf.DUMMYFUNCTION("""COMPUTED_VALUE"""),828920.0)</f>
        <v>828920</v>
      </c>
    </row>
    <row r="76">
      <c r="A76" s="96">
        <f>IFERROR(__xludf.DUMMYFUNCTION("""COMPUTED_VALUE"""),2.0)</f>
        <v>2</v>
      </c>
      <c r="B76" s="98">
        <f>IFERROR(__xludf.DUMMYFUNCTION("""COMPUTED_VALUE"""),44030.0)</f>
        <v>44030</v>
      </c>
      <c r="C76" s="96" t="str">
        <f>IFERROR(__xludf.DUMMYFUNCTION("""COMPUTED_VALUE"""),"KARIEN EBAN")</f>
        <v>KARIEN EBAN</v>
      </c>
      <c r="D76" s="96" t="str">
        <f>IFERROR(__xludf.DUMMYFUNCTION("""COMPUTED_VALUE"""),"KARIEN EBAN2")</f>
        <v>KARIEN EBAN2</v>
      </c>
      <c r="E76" s="96"/>
      <c r="F76" s="96"/>
      <c r="G76" s="96"/>
      <c r="H76" s="96"/>
      <c r="I76" s="96"/>
      <c r="J76" s="96"/>
      <c r="K76" s="96">
        <f>IFERROR(__xludf.DUMMYFUNCTION("""COMPUTED_VALUE"""),100000.0)</f>
        <v>100000</v>
      </c>
      <c r="L76" s="99">
        <f>IFERROR(__xludf.DUMMYFUNCTION("""COMPUTED_VALUE"""),100000.0)</f>
        <v>100000</v>
      </c>
      <c r="M76" s="96"/>
      <c r="N76" s="96">
        <f>IFERROR(__xludf.DUMMYFUNCTION("""COMPUTED_VALUE"""),0.0)</f>
        <v>0</v>
      </c>
      <c r="O76" s="96">
        <f>IFERROR(__xludf.DUMMYFUNCTION("""COMPUTED_VALUE"""),0.0)</f>
        <v>0</v>
      </c>
      <c r="P76" s="96">
        <f>IFERROR(__xludf.DUMMYFUNCTION("""COMPUTED_VALUE"""),0.0)</f>
        <v>0</v>
      </c>
      <c r="Q76" s="129">
        <f>IFERROR(__xludf.DUMMYFUNCTION("""COMPUTED_VALUE"""),0.0)</f>
        <v>0</v>
      </c>
      <c r="R76" s="99"/>
      <c r="S76" s="99">
        <f>IFERROR(__xludf.DUMMYFUNCTION("""COMPUTED_VALUE"""),1600000.0)</f>
        <v>1600000</v>
      </c>
    </row>
    <row r="77">
      <c r="A77" s="96">
        <f>IFERROR(__xludf.DUMMYFUNCTION("""COMPUTED_VALUE"""),1.0)</f>
        <v>1</v>
      </c>
      <c r="B77" s="98">
        <f>IFERROR(__xludf.DUMMYFUNCTION("""COMPUTED_VALUE"""),44030.0)</f>
        <v>44030</v>
      </c>
      <c r="C77" s="96" t="str">
        <f>IFERROR(__xludf.DUMMYFUNCTION("""COMPUTED_VALUE"""),"EDDY OKO")</f>
        <v>EDDY OKO</v>
      </c>
      <c r="D77" s="96" t="str">
        <f>IFERROR(__xludf.DUMMYFUNCTION("""COMPUTED_VALUE"""),"EDDY OKO1")</f>
        <v>EDDY OKO1</v>
      </c>
      <c r="E77" s="96"/>
      <c r="F77" s="96"/>
      <c r="G77" s="96"/>
      <c r="H77" s="96"/>
      <c r="I77" s="96"/>
      <c r="J77" s="96"/>
      <c r="K77" s="96">
        <f>IFERROR(__xludf.DUMMYFUNCTION("""COMPUTED_VALUE"""),200000.0)</f>
        <v>200000</v>
      </c>
      <c r="L77" s="99">
        <f>IFERROR(__xludf.DUMMYFUNCTION("""COMPUTED_VALUE"""),200000.0)</f>
        <v>200000</v>
      </c>
      <c r="M77" s="96"/>
      <c r="N77" s="96">
        <f>IFERROR(__xludf.DUMMYFUNCTION("""COMPUTED_VALUE"""),0.0)</f>
        <v>0</v>
      </c>
      <c r="O77" s="96">
        <f>IFERROR(__xludf.DUMMYFUNCTION("""COMPUTED_VALUE"""),0.0)</f>
        <v>0</v>
      </c>
      <c r="P77" s="96">
        <f>IFERROR(__xludf.DUMMYFUNCTION("""COMPUTED_VALUE"""),0.0)</f>
        <v>0</v>
      </c>
      <c r="Q77" s="129">
        <f>IFERROR(__xludf.DUMMYFUNCTION("""COMPUTED_VALUE"""),0.0)</f>
        <v>0</v>
      </c>
      <c r="R77" s="99"/>
      <c r="S77" s="99">
        <f>IFERROR(__xludf.DUMMYFUNCTION("""COMPUTED_VALUE"""),200000.0)</f>
        <v>200000</v>
      </c>
    </row>
    <row r="78">
      <c r="A78" s="96">
        <f>IFERROR(__xludf.DUMMYFUNCTION("""COMPUTED_VALUE"""),3.0)</f>
        <v>3</v>
      </c>
      <c r="B78" s="98">
        <f>IFERROR(__xludf.DUMMYFUNCTION("""COMPUTED_VALUE"""),44030.0)</f>
        <v>44030</v>
      </c>
      <c r="C78" s="96" t="str">
        <f>IFERROR(__xludf.DUMMYFUNCTION("""COMPUTED_VALUE"""),"LYDIA HNSON ")</f>
        <v>LYDIA HNSON </v>
      </c>
      <c r="D78" s="96" t="str">
        <f>IFERROR(__xludf.DUMMYFUNCTION("""COMPUTED_VALUE"""),"LYDIA HNSON 3")</f>
        <v>LYDIA HNSON 3</v>
      </c>
      <c r="E78" s="96"/>
      <c r="F78" s="96"/>
      <c r="G78" s="96"/>
      <c r="H78" s="96"/>
      <c r="I78" s="96"/>
      <c r="J78" s="96"/>
      <c r="K78" s="96">
        <f>IFERROR(__xludf.DUMMYFUNCTION("""COMPUTED_VALUE"""),100000.0)</f>
        <v>100000</v>
      </c>
      <c r="L78" s="99">
        <f>IFERROR(__xludf.DUMMYFUNCTION("""COMPUTED_VALUE"""),100000.0)</f>
        <v>100000</v>
      </c>
      <c r="M78" s="96"/>
      <c r="N78" s="96">
        <f>IFERROR(__xludf.DUMMYFUNCTION("""COMPUTED_VALUE"""),0.0)</f>
        <v>0</v>
      </c>
      <c r="O78" s="96">
        <f>IFERROR(__xludf.DUMMYFUNCTION("""COMPUTED_VALUE"""),0.0)</f>
        <v>0</v>
      </c>
      <c r="P78" s="96">
        <f>IFERROR(__xludf.DUMMYFUNCTION("""COMPUTED_VALUE"""),0.0)</f>
        <v>0</v>
      </c>
      <c r="Q78" s="129">
        <f>IFERROR(__xludf.DUMMYFUNCTION("""COMPUTED_VALUE"""),0.0)</f>
        <v>0</v>
      </c>
      <c r="R78" s="99"/>
      <c r="S78" s="99">
        <f>IFERROR(__xludf.DUMMYFUNCTION("""COMPUTED_VALUE"""),2529180.0)</f>
        <v>2529180</v>
      </c>
    </row>
    <row r="79">
      <c r="A79" s="96">
        <f>IFERROR(__xludf.DUMMYFUNCTION("""COMPUTED_VALUE"""),4.0)</f>
        <v>4</v>
      </c>
      <c r="B79" s="98">
        <f>IFERROR(__xludf.DUMMYFUNCTION("""COMPUTED_VALUE"""),44030.0)</f>
        <v>44030</v>
      </c>
      <c r="C79" s="96" t="str">
        <f>IFERROR(__xludf.DUMMYFUNCTION("""COMPUTED_VALUE"""),"LYDIA HNSON ")</f>
        <v>LYDIA HNSON </v>
      </c>
      <c r="D79" s="96" t="str">
        <f>IFERROR(__xludf.DUMMYFUNCTION("""COMPUTED_VALUE"""),"LYDIA HNSON 4")</f>
        <v>LYDIA HNSON 4</v>
      </c>
      <c r="E79" s="96"/>
      <c r="F79" s="96"/>
      <c r="G79" s="96"/>
      <c r="H79" s="96"/>
      <c r="I79" s="96"/>
      <c r="J79" s="96"/>
      <c r="K79" s="96">
        <f>IFERROR(__xludf.DUMMYFUNCTION("""COMPUTED_VALUE"""),500.0)</f>
        <v>500</v>
      </c>
      <c r="L79" s="99">
        <f>IFERROR(__xludf.DUMMYFUNCTION("""COMPUTED_VALUE"""),500.0)</f>
        <v>500</v>
      </c>
      <c r="M79" s="96"/>
      <c r="N79" s="96">
        <f>IFERROR(__xludf.DUMMYFUNCTION("""COMPUTED_VALUE"""),0.0)</f>
        <v>0</v>
      </c>
      <c r="O79" s="96">
        <f>IFERROR(__xludf.DUMMYFUNCTION("""COMPUTED_VALUE"""),0.0)</f>
        <v>0</v>
      </c>
      <c r="P79" s="96">
        <f>IFERROR(__xludf.DUMMYFUNCTION("""COMPUTED_VALUE"""),0.0)</f>
        <v>0</v>
      </c>
      <c r="Q79" s="129">
        <f>IFERROR(__xludf.DUMMYFUNCTION("""COMPUTED_VALUE"""),0.0)</f>
        <v>0</v>
      </c>
      <c r="R79" s="99"/>
      <c r="S79" s="99">
        <f>IFERROR(__xludf.DUMMYFUNCTION("""COMPUTED_VALUE"""),2529680.0)</f>
        <v>2529680</v>
      </c>
    </row>
    <row r="80">
      <c r="A80" s="96">
        <f>IFERROR(__xludf.DUMMYFUNCTION("""COMPUTED_VALUE"""),2.0)</f>
        <v>2</v>
      </c>
      <c r="B80" s="98">
        <f>IFERROR(__xludf.DUMMYFUNCTION("""COMPUTED_VALUE"""),44030.0)</f>
        <v>44030</v>
      </c>
      <c r="C80" s="96" t="str">
        <f>IFERROR(__xludf.DUMMYFUNCTION("""COMPUTED_VALUE""")," MAXWELL AGRO")</f>
        <v> MAXWELL AGRO</v>
      </c>
      <c r="D80" s="96" t="str">
        <f>IFERROR(__xludf.DUMMYFUNCTION("""COMPUTED_VALUE""")," MAXWELL AGRO2")</f>
        <v> MAXWELL AGRO2</v>
      </c>
      <c r="E80" s="96"/>
      <c r="F80" s="96"/>
      <c r="G80" s="96"/>
      <c r="H80" s="96"/>
      <c r="I80" s="96"/>
      <c r="J80" s="96"/>
      <c r="K80" s="96">
        <f>IFERROR(__xludf.DUMMYFUNCTION("""COMPUTED_VALUE"""),100000.0)</f>
        <v>100000</v>
      </c>
      <c r="L80" s="99">
        <f>IFERROR(__xludf.DUMMYFUNCTION("""COMPUTED_VALUE"""),100000.0)</f>
        <v>100000</v>
      </c>
      <c r="M80" s="96"/>
      <c r="N80" s="96">
        <f>IFERROR(__xludf.DUMMYFUNCTION("""COMPUTED_VALUE"""),0.0)</f>
        <v>0</v>
      </c>
      <c r="O80" s="96">
        <f>IFERROR(__xludf.DUMMYFUNCTION("""COMPUTED_VALUE"""),0.0)</f>
        <v>0</v>
      </c>
      <c r="P80" s="96">
        <f>IFERROR(__xludf.DUMMYFUNCTION("""COMPUTED_VALUE"""),0.0)</f>
        <v>0</v>
      </c>
      <c r="Q80" s="129">
        <f>IFERROR(__xludf.DUMMYFUNCTION("""COMPUTED_VALUE"""),0.0)</f>
        <v>0</v>
      </c>
      <c r="R80" s="99"/>
      <c r="S80" s="99">
        <f>IFERROR(__xludf.DUMMYFUNCTION("""COMPUTED_VALUE"""),400000.0)</f>
        <v>400000</v>
      </c>
    </row>
    <row r="81">
      <c r="A81" s="96">
        <f>IFERROR(__xludf.DUMMYFUNCTION("""COMPUTED_VALUE"""),2.0)</f>
        <v>2</v>
      </c>
      <c r="B81" s="98">
        <f>IFERROR(__xludf.DUMMYFUNCTION("""COMPUTED_VALUE"""),44032.0)</f>
        <v>44032</v>
      </c>
      <c r="C81" s="96" t="str">
        <f>IFERROR(__xludf.DUMMYFUNCTION("""COMPUTED_VALUE"""),"ANDRDEW GREAT")</f>
        <v>ANDRDEW GREAT</v>
      </c>
      <c r="D81" s="96" t="str">
        <f>IFERROR(__xludf.DUMMYFUNCTION("""COMPUTED_VALUE"""),"ANDRDEW GREAT2")</f>
        <v>ANDRDEW GREAT2</v>
      </c>
      <c r="E81" s="96">
        <f>IFERROR(__xludf.DUMMYFUNCTION("""COMPUTED_VALUE"""),644.0)</f>
        <v>644</v>
      </c>
      <c r="F81" s="96">
        <f>IFERROR(__xludf.DUMMYFUNCTION("""COMPUTED_VALUE"""),92.5)</f>
        <v>92.5</v>
      </c>
      <c r="G81" s="96"/>
      <c r="H81" s="96">
        <f>IFERROR(__xludf.DUMMYFUNCTION("""COMPUTED_VALUE"""),10.0)</f>
        <v>10</v>
      </c>
      <c r="I81" s="96"/>
      <c r="J81" s="96">
        <f>IFERROR(__xludf.DUMMYFUNCTION("""COMPUTED_VALUE"""),783.74)</f>
        <v>783.74</v>
      </c>
      <c r="K81" s="96"/>
      <c r="L81" s="99">
        <f>IFERROR(__xludf.DUMMYFUNCTION("""COMPUTED_VALUE"""),-490620.0)</f>
        <v>-490620</v>
      </c>
      <c r="M81" s="96">
        <f>IFERROR(__xludf.DUMMYFUNCTION("""COMPUTED_VALUE"""),9.25)</f>
        <v>9.25</v>
      </c>
      <c r="N81" s="96">
        <f>IFERROR(__xludf.DUMMYFUNCTION("""COMPUTED_VALUE"""),8.0)</f>
        <v>8</v>
      </c>
      <c r="O81" s="96">
        <f>IFERROR(__xludf.DUMMYFUNCTION("""COMPUTED_VALUE"""),9.0)</f>
        <v>9</v>
      </c>
      <c r="P81" s="96">
        <f>IFERROR(__xludf.DUMMYFUNCTION("""COMPUTED_VALUE"""),59.0)</f>
        <v>59</v>
      </c>
      <c r="Q81" s="129">
        <f>IFERROR(__xludf.DUMMYFUNCTION("""COMPUTED_VALUE"""),626.0)</f>
        <v>626</v>
      </c>
      <c r="R81" s="99">
        <f>IFERROR(__xludf.DUMMYFUNCTION("""COMPUTED_VALUE"""),490620.0)</f>
        <v>490620</v>
      </c>
      <c r="S81" s="99">
        <f>IFERROR(__xludf.DUMMYFUNCTION("""COMPUTED_VALUE"""),1026950.0)</f>
        <v>1026950</v>
      </c>
    </row>
    <row r="82">
      <c r="A82" s="96">
        <f>IFERROR(__xludf.DUMMYFUNCTION("""COMPUTED_VALUE"""),3.0)</f>
        <v>3</v>
      </c>
      <c r="B82" s="98">
        <f>IFERROR(__xludf.DUMMYFUNCTION("""COMPUTED_VALUE"""),44032.0)</f>
        <v>44032</v>
      </c>
      <c r="C82" s="96" t="str">
        <f>IFERROR(__xludf.DUMMYFUNCTION("""COMPUTED_VALUE"""),"ANDRDEW GREAT")</f>
        <v>ANDRDEW GREAT</v>
      </c>
      <c r="D82" s="96" t="str">
        <f>IFERROR(__xludf.DUMMYFUNCTION("""COMPUTED_VALUE"""),"ANDRDEW GREAT3")</f>
        <v>ANDRDEW GREAT3</v>
      </c>
      <c r="E82" s="96"/>
      <c r="F82" s="96"/>
      <c r="G82" s="96"/>
      <c r="H82" s="96"/>
      <c r="I82" s="96"/>
      <c r="J82" s="96"/>
      <c r="K82" s="96">
        <f>IFERROR(__xludf.DUMMYFUNCTION("""COMPUTED_VALUE"""),300000.0)</f>
        <v>300000</v>
      </c>
      <c r="L82" s="99">
        <f>IFERROR(__xludf.DUMMYFUNCTION("""COMPUTED_VALUE"""),300000.0)</f>
        <v>300000</v>
      </c>
      <c r="M82" s="96"/>
      <c r="N82" s="96">
        <f>IFERROR(__xludf.DUMMYFUNCTION("""COMPUTED_VALUE"""),0.0)</f>
        <v>0</v>
      </c>
      <c r="O82" s="96">
        <f>IFERROR(__xludf.DUMMYFUNCTION("""COMPUTED_VALUE"""),0.0)</f>
        <v>0</v>
      </c>
      <c r="P82" s="96">
        <f>IFERROR(__xludf.DUMMYFUNCTION("""COMPUTED_VALUE"""),0.0)</f>
        <v>0</v>
      </c>
      <c r="Q82" s="129">
        <f>IFERROR(__xludf.DUMMYFUNCTION("""COMPUTED_VALUE"""),0.0)</f>
        <v>0</v>
      </c>
      <c r="R82" s="99"/>
      <c r="S82" s="99">
        <f>IFERROR(__xludf.DUMMYFUNCTION("""COMPUTED_VALUE"""),1326950.0)</f>
        <v>1326950</v>
      </c>
    </row>
    <row r="83">
      <c r="A83" s="96">
        <f>IFERROR(__xludf.DUMMYFUNCTION("""COMPUTED_VALUE"""),1.0)</f>
        <v>1</v>
      </c>
      <c r="B83" s="98">
        <f>IFERROR(__xludf.DUMMYFUNCTION("""COMPUTED_VALUE"""),44032.0)</f>
        <v>44032</v>
      </c>
      <c r="C83" s="96" t="str">
        <f>IFERROR(__xludf.DUMMYFUNCTION("""COMPUTED_VALUE"""),"MATIAT REINA")</f>
        <v>MATIAT REINA</v>
      </c>
      <c r="D83" s="96" t="str">
        <f>IFERROR(__xludf.DUMMYFUNCTION("""COMPUTED_VALUE"""),"MATIAT REINA1")</f>
        <v>MATIAT REINA1</v>
      </c>
      <c r="E83" s="96"/>
      <c r="F83" s="96"/>
      <c r="G83" s="96"/>
      <c r="H83" s="96"/>
      <c r="I83" s="96"/>
      <c r="J83" s="96"/>
      <c r="K83" s="96">
        <f>IFERROR(__xludf.DUMMYFUNCTION("""COMPUTED_VALUE"""),200000.0)</f>
        <v>200000</v>
      </c>
      <c r="L83" s="99">
        <f>IFERROR(__xludf.DUMMYFUNCTION("""COMPUTED_VALUE"""),200000.0)</f>
        <v>200000</v>
      </c>
      <c r="M83" s="96"/>
      <c r="N83" s="96">
        <f>IFERROR(__xludf.DUMMYFUNCTION("""COMPUTED_VALUE"""),0.0)</f>
        <v>0</v>
      </c>
      <c r="O83" s="96">
        <f>IFERROR(__xludf.DUMMYFUNCTION("""COMPUTED_VALUE"""),0.0)</f>
        <v>0</v>
      </c>
      <c r="P83" s="96">
        <f>IFERROR(__xludf.DUMMYFUNCTION("""COMPUTED_VALUE"""),0.0)</f>
        <v>0</v>
      </c>
      <c r="Q83" s="129">
        <f>IFERROR(__xludf.DUMMYFUNCTION("""COMPUTED_VALUE"""),0.0)</f>
        <v>0</v>
      </c>
      <c r="R83" s="99"/>
      <c r="S83" s="99">
        <f>IFERROR(__xludf.DUMMYFUNCTION("""COMPUTED_VALUE"""),200000.0)</f>
        <v>200000</v>
      </c>
    </row>
    <row r="84">
      <c r="A84" s="96">
        <f>IFERROR(__xludf.DUMMYFUNCTION("""COMPUTED_VALUE"""),1.0)</f>
        <v>1</v>
      </c>
      <c r="B84" s="98">
        <f>IFERROR(__xludf.DUMMYFUNCTION("""COMPUTED_VALUE"""),44032.0)</f>
        <v>44032</v>
      </c>
      <c r="C84" s="96" t="str">
        <f>IFERROR(__xludf.DUMMYFUNCTION("""COMPUTED_VALUE"""),"ASMAN")</f>
        <v>ASMAN</v>
      </c>
      <c r="D84" s="96" t="str">
        <f>IFERROR(__xludf.DUMMYFUNCTION("""COMPUTED_VALUE"""),"ASMAN1")</f>
        <v>ASMAN1</v>
      </c>
      <c r="E84" s="96"/>
      <c r="F84" s="96"/>
      <c r="G84" s="96"/>
      <c r="H84" s="96"/>
      <c r="I84" s="96"/>
      <c r="J84" s="96"/>
      <c r="K84" s="96">
        <f>IFERROR(__xludf.DUMMYFUNCTION("""COMPUTED_VALUE"""),200000.0)</f>
        <v>200000</v>
      </c>
      <c r="L84" s="99">
        <f>IFERROR(__xludf.DUMMYFUNCTION("""COMPUTED_VALUE"""),200000.0)</f>
        <v>200000</v>
      </c>
      <c r="M84" s="96"/>
      <c r="N84" s="96">
        <f>IFERROR(__xludf.DUMMYFUNCTION("""COMPUTED_VALUE"""),0.0)</f>
        <v>0</v>
      </c>
      <c r="O84" s="96">
        <f>IFERROR(__xludf.DUMMYFUNCTION("""COMPUTED_VALUE"""),0.0)</f>
        <v>0</v>
      </c>
      <c r="P84" s="96">
        <f>IFERROR(__xludf.DUMMYFUNCTION("""COMPUTED_VALUE"""),0.0)</f>
        <v>0</v>
      </c>
      <c r="Q84" s="129">
        <f>IFERROR(__xludf.DUMMYFUNCTION("""COMPUTED_VALUE"""),0.0)</f>
        <v>0</v>
      </c>
      <c r="R84" s="99"/>
      <c r="S84" s="99">
        <f>IFERROR(__xludf.DUMMYFUNCTION("""COMPUTED_VALUE"""),200000.0)</f>
        <v>200000</v>
      </c>
    </row>
    <row r="85">
      <c r="A85" s="96">
        <f>IFERROR(__xludf.DUMMYFUNCTION("""COMPUTED_VALUE"""),2.0)</f>
        <v>2</v>
      </c>
      <c r="B85" s="98">
        <f>IFERROR(__xludf.DUMMYFUNCTION("""COMPUTED_VALUE"""),44032.0)</f>
        <v>44032</v>
      </c>
      <c r="C85" s="96" t="str">
        <f>IFERROR(__xludf.DUMMYFUNCTION("""COMPUTED_VALUE"""),"JAMES AKAN")</f>
        <v>JAMES AKAN</v>
      </c>
      <c r="D85" s="96" t="str">
        <f>IFERROR(__xludf.DUMMYFUNCTION("""COMPUTED_VALUE"""),"JAMES AKAN2")</f>
        <v>JAMES AKAN2</v>
      </c>
      <c r="E85" s="96"/>
      <c r="F85" s="96"/>
      <c r="G85" s="96"/>
      <c r="H85" s="96"/>
      <c r="I85" s="96"/>
      <c r="J85" s="96"/>
      <c r="K85" s="96">
        <f>IFERROR(__xludf.DUMMYFUNCTION("""COMPUTED_VALUE"""),300000.0)</f>
        <v>300000</v>
      </c>
      <c r="L85" s="99">
        <f>IFERROR(__xludf.DUMMYFUNCTION("""COMPUTED_VALUE"""),300000.0)</f>
        <v>300000</v>
      </c>
      <c r="M85" s="96"/>
      <c r="N85" s="96">
        <f>IFERROR(__xludf.DUMMYFUNCTION("""COMPUTED_VALUE"""),0.0)</f>
        <v>0</v>
      </c>
      <c r="O85" s="96">
        <f>IFERROR(__xludf.DUMMYFUNCTION("""COMPUTED_VALUE"""),0.0)</f>
        <v>0</v>
      </c>
      <c r="P85" s="96">
        <f>IFERROR(__xludf.DUMMYFUNCTION("""COMPUTED_VALUE"""),0.0)</f>
        <v>0</v>
      </c>
      <c r="Q85" s="129">
        <f>IFERROR(__xludf.DUMMYFUNCTION("""COMPUTED_VALUE"""),0.0)</f>
        <v>0</v>
      </c>
      <c r="R85" s="99"/>
      <c r="S85" s="99">
        <f>IFERROR(__xludf.DUMMYFUNCTION("""COMPUTED_VALUE"""),545000.0)</f>
        <v>545000</v>
      </c>
    </row>
    <row r="86">
      <c r="A86" s="96">
        <f>IFERROR(__xludf.DUMMYFUNCTION("""COMPUTED_VALUE"""),5.0)</f>
        <v>5</v>
      </c>
      <c r="B86" s="98">
        <f>IFERROR(__xludf.DUMMYFUNCTION("""COMPUTED_VALUE"""),44032.0)</f>
        <v>44032</v>
      </c>
      <c r="C86" s="96" t="str">
        <f>IFERROR(__xludf.DUMMYFUNCTION("""COMPUTED_VALUE"""),"LYDIA HNSON ")</f>
        <v>LYDIA HNSON </v>
      </c>
      <c r="D86" s="96" t="str">
        <f>IFERROR(__xludf.DUMMYFUNCTION("""COMPUTED_VALUE"""),"LYDIA HNSON 5")</f>
        <v>LYDIA HNSON 5</v>
      </c>
      <c r="E86" s="96"/>
      <c r="F86" s="96"/>
      <c r="G86" s="96"/>
      <c r="H86" s="96"/>
      <c r="I86" s="96"/>
      <c r="J86" s="96"/>
      <c r="K86" s="96">
        <f>IFERROR(__xludf.DUMMYFUNCTION("""COMPUTED_VALUE"""),300000.0)</f>
        <v>300000</v>
      </c>
      <c r="L86" s="99">
        <f>IFERROR(__xludf.DUMMYFUNCTION("""COMPUTED_VALUE"""),300000.0)</f>
        <v>300000</v>
      </c>
      <c r="M86" s="96"/>
      <c r="N86" s="96">
        <f>IFERROR(__xludf.DUMMYFUNCTION("""COMPUTED_VALUE"""),0.0)</f>
        <v>0</v>
      </c>
      <c r="O86" s="96">
        <f>IFERROR(__xludf.DUMMYFUNCTION("""COMPUTED_VALUE"""),0.0)</f>
        <v>0</v>
      </c>
      <c r="P86" s="96">
        <f>IFERROR(__xludf.DUMMYFUNCTION("""COMPUTED_VALUE"""),0.0)</f>
        <v>0</v>
      </c>
      <c r="Q86" s="129">
        <f>IFERROR(__xludf.DUMMYFUNCTION("""COMPUTED_VALUE"""),0.0)</f>
        <v>0</v>
      </c>
      <c r="R86" s="99"/>
      <c r="S86" s="99">
        <f>IFERROR(__xludf.DUMMYFUNCTION("""COMPUTED_VALUE"""),2829680.0)</f>
        <v>2829680</v>
      </c>
    </row>
    <row r="87">
      <c r="A87" s="96">
        <f>IFERROR(__xludf.DUMMYFUNCTION("""COMPUTED_VALUE"""),3.0)</f>
        <v>3</v>
      </c>
      <c r="B87" s="98">
        <f>IFERROR(__xludf.DUMMYFUNCTION("""COMPUTED_VALUE"""),44032.0)</f>
        <v>44032</v>
      </c>
      <c r="C87" s="96" t="str">
        <f>IFERROR(__xludf.DUMMYFUNCTION("""COMPUTED_VALUE""")," MAXWELL AGRO")</f>
        <v> MAXWELL AGRO</v>
      </c>
      <c r="D87" s="96" t="str">
        <f>IFERROR(__xludf.DUMMYFUNCTION("""COMPUTED_VALUE""")," MAXWELL AGRO3")</f>
        <v> MAXWELL AGRO3</v>
      </c>
      <c r="E87" s="96"/>
      <c r="F87" s="96"/>
      <c r="G87" s="96"/>
      <c r="H87" s="96"/>
      <c r="I87" s="96"/>
      <c r="J87" s="96"/>
      <c r="K87" s="96">
        <f>IFERROR(__xludf.DUMMYFUNCTION("""COMPUTED_VALUE"""),140000.0)</f>
        <v>140000</v>
      </c>
      <c r="L87" s="99">
        <f>IFERROR(__xludf.DUMMYFUNCTION("""COMPUTED_VALUE"""),140000.0)</f>
        <v>140000</v>
      </c>
      <c r="M87" s="96"/>
      <c r="N87" s="96">
        <f>IFERROR(__xludf.DUMMYFUNCTION("""COMPUTED_VALUE"""),0.0)</f>
        <v>0</v>
      </c>
      <c r="O87" s="96">
        <f>IFERROR(__xludf.DUMMYFUNCTION("""COMPUTED_VALUE"""),0.0)</f>
        <v>0</v>
      </c>
      <c r="P87" s="96">
        <f>IFERROR(__xludf.DUMMYFUNCTION("""COMPUTED_VALUE"""),0.0)</f>
        <v>0</v>
      </c>
      <c r="Q87" s="129">
        <f>IFERROR(__xludf.DUMMYFUNCTION("""COMPUTED_VALUE"""),0.0)</f>
        <v>0</v>
      </c>
      <c r="R87" s="99"/>
      <c r="S87" s="99">
        <f>IFERROR(__xludf.DUMMYFUNCTION("""COMPUTED_VALUE"""),540000.0)</f>
        <v>540000</v>
      </c>
    </row>
    <row r="88">
      <c r="A88" s="96">
        <f>IFERROR(__xludf.DUMMYFUNCTION("""COMPUTED_VALUE"""),4.0)</f>
        <v>4</v>
      </c>
      <c r="B88" s="98">
        <f>IFERROR(__xludf.DUMMYFUNCTION("""COMPUTED_VALUE"""),44033.0)</f>
        <v>44033</v>
      </c>
      <c r="C88" s="96" t="str">
        <f>IFERROR(__xludf.DUMMYFUNCTION("""COMPUTED_VALUE"""),"LIVINUS")</f>
        <v>LIVINUS</v>
      </c>
      <c r="D88" s="96" t="str">
        <f>IFERROR(__xludf.DUMMYFUNCTION("""COMPUTED_VALUE"""),"LIVINUS4")</f>
        <v>LIVINUS4</v>
      </c>
      <c r="E88" s="96">
        <f>IFERROR(__xludf.DUMMYFUNCTION("""COMPUTED_VALUE"""),1166.0)</f>
        <v>1166</v>
      </c>
      <c r="F88" s="96">
        <f>IFERROR(__xludf.DUMMYFUNCTION("""COMPUTED_VALUE"""),173.0)</f>
        <v>173</v>
      </c>
      <c r="G88" s="96"/>
      <c r="H88" s="96">
        <f>IFERROR(__xludf.DUMMYFUNCTION("""COMPUTED_VALUE"""),19.0)</f>
        <v>19</v>
      </c>
      <c r="I88" s="96"/>
      <c r="J88" s="96">
        <f>IFERROR(__xludf.DUMMYFUNCTION("""COMPUTED_VALUE"""),780.0)</f>
        <v>780</v>
      </c>
      <c r="K88" s="96"/>
      <c r="L88" s="99">
        <f>IFERROR(__xludf.DUMMYFUNCTION("""COMPUTED_VALUE"""),-884520.0)</f>
        <v>-884520</v>
      </c>
      <c r="M88" s="96">
        <f>IFERROR(__xludf.DUMMYFUNCTION("""COMPUTED_VALUE"""),9.11)</f>
        <v>9.11</v>
      </c>
      <c r="N88" s="96">
        <f>IFERROR(__xludf.DUMMYFUNCTION("""COMPUTED_VALUE"""),13.0)</f>
        <v>13</v>
      </c>
      <c r="O88" s="96">
        <f>IFERROR(__xludf.DUMMYFUNCTION("""COMPUTED_VALUE"""),18.0)</f>
        <v>18</v>
      </c>
      <c r="P88" s="96">
        <f>IFERROR(__xludf.DUMMYFUNCTION("""COMPUTED_VALUE"""),0.0)</f>
        <v>0</v>
      </c>
      <c r="Q88" s="129">
        <f>IFERROR(__xludf.DUMMYFUNCTION("""COMPUTED_VALUE"""),1134.0)</f>
        <v>1134</v>
      </c>
      <c r="R88" s="99">
        <f>IFERROR(__xludf.DUMMYFUNCTION("""COMPUTED_VALUE"""),884520.0)</f>
        <v>884520</v>
      </c>
      <c r="S88" s="99">
        <f>IFERROR(__xludf.DUMMYFUNCTION("""COMPUTED_VALUE"""),-996600.0)</f>
        <v>-996600</v>
      </c>
    </row>
    <row r="89">
      <c r="A89" s="96">
        <f>IFERROR(__xludf.DUMMYFUNCTION("""COMPUTED_VALUE"""),4.0)</f>
        <v>4</v>
      </c>
      <c r="B89" s="98">
        <f>IFERROR(__xludf.DUMMYFUNCTION("""COMPUTED_VALUE"""),44030.0)</f>
        <v>44030</v>
      </c>
      <c r="C89" s="96" t="str">
        <f>IFERROR(__xludf.DUMMYFUNCTION("""COMPUTED_VALUE""")," MAXWELL AGRO")</f>
        <v> MAXWELL AGRO</v>
      </c>
      <c r="D89" s="96" t="str">
        <f>IFERROR(__xludf.DUMMYFUNCTION("""COMPUTED_VALUE""")," MAXWELL AGRO4")</f>
        <v> MAXWELL AGRO4</v>
      </c>
      <c r="E89" s="96">
        <f>IFERROR(__xludf.DUMMYFUNCTION("""COMPUTED_VALUE"""),387.0)</f>
        <v>387</v>
      </c>
      <c r="F89" s="96">
        <f>IFERROR(__xludf.DUMMYFUNCTION("""COMPUTED_VALUE"""),48.0)</f>
        <v>48</v>
      </c>
      <c r="G89" s="96"/>
      <c r="H89" s="96">
        <f>IFERROR(__xludf.DUMMYFUNCTION("""COMPUTED_VALUE"""),6.0)</f>
        <v>6</v>
      </c>
      <c r="I89" s="96"/>
      <c r="J89" s="96">
        <f>IFERROR(__xludf.DUMMYFUNCTION("""COMPUTED_VALUE"""),780.0)</f>
        <v>780</v>
      </c>
      <c r="K89" s="96"/>
      <c r="L89" s="99">
        <f>IFERROR(__xludf.DUMMYFUNCTION("""COMPUTED_VALUE"""),-297180.0)</f>
        <v>-297180</v>
      </c>
      <c r="M89" s="96">
        <f>IFERROR(__xludf.DUMMYFUNCTION("""COMPUTED_VALUE"""),8.0)</f>
        <v>8</v>
      </c>
      <c r="N89" s="96">
        <f>IFERROR(__xludf.DUMMYFUNCTION("""COMPUTED_VALUE"""),0.0)</f>
        <v>0</v>
      </c>
      <c r="O89" s="96">
        <f>IFERROR(__xludf.DUMMYFUNCTION("""COMPUTED_VALUE"""),6.0)</f>
        <v>6</v>
      </c>
      <c r="P89" s="96">
        <f>IFERROR(__xludf.DUMMYFUNCTION("""COMPUTED_VALUE"""),2.0)</f>
        <v>2</v>
      </c>
      <c r="Q89" s="129">
        <f>IFERROR(__xludf.DUMMYFUNCTION("""COMPUTED_VALUE"""),381.0)</f>
        <v>381</v>
      </c>
      <c r="R89" s="99">
        <f>IFERROR(__xludf.DUMMYFUNCTION("""COMPUTED_VALUE"""),297180.0)</f>
        <v>297180</v>
      </c>
      <c r="S89" s="99">
        <f>IFERROR(__xludf.DUMMYFUNCTION("""COMPUTED_VALUE"""),242820.0)</f>
        <v>242820</v>
      </c>
    </row>
    <row r="90">
      <c r="A90" s="96">
        <f>IFERROR(__xludf.DUMMYFUNCTION("""COMPUTED_VALUE"""),6.0)</f>
        <v>6</v>
      </c>
      <c r="B90" s="98">
        <f>IFERROR(__xludf.DUMMYFUNCTION("""COMPUTED_VALUE"""),44033.0)</f>
        <v>44033</v>
      </c>
      <c r="C90" s="96" t="str">
        <f>IFERROR(__xludf.DUMMYFUNCTION("""COMPUTED_VALUE"""),"LYDIA HNSON ")</f>
        <v>LYDIA HNSON </v>
      </c>
      <c r="D90" s="96" t="str">
        <f>IFERROR(__xludf.DUMMYFUNCTION("""COMPUTED_VALUE"""),"LYDIA HNSON 6")</f>
        <v>LYDIA HNSON 6</v>
      </c>
      <c r="E90" s="96"/>
      <c r="F90" s="96"/>
      <c r="G90" s="96"/>
      <c r="H90" s="96"/>
      <c r="I90" s="96"/>
      <c r="J90" s="96"/>
      <c r="K90" s="96">
        <f>IFERROR(__xludf.DUMMYFUNCTION("""COMPUTED_VALUE"""),50000.0)</f>
        <v>50000</v>
      </c>
      <c r="L90" s="99">
        <f>IFERROR(__xludf.DUMMYFUNCTION("""COMPUTED_VALUE"""),50000.0)</f>
        <v>50000</v>
      </c>
      <c r="M90" s="96"/>
      <c r="N90" s="96">
        <f>IFERROR(__xludf.DUMMYFUNCTION("""COMPUTED_VALUE"""),0.0)</f>
        <v>0</v>
      </c>
      <c r="O90" s="96">
        <f>IFERROR(__xludf.DUMMYFUNCTION("""COMPUTED_VALUE"""),0.0)</f>
        <v>0</v>
      </c>
      <c r="P90" s="96">
        <f>IFERROR(__xludf.DUMMYFUNCTION("""COMPUTED_VALUE"""),0.0)</f>
        <v>0</v>
      </c>
      <c r="Q90" s="129">
        <f>IFERROR(__xludf.DUMMYFUNCTION("""COMPUTED_VALUE"""),0.0)</f>
        <v>0</v>
      </c>
      <c r="R90" s="99"/>
      <c r="S90" s="99">
        <f>IFERROR(__xludf.DUMMYFUNCTION("""COMPUTED_VALUE"""),2879680.0)</f>
        <v>2879680</v>
      </c>
    </row>
    <row r="91">
      <c r="A91" s="96">
        <f>IFERROR(__xludf.DUMMYFUNCTION("""COMPUTED_VALUE"""),2.0)</f>
        <v>2</v>
      </c>
      <c r="B91" s="98">
        <f>IFERROR(__xludf.DUMMYFUNCTION("""COMPUTED_VALUE"""),44033.0)</f>
        <v>44033</v>
      </c>
      <c r="C91" s="96" t="str">
        <f>IFERROR(__xludf.DUMMYFUNCTION("""COMPUTED_VALUE"""),"OTU KOKO KEIBO")</f>
        <v>OTU KOKO KEIBO</v>
      </c>
      <c r="D91" s="96" t="str">
        <f>IFERROR(__xludf.DUMMYFUNCTION("""COMPUTED_VALUE"""),"OTU KOKO KEIBO2")</f>
        <v>OTU KOKO KEIBO2</v>
      </c>
      <c r="E91" s="96"/>
      <c r="F91" s="96"/>
      <c r="G91" s="96"/>
      <c r="H91" s="96"/>
      <c r="I91" s="96"/>
      <c r="J91" s="96"/>
      <c r="K91" s="96">
        <f>IFERROR(__xludf.DUMMYFUNCTION("""COMPUTED_VALUE"""),2.3E7)</f>
        <v>23000000</v>
      </c>
      <c r="L91" s="99">
        <f>IFERROR(__xludf.DUMMYFUNCTION("""COMPUTED_VALUE"""),2.3E7)</f>
        <v>23000000</v>
      </c>
      <c r="M91" s="96"/>
      <c r="N91" s="96">
        <f>IFERROR(__xludf.DUMMYFUNCTION("""COMPUTED_VALUE"""),0.0)</f>
        <v>0</v>
      </c>
      <c r="O91" s="96">
        <f>IFERROR(__xludf.DUMMYFUNCTION("""COMPUTED_VALUE"""),0.0)</f>
        <v>0</v>
      </c>
      <c r="P91" s="96">
        <f>IFERROR(__xludf.DUMMYFUNCTION("""COMPUTED_VALUE"""),0.0)</f>
        <v>0</v>
      </c>
      <c r="Q91" s="129">
        <f>IFERROR(__xludf.DUMMYFUNCTION("""COMPUTED_VALUE"""),0.0)</f>
        <v>0</v>
      </c>
      <c r="R91" s="99"/>
      <c r="S91" s="99">
        <f>IFERROR(__xludf.DUMMYFUNCTION("""COMPUTED_VALUE"""),2.5399925E7)</f>
        <v>25399925</v>
      </c>
    </row>
    <row r="92">
      <c r="A92" s="96">
        <f>IFERROR(__xludf.DUMMYFUNCTION("""COMPUTED_VALUE"""),5.0)</f>
        <v>5</v>
      </c>
      <c r="B92" s="98">
        <f>IFERROR(__xludf.DUMMYFUNCTION("""COMPUTED_VALUE"""),44033.0)</f>
        <v>44033</v>
      </c>
      <c r="C92" s="96" t="str">
        <f>IFERROR(__xludf.DUMMYFUNCTION("""COMPUTED_VALUE"""),"LIVINUS")</f>
        <v>LIVINUS</v>
      </c>
      <c r="D92" s="96" t="str">
        <f>IFERROR(__xludf.DUMMYFUNCTION("""COMPUTED_VALUE"""),"LIVINUS5")</f>
        <v>LIVINUS5</v>
      </c>
      <c r="E92" s="96"/>
      <c r="F92" s="96"/>
      <c r="G92" s="96"/>
      <c r="H92" s="96"/>
      <c r="I92" s="96"/>
      <c r="J92" s="96"/>
      <c r="K92" s="96">
        <f>IFERROR(__xludf.DUMMYFUNCTION("""COMPUTED_VALUE"""),1680000.0)</f>
        <v>1680000</v>
      </c>
      <c r="L92" s="99">
        <f>IFERROR(__xludf.DUMMYFUNCTION("""COMPUTED_VALUE"""),1680000.0)</f>
        <v>1680000</v>
      </c>
      <c r="M92" s="96"/>
      <c r="N92" s="96">
        <f>IFERROR(__xludf.DUMMYFUNCTION("""COMPUTED_VALUE"""),0.0)</f>
        <v>0</v>
      </c>
      <c r="O92" s="96">
        <f>IFERROR(__xludf.DUMMYFUNCTION("""COMPUTED_VALUE"""),0.0)</f>
        <v>0</v>
      </c>
      <c r="P92" s="96">
        <f>IFERROR(__xludf.DUMMYFUNCTION("""COMPUTED_VALUE"""),0.0)</f>
        <v>0</v>
      </c>
      <c r="Q92" s="129">
        <f>IFERROR(__xludf.DUMMYFUNCTION("""COMPUTED_VALUE"""),0.0)</f>
        <v>0</v>
      </c>
      <c r="R92" s="99"/>
      <c r="S92" s="99">
        <f>IFERROR(__xludf.DUMMYFUNCTION("""COMPUTED_VALUE"""),683400.0)</f>
        <v>683400</v>
      </c>
    </row>
    <row r="93">
      <c r="A93" s="96">
        <f>IFERROR(__xludf.DUMMYFUNCTION("""COMPUTED_VALUE"""),1.0)</f>
        <v>1</v>
      </c>
      <c r="B93" s="98">
        <f>IFERROR(__xludf.DUMMYFUNCTION("""COMPUTED_VALUE"""),44033.0)</f>
        <v>44033</v>
      </c>
      <c r="C93" s="96" t="str">
        <f>IFERROR(__xludf.DUMMYFUNCTION("""COMPUTED_VALUE"""),"NDOMA PETER")</f>
        <v>NDOMA PETER</v>
      </c>
      <c r="D93" s="96" t="str">
        <f>IFERROR(__xludf.DUMMYFUNCTION("""COMPUTED_VALUE"""),"NDOMA PETER1")</f>
        <v>NDOMA PETER1</v>
      </c>
      <c r="E93" s="96"/>
      <c r="F93" s="96"/>
      <c r="G93" s="96"/>
      <c r="H93" s="96"/>
      <c r="I93" s="96"/>
      <c r="J93" s="96"/>
      <c r="K93" s="96">
        <f>IFERROR(__xludf.DUMMYFUNCTION("""COMPUTED_VALUE"""),400000.0)</f>
        <v>400000</v>
      </c>
      <c r="L93" s="99">
        <f>IFERROR(__xludf.DUMMYFUNCTION("""COMPUTED_VALUE"""),400000.0)</f>
        <v>400000</v>
      </c>
      <c r="M93" s="96"/>
      <c r="N93" s="96">
        <f>IFERROR(__xludf.DUMMYFUNCTION("""COMPUTED_VALUE"""),0.0)</f>
        <v>0</v>
      </c>
      <c r="O93" s="96">
        <f>IFERROR(__xludf.DUMMYFUNCTION("""COMPUTED_VALUE"""),0.0)</f>
        <v>0</v>
      </c>
      <c r="P93" s="96">
        <f>IFERROR(__xludf.DUMMYFUNCTION("""COMPUTED_VALUE"""),0.0)</f>
        <v>0</v>
      </c>
      <c r="Q93" s="129">
        <f>IFERROR(__xludf.DUMMYFUNCTION("""COMPUTED_VALUE"""),0.0)</f>
        <v>0</v>
      </c>
      <c r="R93" s="99"/>
      <c r="S93" s="99">
        <f>IFERROR(__xludf.DUMMYFUNCTION("""COMPUTED_VALUE"""),400000.0)</f>
        <v>400000</v>
      </c>
    </row>
    <row r="94">
      <c r="A94" s="96">
        <f>IFERROR(__xludf.DUMMYFUNCTION("""COMPUTED_VALUE"""),3.0)</f>
        <v>3</v>
      </c>
      <c r="B94" s="98">
        <f>IFERROR(__xludf.DUMMYFUNCTION("""COMPUTED_VALUE"""),44032.0)</f>
        <v>44032</v>
      </c>
      <c r="C94" s="96" t="str">
        <f>IFERROR(__xludf.DUMMYFUNCTION("""COMPUTED_VALUE"""),"JAMES AKAN")</f>
        <v>JAMES AKAN</v>
      </c>
      <c r="D94" s="96" t="str">
        <f>IFERROR(__xludf.DUMMYFUNCTION("""COMPUTED_VALUE"""),"JAMES AKAN3")</f>
        <v>JAMES AKAN3</v>
      </c>
      <c r="E94" s="96"/>
      <c r="F94" s="96"/>
      <c r="G94" s="96"/>
      <c r="H94" s="96"/>
      <c r="I94" s="96"/>
      <c r="J94" s="96"/>
      <c r="K94" s="96">
        <f>IFERROR(__xludf.DUMMYFUNCTION("""COMPUTED_VALUE"""),-145000.0)</f>
        <v>-145000</v>
      </c>
      <c r="L94" s="99">
        <f>IFERROR(__xludf.DUMMYFUNCTION("""COMPUTED_VALUE"""),-145000.0)</f>
        <v>-145000</v>
      </c>
      <c r="M94" s="96"/>
      <c r="N94" s="96">
        <f>IFERROR(__xludf.DUMMYFUNCTION("""COMPUTED_VALUE"""),0.0)</f>
        <v>0</v>
      </c>
      <c r="O94" s="96">
        <f>IFERROR(__xludf.DUMMYFUNCTION("""COMPUTED_VALUE"""),0.0)</f>
        <v>0</v>
      </c>
      <c r="P94" s="96">
        <f>IFERROR(__xludf.DUMMYFUNCTION("""COMPUTED_VALUE"""),0.0)</f>
        <v>0</v>
      </c>
      <c r="Q94" s="129">
        <f>IFERROR(__xludf.DUMMYFUNCTION("""COMPUTED_VALUE"""),0.0)</f>
        <v>0</v>
      </c>
      <c r="R94" s="99"/>
      <c r="S94" s="99">
        <f>IFERROR(__xludf.DUMMYFUNCTION("""COMPUTED_VALUE"""),400000.0)</f>
        <v>400000</v>
      </c>
    </row>
    <row r="95">
      <c r="A95" s="96">
        <f>IFERROR(__xludf.DUMMYFUNCTION("""COMPUTED_VALUE"""),2.0)</f>
        <v>2</v>
      </c>
      <c r="B95" s="98">
        <f>IFERROR(__xludf.DUMMYFUNCTION("""COMPUTED_VALUE"""),44029.0)</f>
        <v>44029</v>
      </c>
      <c r="C95" s="96" t="str">
        <f>IFERROR(__xludf.DUMMYFUNCTION("""COMPUTED_VALUE"""),"ZULU &amp; NDOMA")</f>
        <v>ZULU &amp; NDOMA</v>
      </c>
      <c r="D95" s="96" t="str">
        <f>IFERROR(__xludf.DUMMYFUNCTION("""COMPUTED_VALUE"""),"ZULU &amp; NDOMA2")</f>
        <v>ZULU &amp; NDOMA2</v>
      </c>
      <c r="E95" s="96"/>
      <c r="F95" s="96"/>
      <c r="G95" s="96"/>
      <c r="H95" s="96"/>
      <c r="I95" s="96"/>
      <c r="J95" s="96"/>
      <c r="K95" s="96">
        <f>IFERROR(__xludf.DUMMYFUNCTION("""COMPUTED_VALUE"""),29000.0)</f>
        <v>29000</v>
      </c>
      <c r="L95" s="99">
        <f>IFERROR(__xludf.DUMMYFUNCTION("""COMPUTED_VALUE"""),29000.0)</f>
        <v>29000</v>
      </c>
      <c r="M95" s="96"/>
      <c r="N95" s="96">
        <f>IFERROR(__xludf.DUMMYFUNCTION("""COMPUTED_VALUE"""),0.0)</f>
        <v>0</v>
      </c>
      <c r="O95" s="96">
        <f>IFERROR(__xludf.DUMMYFUNCTION("""COMPUTED_VALUE"""),0.0)</f>
        <v>0</v>
      </c>
      <c r="P95" s="96">
        <f>IFERROR(__xludf.DUMMYFUNCTION("""COMPUTED_VALUE"""),0.0)</f>
        <v>0</v>
      </c>
      <c r="Q95" s="129">
        <f>IFERROR(__xludf.DUMMYFUNCTION("""COMPUTED_VALUE"""),0.0)</f>
        <v>0</v>
      </c>
      <c r="R95" s="99"/>
      <c r="S95" s="99">
        <f>IFERROR(__xludf.DUMMYFUNCTION("""COMPUTED_VALUE"""),194400.0)</f>
        <v>194400</v>
      </c>
    </row>
    <row r="96">
      <c r="A96" s="96">
        <f>IFERROR(__xludf.DUMMYFUNCTION("""COMPUTED_VALUE"""),6.0)</f>
        <v>6</v>
      </c>
      <c r="B96" s="98">
        <f>IFERROR(__xludf.DUMMYFUNCTION("""COMPUTED_VALUE"""),44030.0)</f>
        <v>44030</v>
      </c>
      <c r="C96" s="96" t="str">
        <f>IFERROR(__xludf.DUMMYFUNCTION("""COMPUTED_VALUE"""),"LIVINUS")</f>
        <v>LIVINUS</v>
      </c>
      <c r="D96" s="96" t="str">
        <f>IFERROR(__xludf.DUMMYFUNCTION("""COMPUTED_VALUE"""),"LIVINUS6")</f>
        <v>LIVINUS6</v>
      </c>
      <c r="E96" s="96"/>
      <c r="F96" s="96"/>
      <c r="G96" s="96"/>
      <c r="H96" s="96"/>
      <c r="I96" s="96"/>
      <c r="J96" s="96"/>
      <c r="K96" s="96">
        <f>IFERROR(__xludf.DUMMYFUNCTION("""COMPUTED_VALUE"""),112080.0)</f>
        <v>112080</v>
      </c>
      <c r="L96" s="99">
        <f>IFERROR(__xludf.DUMMYFUNCTION("""COMPUTED_VALUE"""),112080.0)</f>
        <v>112080</v>
      </c>
      <c r="M96" s="96"/>
      <c r="N96" s="96">
        <f>IFERROR(__xludf.DUMMYFUNCTION("""COMPUTED_VALUE"""),0.0)</f>
        <v>0</v>
      </c>
      <c r="O96" s="96">
        <f>IFERROR(__xludf.DUMMYFUNCTION("""COMPUTED_VALUE"""),0.0)</f>
        <v>0</v>
      </c>
      <c r="P96" s="96">
        <f>IFERROR(__xludf.DUMMYFUNCTION("""COMPUTED_VALUE"""),0.0)</f>
        <v>0</v>
      </c>
      <c r="Q96" s="129">
        <f>IFERROR(__xludf.DUMMYFUNCTION("""COMPUTED_VALUE"""),0.0)</f>
        <v>0</v>
      </c>
      <c r="R96" s="99"/>
      <c r="S96" s="99">
        <f>IFERROR(__xludf.DUMMYFUNCTION("""COMPUTED_VALUE"""),795480.0)</f>
        <v>795480</v>
      </c>
    </row>
    <row r="97">
      <c r="A97" s="96">
        <f>IFERROR(__xludf.DUMMYFUNCTION("""COMPUTED_VALUE"""),7.0)</f>
        <v>7</v>
      </c>
      <c r="B97" s="98">
        <f>IFERROR(__xludf.DUMMYFUNCTION("""COMPUTED_VALUE"""),44033.0)</f>
        <v>44033</v>
      </c>
      <c r="C97" s="96" t="str">
        <f>IFERROR(__xludf.DUMMYFUNCTION("""COMPUTED_VALUE"""),"LIVINUS")</f>
        <v>LIVINUS</v>
      </c>
      <c r="D97" s="96" t="str">
        <f>IFERROR(__xludf.DUMMYFUNCTION("""COMPUTED_VALUE"""),"LIVINUS7")</f>
        <v>LIVINUS7</v>
      </c>
      <c r="E97" s="96"/>
      <c r="F97" s="96"/>
      <c r="G97" s="96"/>
      <c r="H97" s="96"/>
      <c r="I97" s="96"/>
      <c r="J97" s="96"/>
      <c r="K97" s="96">
        <f>IFERROR(__xludf.DUMMYFUNCTION("""COMPUTED_VALUE"""),884520.0)</f>
        <v>884520</v>
      </c>
      <c r="L97" s="99">
        <f>IFERROR(__xludf.DUMMYFUNCTION("""COMPUTED_VALUE"""),884520.0)</f>
        <v>884520</v>
      </c>
      <c r="M97" s="96"/>
      <c r="N97" s="96">
        <f>IFERROR(__xludf.DUMMYFUNCTION("""COMPUTED_VALUE"""),0.0)</f>
        <v>0</v>
      </c>
      <c r="O97" s="96">
        <f>IFERROR(__xludf.DUMMYFUNCTION("""COMPUTED_VALUE"""),0.0)</f>
        <v>0</v>
      </c>
      <c r="P97" s="96">
        <f>IFERROR(__xludf.DUMMYFUNCTION("""COMPUTED_VALUE"""),0.0)</f>
        <v>0</v>
      </c>
      <c r="Q97" s="129">
        <f>IFERROR(__xludf.DUMMYFUNCTION("""COMPUTED_VALUE"""),0.0)</f>
        <v>0</v>
      </c>
      <c r="R97" s="99"/>
      <c r="S97" s="99">
        <f>IFERROR(__xludf.DUMMYFUNCTION("""COMPUTED_VALUE"""),1680000.0)</f>
        <v>1680000</v>
      </c>
    </row>
    <row r="98">
      <c r="A98" s="96">
        <f>IFERROR(__xludf.DUMMYFUNCTION("""COMPUTED_VALUE"""),6.0)</f>
        <v>6</v>
      </c>
      <c r="B98" s="98">
        <f>IFERROR(__xludf.DUMMYFUNCTION("""COMPUTED_VALUE"""),44030.0)</f>
        <v>44030</v>
      </c>
      <c r="C98" s="96" t="str">
        <f>IFERROR(__xludf.DUMMYFUNCTION("""COMPUTED_VALUE"""),"CONNECT")</f>
        <v>CONNECT</v>
      </c>
      <c r="D98" s="96" t="str">
        <f>IFERROR(__xludf.DUMMYFUNCTION("""COMPUTED_VALUE"""),"CONNECT6")</f>
        <v>CONNECT6</v>
      </c>
      <c r="E98" s="96"/>
      <c r="F98" s="96"/>
      <c r="G98" s="96"/>
      <c r="H98" s="96"/>
      <c r="I98" s="96"/>
      <c r="J98" s="96"/>
      <c r="K98" s="96">
        <f>IFERROR(__xludf.DUMMYFUNCTION("""COMPUTED_VALUE"""),-5000.0)</f>
        <v>-5000</v>
      </c>
      <c r="L98" s="99">
        <f>IFERROR(__xludf.DUMMYFUNCTION("""COMPUTED_VALUE"""),-5000.0)</f>
        <v>-5000</v>
      </c>
      <c r="M98" s="96"/>
      <c r="N98" s="96">
        <f>IFERROR(__xludf.DUMMYFUNCTION("""COMPUTED_VALUE"""),0.0)</f>
        <v>0</v>
      </c>
      <c r="O98" s="96">
        <f>IFERROR(__xludf.DUMMYFUNCTION("""COMPUTED_VALUE"""),0.0)</f>
        <v>0</v>
      </c>
      <c r="P98" s="96">
        <f>IFERROR(__xludf.DUMMYFUNCTION("""COMPUTED_VALUE"""),0.0)</f>
        <v>0</v>
      </c>
      <c r="Q98" s="129">
        <f>IFERROR(__xludf.DUMMYFUNCTION("""COMPUTED_VALUE"""),0.0)</f>
        <v>0</v>
      </c>
      <c r="R98" s="99"/>
      <c r="S98" s="99">
        <f>IFERROR(__xludf.DUMMYFUNCTION("""COMPUTED_VALUE"""),823920.0)</f>
        <v>823920</v>
      </c>
    </row>
    <row r="99">
      <c r="A99" s="96">
        <f>IFERROR(__xludf.DUMMYFUNCTION("""COMPUTED_VALUE"""),7.0)</f>
        <v>7</v>
      </c>
      <c r="B99" s="98">
        <f>IFERROR(__xludf.DUMMYFUNCTION("""COMPUTED_VALUE"""),44030.0)</f>
        <v>44030</v>
      </c>
      <c r="C99" s="96" t="str">
        <f>IFERROR(__xludf.DUMMYFUNCTION("""COMPUTED_VALUE"""),"CONNECT")</f>
        <v>CONNECT</v>
      </c>
      <c r="D99" s="96" t="str">
        <f>IFERROR(__xludf.DUMMYFUNCTION("""COMPUTED_VALUE"""),"CONNECT7")</f>
        <v>CONNECT7</v>
      </c>
      <c r="E99" s="96"/>
      <c r="F99" s="96"/>
      <c r="G99" s="96"/>
      <c r="H99" s="96"/>
      <c r="I99" s="96"/>
      <c r="J99" s="96"/>
      <c r="K99" s="96">
        <f>IFERROR(__xludf.DUMMYFUNCTION("""COMPUTED_VALUE"""),-23920.0)</f>
        <v>-23920</v>
      </c>
      <c r="L99" s="99">
        <f>IFERROR(__xludf.DUMMYFUNCTION("""COMPUTED_VALUE"""),-23920.0)</f>
        <v>-23920</v>
      </c>
      <c r="M99" s="96"/>
      <c r="N99" s="96">
        <f>IFERROR(__xludf.DUMMYFUNCTION("""COMPUTED_VALUE"""),0.0)</f>
        <v>0</v>
      </c>
      <c r="O99" s="96">
        <f>IFERROR(__xludf.DUMMYFUNCTION("""COMPUTED_VALUE"""),0.0)</f>
        <v>0</v>
      </c>
      <c r="P99" s="96">
        <f>IFERROR(__xludf.DUMMYFUNCTION("""COMPUTED_VALUE"""),0.0)</f>
        <v>0</v>
      </c>
      <c r="Q99" s="129">
        <f>IFERROR(__xludf.DUMMYFUNCTION("""COMPUTED_VALUE"""),0.0)</f>
        <v>0</v>
      </c>
      <c r="R99" s="99"/>
      <c r="S99" s="99">
        <f>IFERROR(__xludf.DUMMYFUNCTION("""COMPUTED_VALUE"""),800000.0)</f>
        <v>800000</v>
      </c>
    </row>
    <row r="100">
      <c r="A100" s="96">
        <f>IFERROR(__xludf.DUMMYFUNCTION("""COMPUTED_VALUE"""),3.0)</f>
        <v>3</v>
      </c>
      <c r="B100" s="98">
        <f>IFERROR(__xludf.DUMMYFUNCTION("""COMPUTED_VALUE"""),44034.0)</f>
        <v>44034</v>
      </c>
      <c r="C100" s="96" t="str">
        <f>IFERROR(__xludf.DUMMYFUNCTION("""COMPUTED_VALUE"""),"ZULU &amp; NDOMA")</f>
        <v>ZULU &amp; NDOMA</v>
      </c>
      <c r="D100" s="96" t="str">
        <f>IFERROR(__xludf.DUMMYFUNCTION("""COMPUTED_VALUE"""),"ZULU &amp; NDOMA3")</f>
        <v>ZULU &amp; NDOMA3</v>
      </c>
      <c r="E100" s="96"/>
      <c r="F100" s="96"/>
      <c r="G100" s="96"/>
      <c r="H100" s="96"/>
      <c r="I100" s="96"/>
      <c r="J100" s="96"/>
      <c r="K100" s="96">
        <f>IFERROR(__xludf.DUMMYFUNCTION("""COMPUTED_VALUE"""),9000.0)</f>
        <v>9000</v>
      </c>
      <c r="L100" s="99">
        <f>IFERROR(__xludf.DUMMYFUNCTION("""COMPUTED_VALUE"""),9000.0)</f>
        <v>9000</v>
      </c>
      <c r="M100" s="96"/>
      <c r="N100" s="96">
        <f>IFERROR(__xludf.DUMMYFUNCTION("""COMPUTED_VALUE"""),0.0)</f>
        <v>0</v>
      </c>
      <c r="O100" s="96">
        <f>IFERROR(__xludf.DUMMYFUNCTION("""COMPUTED_VALUE"""),0.0)</f>
        <v>0</v>
      </c>
      <c r="P100" s="96">
        <f>IFERROR(__xludf.DUMMYFUNCTION("""COMPUTED_VALUE"""),0.0)</f>
        <v>0</v>
      </c>
      <c r="Q100" s="129">
        <f>IFERROR(__xludf.DUMMYFUNCTION("""COMPUTED_VALUE"""),0.0)</f>
        <v>0</v>
      </c>
      <c r="R100" s="99"/>
      <c r="S100" s="99">
        <f>IFERROR(__xludf.DUMMYFUNCTION("""COMPUTED_VALUE"""),203400.0)</f>
        <v>203400</v>
      </c>
    </row>
    <row r="101">
      <c r="A101" s="96">
        <f>IFERROR(__xludf.DUMMYFUNCTION("""COMPUTED_VALUE"""),4.0)</f>
        <v>4</v>
      </c>
      <c r="B101" s="98">
        <f>IFERROR(__xludf.DUMMYFUNCTION("""COMPUTED_VALUE"""),44034.0)</f>
        <v>44034</v>
      </c>
      <c r="C101" s="96" t="str">
        <f>IFERROR(__xludf.DUMMYFUNCTION("""COMPUTED_VALUE"""),"CORNWELL")</f>
        <v>CORNWELL</v>
      </c>
      <c r="D101" s="96" t="str">
        <f>IFERROR(__xludf.DUMMYFUNCTION("""COMPUTED_VALUE"""),"CORNWELL4")</f>
        <v>CORNWELL4</v>
      </c>
      <c r="E101" s="96"/>
      <c r="F101" s="96"/>
      <c r="G101" s="96"/>
      <c r="H101" s="96"/>
      <c r="I101" s="96"/>
      <c r="J101" s="96"/>
      <c r="K101" s="96">
        <f>IFERROR(__xludf.DUMMYFUNCTION("""COMPUTED_VALUE"""),3725000.0)</f>
        <v>3725000</v>
      </c>
      <c r="L101" s="99">
        <f>IFERROR(__xludf.DUMMYFUNCTION("""COMPUTED_VALUE"""),3725000.0)</f>
        <v>3725000</v>
      </c>
      <c r="M101" s="96"/>
      <c r="N101" s="96">
        <f>IFERROR(__xludf.DUMMYFUNCTION("""COMPUTED_VALUE"""),0.0)</f>
        <v>0</v>
      </c>
      <c r="O101" s="96">
        <f>IFERROR(__xludf.DUMMYFUNCTION("""COMPUTED_VALUE"""),0.0)</f>
        <v>0</v>
      </c>
      <c r="P101" s="96">
        <f>IFERROR(__xludf.DUMMYFUNCTION("""COMPUTED_VALUE"""),0.0)</f>
        <v>0</v>
      </c>
      <c r="Q101" s="129">
        <f>IFERROR(__xludf.DUMMYFUNCTION("""COMPUTED_VALUE"""),0.0)</f>
        <v>0</v>
      </c>
      <c r="R101" s="99"/>
      <c r="S101" s="99">
        <f>IFERROR(__xludf.DUMMYFUNCTION("""COMPUTED_VALUE"""),1.460444E7)</f>
        <v>14604440</v>
      </c>
    </row>
    <row r="102">
      <c r="A102" s="96">
        <f>IFERROR(__xludf.DUMMYFUNCTION("""COMPUTED_VALUE"""),8.0)</f>
        <v>8</v>
      </c>
      <c r="B102" s="98">
        <f>IFERROR(__xludf.DUMMYFUNCTION("""COMPUTED_VALUE"""),44034.0)</f>
        <v>44034</v>
      </c>
      <c r="C102" s="96" t="str">
        <f>IFERROR(__xludf.DUMMYFUNCTION("""COMPUTED_VALUE"""),"CONNECT")</f>
        <v>CONNECT</v>
      </c>
      <c r="D102" s="96" t="str">
        <f>IFERROR(__xludf.DUMMYFUNCTION("""COMPUTED_VALUE"""),"CONNECT8")</f>
        <v>CONNECT8</v>
      </c>
      <c r="E102" s="96"/>
      <c r="F102" s="96"/>
      <c r="G102" s="96"/>
      <c r="H102" s="96"/>
      <c r="I102" s="96"/>
      <c r="J102" s="96"/>
      <c r="K102" s="96">
        <f>IFERROR(__xludf.DUMMYFUNCTION("""COMPUTED_VALUE"""),700000.0)</f>
        <v>700000</v>
      </c>
      <c r="L102" s="99">
        <f>IFERROR(__xludf.DUMMYFUNCTION("""COMPUTED_VALUE"""),700000.0)</f>
        <v>700000</v>
      </c>
      <c r="M102" s="96"/>
      <c r="N102" s="96">
        <f>IFERROR(__xludf.DUMMYFUNCTION("""COMPUTED_VALUE"""),0.0)</f>
        <v>0</v>
      </c>
      <c r="O102" s="96">
        <f>IFERROR(__xludf.DUMMYFUNCTION("""COMPUTED_VALUE"""),0.0)</f>
        <v>0</v>
      </c>
      <c r="P102" s="96">
        <f>IFERROR(__xludf.DUMMYFUNCTION("""COMPUTED_VALUE"""),0.0)</f>
        <v>0</v>
      </c>
      <c r="Q102" s="129">
        <f>IFERROR(__xludf.DUMMYFUNCTION("""COMPUTED_VALUE"""),0.0)</f>
        <v>0</v>
      </c>
      <c r="R102" s="99"/>
      <c r="S102" s="99">
        <f>IFERROR(__xludf.DUMMYFUNCTION("""COMPUTED_VALUE"""),1500000.0)</f>
        <v>1500000</v>
      </c>
    </row>
    <row r="103">
      <c r="A103" s="96">
        <f>IFERROR(__xludf.DUMMYFUNCTION("""COMPUTED_VALUE"""),4.0)</f>
        <v>4</v>
      </c>
      <c r="B103" s="98">
        <f>IFERROR(__xludf.DUMMYFUNCTION("""COMPUTED_VALUE"""),44034.0)</f>
        <v>44034</v>
      </c>
      <c r="C103" s="96" t="str">
        <f>IFERROR(__xludf.DUMMYFUNCTION("""COMPUTED_VALUE"""),"ANDRDEW GREAT")</f>
        <v>ANDRDEW GREAT</v>
      </c>
      <c r="D103" s="96" t="str">
        <f>IFERROR(__xludf.DUMMYFUNCTION("""COMPUTED_VALUE"""),"ANDRDEW GREAT4")</f>
        <v>ANDRDEW GREAT4</v>
      </c>
      <c r="E103" s="96"/>
      <c r="F103" s="96"/>
      <c r="G103" s="96"/>
      <c r="H103" s="96"/>
      <c r="I103" s="96"/>
      <c r="J103" s="96"/>
      <c r="K103" s="96">
        <f>IFERROR(__xludf.DUMMYFUNCTION("""COMPUTED_VALUE"""),200000.0)</f>
        <v>200000</v>
      </c>
      <c r="L103" s="99">
        <f>IFERROR(__xludf.DUMMYFUNCTION("""COMPUTED_VALUE"""),200000.0)</f>
        <v>200000</v>
      </c>
      <c r="M103" s="96"/>
      <c r="N103" s="96">
        <f>IFERROR(__xludf.DUMMYFUNCTION("""COMPUTED_VALUE"""),0.0)</f>
        <v>0</v>
      </c>
      <c r="O103" s="96">
        <f>IFERROR(__xludf.DUMMYFUNCTION("""COMPUTED_VALUE"""),0.0)</f>
        <v>0</v>
      </c>
      <c r="P103" s="96">
        <f>IFERROR(__xludf.DUMMYFUNCTION("""COMPUTED_VALUE"""),0.0)</f>
        <v>0</v>
      </c>
      <c r="Q103" s="129">
        <f>IFERROR(__xludf.DUMMYFUNCTION("""COMPUTED_VALUE"""),0.0)</f>
        <v>0</v>
      </c>
      <c r="R103" s="99"/>
      <c r="S103" s="99">
        <f>IFERROR(__xludf.DUMMYFUNCTION("""COMPUTED_VALUE"""),1526950.0)</f>
        <v>1526950</v>
      </c>
    </row>
    <row r="104">
      <c r="A104" s="96">
        <f>IFERROR(__xludf.DUMMYFUNCTION("""COMPUTED_VALUE"""),1.0)</f>
        <v>1</v>
      </c>
      <c r="B104" s="98">
        <f>IFERROR(__xludf.DUMMYFUNCTION("""COMPUTED_VALUE"""),44034.0)</f>
        <v>44034</v>
      </c>
      <c r="C104" s="96" t="str">
        <f>IFERROR(__xludf.DUMMYFUNCTION("""COMPUTED_VALUE"""),"ALFRED ALABI")</f>
        <v>ALFRED ALABI</v>
      </c>
      <c r="D104" s="96" t="str">
        <f>IFERROR(__xludf.DUMMYFUNCTION("""COMPUTED_VALUE"""),"ALFRED ALABI1")</f>
        <v>ALFRED ALABI1</v>
      </c>
      <c r="E104" s="96"/>
      <c r="F104" s="96"/>
      <c r="G104" s="96"/>
      <c r="H104" s="96"/>
      <c r="I104" s="96"/>
      <c r="J104" s="96"/>
      <c r="K104" s="96">
        <f>IFERROR(__xludf.DUMMYFUNCTION("""COMPUTED_VALUE"""),480000.0)</f>
        <v>480000</v>
      </c>
      <c r="L104" s="99">
        <f>IFERROR(__xludf.DUMMYFUNCTION("""COMPUTED_VALUE"""),480000.0)</f>
        <v>480000</v>
      </c>
      <c r="M104" s="96"/>
      <c r="N104" s="96">
        <f>IFERROR(__xludf.DUMMYFUNCTION("""COMPUTED_VALUE"""),0.0)</f>
        <v>0</v>
      </c>
      <c r="O104" s="96">
        <f>IFERROR(__xludf.DUMMYFUNCTION("""COMPUTED_VALUE"""),0.0)</f>
        <v>0</v>
      </c>
      <c r="P104" s="96">
        <f>IFERROR(__xludf.DUMMYFUNCTION("""COMPUTED_VALUE"""),0.0)</f>
        <v>0</v>
      </c>
      <c r="Q104" s="129">
        <f>IFERROR(__xludf.DUMMYFUNCTION("""COMPUTED_VALUE"""),0.0)</f>
        <v>0</v>
      </c>
      <c r="R104" s="99"/>
      <c r="S104" s="99">
        <f>IFERROR(__xludf.DUMMYFUNCTION("""COMPUTED_VALUE"""),480000.0)</f>
        <v>480000</v>
      </c>
    </row>
    <row r="105">
      <c r="A105" s="96">
        <f>IFERROR(__xludf.DUMMYFUNCTION("""COMPUTED_VALUE"""),2.0)</f>
        <v>2</v>
      </c>
      <c r="B105" s="98">
        <f>IFERROR(__xludf.DUMMYFUNCTION("""COMPUTED_VALUE"""),44034.0)</f>
        <v>44034</v>
      </c>
      <c r="C105" s="96" t="str">
        <f>IFERROR(__xludf.DUMMYFUNCTION("""COMPUTED_VALUE"""),"EDWARD OKO")</f>
        <v>EDWARD OKO</v>
      </c>
      <c r="D105" s="96" t="str">
        <f>IFERROR(__xludf.DUMMYFUNCTION("""COMPUTED_VALUE"""),"EDWARD OKO2")</f>
        <v>EDWARD OKO2</v>
      </c>
      <c r="E105" s="96"/>
      <c r="F105" s="96"/>
      <c r="G105" s="96"/>
      <c r="H105" s="96"/>
      <c r="I105" s="96"/>
      <c r="J105" s="96"/>
      <c r="K105" s="96">
        <f>IFERROR(__xludf.DUMMYFUNCTION("""COMPUTED_VALUE"""),1000000.0)</f>
        <v>1000000</v>
      </c>
      <c r="L105" s="99">
        <f>IFERROR(__xludf.DUMMYFUNCTION("""COMPUTED_VALUE"""),1000000.0)</f>
        <v>1000000</v>
      </c>
      <c r="M105" s="96"/>
      <c r="N105" s="96">
        <f>IFERROR(__xludf.DUMMYFUNCTION("""COMPUTED_VALUE"""),0.0)</f>
        <v>0</v>
      </c>
      <c r="O105" s="96">
        <f>IFERROR(__xludf.DUMMYFUNCTION("""COMPUTED_VALUE"""),0.0)</f>
        <v>0</v>
      </c>
      <c r="P105" s="96">
        <f>IFERROR(__xludf.DUMMYFUNCTION("""COMPUTED_VALUE"""),0.0)</f>
        <v>0</v>
      </c>
      <c r="Q105" s="129">
        <f>IFERROR(__xludf.DUMMYFUNCTION("""COMPUTED_VALUE"""),0.0)</f>
        <v>0</v>
      </c>
      <c r="R105" s="99"/>
      <c r="S105" s="99">
        <f>IFERROR(__xludf.DUMMYFUNCTION("""COMPUTED_VALUE"""),1521000.0)</f>
        <v>1521000</v>
      </c>
    </row>
    <row r="106">
      <c r="A106" s="96">
        <f>IFERROR(__xludf.DUMMYFUNCTION("""COMPUTED_VALUE"""),6.0)</f>
        <v>6</v>
      </c>
      <c r="B106" s="98">
        <f>IFERROR(__xludf.DUMMYFUNCTION("""COMPUTED_VALUE"""),44034.0)</f>
        <v>44034</v>
      </c>
      <c r="C106" s="96" t="str">
        <f>IFERROR(__xludf.DUMMYFUNCTION("""COMPUTED_VALUE"""),"RECTOR W.")</f>
        <v>RECTOR W.</v>
      </c>
      <c r="D106" s="96" t="str">
        <f>IFERROR(__xludf.DUMMYFUNCTION("""COMPUTED_VALUE"""),"RECTOR W.6")</f>
        <v>RECTOR W.6</v>
      </c>
      <c r="E106" s="96"/>
      <c r="F106" s="96"/>
      <c r="G106" s="96"/>
      <c r="H106" s="96"/>
      <c r="I106" s="96"/>
      <c r="J106" s="96"/>
      <c r="K106" s="96">
        <f>IFERROR(__xludf.DUMMYFUNCTION("""COMPUTED_VALUE"""),2500000.0)</f>
        <v>2500000</v>
      </c>
      <c r="L106" s="99">
        <f>IFERROR(__xludf.DUMMYFUNCTION("""COMPUTED_VALUE"""),2500000.0)</f>
        <v>2500000</v>
      </c>
      <c r="M106" s="96"/>
      <c r="N106" s="96">
        <f>IFERROR(__xludf.DUMMYFUNCTION("""COMPUTED_VALUE"""),0.0)</f>
        <v>0</v>
      </c>
      <c r="O106" s="96">
        <f>IFERROR(__xludf.DUMMYFUNCTION("""COMPUTED_VALUE"""),0.0)</f>
        <v>0</v>
      </c>
      <c r="P106" s="96">
        <f>IFERROR(__xludf.DUMMYFUNCTION("""COMPUTED_VALUE"""),0.0)</f>
        <v>0</v>
      </c>
      <c r="Q106" s="129">
        <f>IFERROR(__xludf.DUMMYFUNCTION("""COMPUTED_VALUE"""),0.0)</f>
        <v>0</v>
      </c>
      <c r="R106" s="99"/>
      <c r="S106" s="99">
        <f>IFERROR(__xludf.DUMMYFUNCTION("""COMPUTED_VALUE"""),2141120.0)</f>
        <v>2141120</v>
      </c>
    </row>
    <row r="107">
      <c r="A107" s="96">
        <f>IFERROR(__xludf.DUMMYFUNCTION("""COMPUTED_VALUE"""),5.0)</f>
        <v>5</v>
      </c>
      <c r="B107" s="98">
        <f>IFERROR(__xludf.DUMMYFUNCTION("""COMPUTED_VALUE"""),44034.0)</f>
        <v>44034</v>
      </c>
      <c r="C107" s="96" t="str">
        <f>IFERROR(__xludf.DUMMYFUNCTION("""COMPUTED_VALUE"""),"NDOMA BODE I.D")</f>
        <v>NDOMA BODE I.D</v>
      </c>
      <c r="D107" s="96" t="str">
        <f>IFERROR(__xludf.DUMMYFUNCTION("""COMPUTED_VALUE"""),"NDOMA BODE I.D5")</f>
        <v>NDOMA BODE I.D5</v>
      </c>
      <c r="E107" s="96"/>
      <c r="F107" s="96"/>
      <c r="G107" s="96"/>
      <c r="H107" s="96"/>
      <c r="I107" s="96"/>
      <c r="J107" s="96"/>
      <c r="K107" s="96">
        <f>IFERROR(__xludf.DUMMYFUNCTION("""COMPUTED_VALUE"""),500000.0)</f>
        <v>500000</v>
      </c>
      <c r="L107" s="99">
        <f>IFERROR(__xludf.DUMMYFUNCTION("""COMPUTED_VALUE"""),500000.0)</f>
        <v>500000</v>
      </c>
      <c r="M107" s="96"/>
      <c r="N107" s="96">
        <f>IFERROR(__xludf.DUMMYFUNCTION("""COMPUTED_VALUE"""),0.0)</f>
        <v>0</v>
      </c>
      <c r="O107" s="96">
        <f>IFERROR(__xludf.DUMMYFUNCTION("""COMPUTED_VALUE"""),0.0)</f>
        <v>0</v>
      </c>
      <c r="P107" s="96">
        <f>IFERROR(__xludf.DUMMYFUNCTION("""COMPUTED_VALUE"""),0.0)</f>
        <v>0</v>
      </c>
      <c r="Q107" s="129">
        <f>IFERROR(__xludf.DUMMYFUNCTION("""COMPUTED_VALUE"""),0.0)</f>
        <v>0</v>
      </c>
      <c r="R107" s="99"/>
      <c r="S107" s="99">
        <f>IFERROR(__xludf.DUMMYFUNCTION("""COMPUTED_VALUE"""),700000.0)</f>
        <v>700000</v>
      </c>
    </row>
    <row r="108">
      <c r="A108" s="96">
        <f>IFERROR(__xludf.DUMMYFUNCTION("""COMPUTED_VALUE"""),1.0)</f>
        <v>1</v>
      </c>
      <c r="B108" s="98">
        <f>IFERROR(__xludf.DUMMYFUNCTION("""COMPUTED_VALUE"""),44034.0)</f>
        <v>44034</v>
      </c>
      <c r="C108" s="96" t="str">
        <f>IFERROR(__xludf.DUMMYFUNCTION("""COMPUTED_VALUE"""),"OBINNA CHIELO")</f>
        <v>OBINNA CHIELO</v>
      </c>
      <c r="D108" s="96" t="str">
        <f>IFERROR(__xludf.DUMMYFUNCTION("""COMPUTED_VALUE"""),"OBINNA CHIELO1")</f>
        <v>OBINNA CHIELO1</v>
      </c>
      <c r="E108" s="96"/>
      <c r="F108" s="96"/>
      <c r="G108" s="96"/>
      <c r="H108" s="96"/>
      <c r="I108" s="96"/>
      <c r="J108" s="96"/>
      <c r="K108" s="96">
        <f>IFERROR(__xludf.DUMMYFUNCTION("""COMPUTED_VALUE"""),480000.0)</f>
        <v>480000</v>
      </c>
      <c r="L108" s="99">
        <f>IFERROR(__xludf.DUMMYFUNCTION("""COMPUTED_VALUE"""),480000.0)</f>
        <v>480000</v>
      </c>
      <c r="M108" s="96"/>
      <c r="N108" s="96">
        <f>IFERROR(__xludf.DUMMYFUNCTION("""COMPUTED_VALUE"""),0.0)</f>
        <v>0</v>
      </c>
      <c r="O108" s="96">
        <f>IFERROR(__xludf.DUMMYFUNCTION("""COMPUTED_VALUE"""),0.0)</f>
        <v>0</v>
      </c>
      <c r="P108" s="96">
        <f>IFERROR(__xludf.DUMMYFUNCTION("""COMPUTED_VALUE"""),0.0)</f>
        <v>0</v>
      </c>
      <c r="Q108" s="129">
        <f>IFERROR(__xludf.DUMMYFUNCTION("""COMPUTED_VALUE"""),0.0)</f>
        <v>0</v>
      </c>
      <c r="R108" s="99"/>
      <c r="S108" s="99">
        <f>IFERROR(__xludf.DUMMYFUNCTION("""COMPUTED_VALUE"""),480000.0)</f>
        <v>480000</v>
      </c>
    </row>
    <row r="109">
      <c r="A109" s="96">
        <f>IFERROR(__xludf.DUMMYFUNCTION("""COMPUTED_VALUE"""),5.0)</f>
        <v>5</v>
      </c>
      <c r="B109" s="98">
        <f>IFERROR(__xludf.DUMMYFUNCTION("""COMPUTED_VALUE"""),44034.0)</f>
        <v>44034</v>
      </c>
      <c r="C109" s="96" t="str">
        <f>IFERROR(__xludf.DUMMYFUNCTION("""COMPUTED_VALUE""")," MAXWELL AGRO")</f>
        <v> MAXWELL AGRO</v>
      </c>
      <c r="D109" s="96" t="str">
        <f>IFERROR(__xludf.DUMMYFUNCTION("""COMPUTED_VALUE""")," MAXWELL AGRO5")</f>
        <v> MAXWELL AGRO5</v>
      </c>
      <c r="E109" s="96"/>
      <c r="F109" s="96"/>
      <c r="G109" s="96"/>
      <c r="H109" s="96"/>
      <c r="I109" s="96"/>
      <c r="J109" s="96"/>
      <c r="K109" s="96">
        <f>IFERROR(__xludf.DUMMYFUNCTION("""COMPUTED_VALUE"""),240000.0)</f>
        <v>240000</v>
      </c>
      <c r="L109" s="99">
        <f>IFERROR(__xludf.DUMMYFUNCTION("""COMPUTED_VALUE"""),240000.0)</f>
        <v>240000</v>
      </c>
      <c r="M109" s="96"/>
      <c r="N109" s="96">
        <f>IFERROR(__xludf.DUMMYFUNCTION("""COMPUTED_VALUE"""),0.0)</f>
        <v>0</v>
      </c>
      <c r="O109" s="96">
        <f>IFERROR(__xludf.DUMMYFUNCTION("""COMPUTED_VALUE"""),0.0)</f>
        <v>0</v>
      </c>
      <c r="P109" s="96">
        <f>IFERROR(__xludf.DUMMYFUNCTION("""COMPUTED_VALUE"""),0.0)</f>
        <v>0</v>
      </c>
      <c r="Q109" s="129">
        <f>IFERROR(__xludf.DUMMYFUNCTION("""COMPUTED_VALUE"""),0.0)</f>
        <v>0</v>
      </c>
      <c r="R109" s="99"/>
      <c r="S109" s="99">
        <f>IFERROR(__xludf.DUMMYFUNCTION("""COMPUTED_VALUE"""),482820.0)</f>
        <v>482820</v>
      </c>
    </row>
    <row r="110">
      <c r="A110" s="96">
        <f>IFERROR(__xludf.DUMMYFUNCTION("""COMPUTED_VALUE"""),1.0)</f>
        <v>1</v>
      </c>
      <c r="B110" s="98">
        <f>IFERROR(__xludf.DUMMYFUNCTION("""COMPUTED_VALUE"""),44034.0)</f>
        <v>44034</v>
      </c>
      <c r="C110" s="96" t="str">
        <f>IFERROR(__xludf.DUMMYFUNCTION("""COMPUTED_VALUE"""),"EMMANUEL OKO ")</f>
        <v>EMMANUEL OKO </v>
      </c>
      <c r="D110" s="96" t="str">
        <f>IFERROR(__xludf.DUMMYFUNCTION("""COMPUTED_VALUE"""),"EMMANUEL OKO 1")</f>
        <v>EMMANUEL OKO 1</v>
      </c>
      <c r="E110" s="96"/>
      <c r="F110" s="96"/>
      <c r="G110" s="96"/>
      <c r="H110" s="96"/>
      <c r="I110" s="96"/>
      <c r="J110" s="96"/>
      <c r="K110" s="96">
        <f>IFERROR(__xludf.DUMMYFUNCTION("""COMPUTED_VALUE"""),235000.0)</f>
        <v>235000</v>
      </c>
      <c r="L110" s="99">
        <f>IFERROR(__xludf.DUMMYFUNCTION("""COMPUTED_VALUE"""),235000.0)</f>
        <v>235000</v>
      </c>
      <c r="M110" s="96"/>
      <c r="N110" s="96">
        <f>IFERROR(__xludf.DUMMYFUNCTION("""COMPUTED_VALUE"""),0.0)</f>
        <v>0</v>
      </c>
      <c r="O110" s="96">
        <f>IFERROR(__xludf.DUMMYFUNCTION("""COMPUTED_VALUE"""),0.0)</f>
        <v>0</v>
      </c>
      <c r="P110" s="96">
        <f>IFERROR(__xludf.DUMMYFUNCTION("""COMPUTED_VALUE"""),0.0)</f>
        <v>0</v>
      </c>
      <c r="Q110" s="129">
        <f>IFERROR(__xludf.DUMMYFUNCTION("""COMPUTED_VALUE"""),0.0)</f>
        <v>0</v>
      </c>
      <c r="R110" s="99"/>
      <c r="S110" s="99">
        <f>IFERROR(__xludf.DUMMYFUNCTION("""COMPUTED_VALUE"""),235000.0)</f>
        <v>235000</v>
      </c>
    </row>
    <row r="111">
      <c r="A111" s="96">
        <f>IFERROR(__xludf.DUMMYFUNCTION("""COMPUTED_VALUE"""),2.0)</f>
        <v>2</v>
      </c>
      <c r="B111" s="98">
        <f>IFERROR(__xludf.DUMMYFUNCTION("""COMPUTED_VALUE"""),44034.0)</f>
        <v>44034</v>
      </c>
      <c r="C111" s="96" t="str">
        <f>IFERROR(__xludf.DUMMYFUNCTION("""COMPUTED_VALUE"""),"ETUK EFFI")</f>
        <v>ETUK EFFI</v>
      </c>
      <c r="D111" s="96" t="str">
        <f>IFERROR(__xludf.DUMMYFUNCTION("""COMPUTED_VALUE"""),"ETUK EFFI2")</f>
        <v>ETUK EFFI2</v>
      </c>
      <c r="E111" s="96"/>
      <c r="F111" s="96"/>
      <c r="G111" s="96"/>
      <c r="H111" s="96"/>
      <c r="I111" s="96"/>
      <c r="J111" s="96"/>
      <c r="K111" s="96">
        <f>IFERROR(__xludf.DUMMYFUNCTION("""COMPUTED_VALUE"""),500000.0)</f>
        <v>500000</v>
      </c>
      <c r="L111" s="99">
        <f>IFERROR(__xludf.DUMMYFUNCTION("""COMPUTED_VALUE"""),500000.0)</f>
        <v>500000</v>
      </c>
      <c r="M111" s="96"/>
      <c r="N111" s="96">
        <f>IFERROR(__xludf.DUMMYFUNCTION("""COMPUTED_VALUE"""),0.0)</f>
        <v>0</v>
      </c>
      <c r="O111" s="96">
        <f>IFERROR(__xludf.DUMMYFUNCTION("""COMPUTED_VALUE"""),0.0)</f>
        <v>0</v>
      </c>
      <c r="P111" s="96">
        <f>IFERROR(__xludf.DUMMYFUNCTION("""COMPUTED_VALUE"""),0.0)</f>
        <v>0</v>
      </c>
      <c r="Q111" s="129">
        <f>IFERROR(__xludf.DUMMYFUNCTION("""COMPUTED_VALUE"""),0.0)</f>
        <v>0</v>
      </c>
      <c r="R111" s="99"/>
      <c r="S111" s="99">
        <f>IFERROR(__xludf.DUMMYFUNCTION("""COMPUTED_VALUE"""),1200000.0)</f>
        <v>1200000</v>
      </c>
    </row>
    <row r="112">
      <c r="A112" s="96">
        <f>IFERROR(__xludf.DUMMYFUNCTION("""COMPUTED_VALUE"""),7.0)</f>
        <v>7</v>
      </c>
      <c r="B112" s="98">
        <f>IFERROR(__xludf.DUMMYFUNCTION("""COMPUTED_VALUE"""),44034.0)</f>
        <v>44034</v>
      </c>
      <c r="C112" s="96" t="str">
        <f>IFERROR(__xludf.DUMMYFUNCTION("""COMPUTED_VALUE"""),"RECTOR W.")</f>
        <v>RECTOR W.</v>
      </c>
      <c r="D112" s="96" t="str">
        <f>IFERROR(__xludf.DUMMYFUNCTION("""COMPUTED_VALUE"""),"RECTOR W.7")</f>
        <v>RECTOR W.7</v>
      </c>
      <c r="E112" s="96"/>
      <c r="F112" s="96"/>
      <c r="G112" s="96"/>
      <c r="H112" s="96"/>
      <c r="I112" s="96"/>
      <c r="J112" s="96"/>
      <c r="K112" s="96">
        <f>IFERROR(__xludf.DUMMYFUNCTION("""COMPUTED_VALUE"""),358880.0)</f>
        <v>358880</v>
      </c>
      <c r="L112" s="99">
        <f>IFERROR(__xludf.DUMMYFUNCTION("""COMPUTED_VALUE"""),358880.0)</f>
        <v>358880</v>
      </c>
      <c r="M112" s="96"/>
      <c r="N112" s="96">
        <f>IFERROR(__xludf.DUMMYFUNCTION("""COMPUTED_VALUE"""),0.0)</f>
        <v>0</v>
      </c>
      <c r="O112" s="96">
        <f>IFERROR(__xludf.DUMMYFUNCTION("""COMPUTED_VALUE"""),0.0)</f>
        <v>0</v>
      </c>
      <c r="P112" s="96">
        <f>IFERROR(__xludf.DUMMYFUNCTION("""COMPUTED_VALUE"""),0.0)</f>
        <v>0</v>
      </c>
      <c r="Q112" s="129">
        <f>IFERROR(__xludf.DUMMYFUNCTION("""COMPUTED_VALUE"""),0.0)</f>
        <v>0</v>
      </c>
      <c r="R112" s="99"/>
      <c r="S112" s="99">
        <f>IFERROR(__xludf.DUMMYFUNCTION("""COMPUTED_VALUE"""),2500000.0)</f>
        <v>2500000</v>
      </c>
    </row>
    <row r="113">
      <c r="A113" s="96">
        <f>IFERROR(__xludf.DUMMYFUNCTION("""COMPUTED_VALUE"""),3.0)</f>
        <v>3</v>
      </c>
      <c r="B113" s="98">
        <f>IFERROR(__xludf.DUMMYFUNCTION("""COMPUTED_VALUE"""),44035.0)</f>
        <v>44035</v>
      </c>
      <c r="C113" s="96" t="str">
        <f>IFERROR(__xludf.DUMMYFUNCTION("""COMPUTED_VALUE"""),"OTU KOKO KEIBO")</f>
        <v>OTU KOKO KEIBO</v>
      </c>
      <c r="D113" s="96" t="str">
        <f>IFERROR(__xludf.DUMMYFUNCTION("""COMPUTED_VALUE"""),"OTU KOKO KEIBO3")</f>
        <v>OTU KOKO KEIBO3</v>
      </c>
      <c r="E113" s="96"/>
      <c r="F113" s="96"/>
      <c r="G113" s="96"/>
      <c r="H113" s="96"/>
      <c r="I113" s="96"/>
      <c r="J113" s="96"/>
      <c r="K113" s="96">
        <f>IFERROR(__xludf.DUMMYFUNCTION("""COMPUTED_VALUE"""),600000.0)</f>
        <v>600000</v>
      </c>
      <c r="L113" s="99">
        <f>IFERROR(__xludf.DUMMYFUNCTION("""COMPUTED_VALUE"""),600000.0)</f>
        <v>600000</v>
      </c>
      <c r="M113" s="96"/>
      <c r="N113" s="96">
        <f>IFERROR(__xludf.DUMMYFUNCTION("""COMPUTED_VALUE"""),0.0)</f>
        <v>0</v>
      </c>
      <c r="O113" s="96">
        <f>IFERROR(__xludf.DUMMYFUNCTION("""COMPUTED_VALUE"""),0.0)</f>
        <v>0</v>
      </c>
      <c r="P113" s="96">
        <f>IFERROR(__xludf.DUMMYFUNCTION("""COMPUTED_VALUE"""),0.0)</f>
        <v>0</v>
      </c>
      <c r="Q113" s="129">
        <f>IFERROR(__xludf.DUMMYFUNCTION("""COMPUTED_VALUE"""),0.0)</f>
        <v>0</v>
      </c>
      <c r="R113" s="99"/>
      <c r="S113" s="99">
        <f>IFERROR(__xludf.DUMMYFUNCTION("""COMPUTED_VALUE"""),2.5999925E7)</f>
        <v>25999925</v>
      </c>
    </row>
    <row r="114">
      <c r="A114" s="96">
        <f>IFERROR(__xludf.DUMMYFUNCTION("""COMPUTED_VALUE"""),1.0)</f>
        <v>1</v>
      </c>
      <c r="B114" s="98">
        <f>IFERROR(__xludf.DUMMYFUNCTION("""COMPUTED_VALUE"""),44035.0)</f>
        <v>44035</v>
      </c>
      <c r="C114" s="96" t="str">
        <f>IFERROR(__xludf.DUMMYFUNCTION("""COMPUTED_VALUE"""),"REIMON ALABA")</f>
        <v>REIMON ALABA</v>
      </c>
      <c r="D114" s="96" t="str">
        <f>IFERROR(__xludf.DUMMYFUNCTION("""COMPUTED_VALUE"""),"REIMON ALABA1")</f>
        <v>REIMON ALABA1</v>
      </c>
      <c r="E114" s="96"/>
      <c r="F114" s="96"/>
      <c r="G114" s="96"/>
      <c r="H114" s="96"/>
      <c r="I114" s="96"/>
      <c r="J114" s="96"/>
      <c r="K114" s="96">
        <f>IFERROR(__xludf.DUMMYFUNCTION("""COMPUTED_VALUE"""),150000.0)</f>
        <v>150000</v>
      </c>
      <c r="L114" s="99">
        <f>IFERROR(__xludf.DUMMYFUNCTION("""COMPUTED_VALUE"""),150000.0)</f>
        <v>150000</v>
      </c>
      <c r="M114" s="96"/>
      <c r="N114" s="96">
        <f>IFERROR(__xludf.DUMMYFUNCTION("""COMPUTED_VALUE"""),0.0)</f>
        <v>0</v>
      </c>
      <c r="O114" s="96">
        <f>IFERROR(__xludf.DUMMYFUNCTION("""COMPUTED_VALUE"""),0.0)</f>
        <v>0</v>
      </c>
      <c r="P114" s="96">
        <f>IFERROR(__xludf.DUMMYFUNCTION("""COMPUTED_VALUE"""),0.0)</f>
        <v>0</v>
      </c>
      <c r="Q114" s="129">
        <f>IFERROR(__xludf.DUMMYFUNCTION("""COMPUTED_VALUE"""),0.0)</f>
        <v>0</v>
      </c>
      <c r="R114" s="99"/>
      <c r="S114" s="99">
        <f>IFERROR(__xludf.DUMMYFUNCTION("""COMPUTED_VALUE"""),150000.0)</f>
        <v>150000</v>
      </c>
    </row>
    <row r="115">
      <c r="A115" s="96">
        <f>IFERROR(__xludf.DUMMYFUNCTION("""COMPUTED_VALUE"""),7.0)</f>
        <v>7</v>
      </c>
      <c r="B115" s="98">
        <f>IFERROR(__xludf.DUMMYFUNCTION("""COMPUTED_VALUE"""),44036.0)</f>
        <v>44036</v>
      </c>
      <c r="C115" s="96" t="str">
        <f>IFERROR(__xludf.DUMMYFUNCTION("""COMPUTED_VALUE"""),"LYDIA HNSON ")</f>
        <v>LYDIA HNSON </v>
      </c>
      <c r="D115" s="96" t="str">
        <f>IFERROR(__xludf.DUMMYFUNCTION("""COMPUTED_VALUE"""),"LYDIA HNSON 7")</f>
        <v>LYDIA HNSON 7</v>
      </c>
      <c r="E115" s="96"/>
      <c r="F115" s="96"/>
      <c r="G115" s="96"/>
      <c r="H115" s="96"/>
      <c r="I115" s="96"/>
      <c r="J115" s="96"/>
      <c r="K115" s="96">
        <f>IFERROR(__xludf.DUMMYFUNCTION("""COMPUTED_VALUE"""),500000.0)</f>
        <v>500000</v>
      </c>
      <c r="L115" s="99">
        <f>IFERROR(__xludf.DUMMYFUNCTION("""COMPUTED_VALUE"""),500000.0)</f>
        <v>500000</v>
      </c>
      <c r="M115" s="96"/>
      <c r="N115" s="96">
        <f>IFERROR(__xludf.DUMMYFUNCTION("""COMPUTED_VALUE"""),0.0)</f>
        <v>0</v>
      </c>
      <c r="O115" s="96">
        <f>IFERROR(__xludf.DUMMYFUNCTION("""COMPUTED_VALUE"""),0.0)</f>
        <v>0</v>
      </c>
      <c r="P115" s="96">
        <f>IFERROR(__xludf.DUMMYFUNCTION("""COMPUTED_VALUE"""),0.0)</f>
        <v>0</v>
      </c>
      <c r="Q115" s="129">
        <f>IFERROR(__xludf.DUMMYFUNCTION("""COMPUTED_VALUE"""),0.0)</f>
        <v>0</v>
      </c>
      <c r="R115" s="99"/>
      <c r="S115" s="99">
        <f>IFERROR(__xludf.DUMMYFUNCTION("""COMPUTED_VALUE"""),3379680.0)</f>
        <v>3379680</v>
      </c>
    </row>
    <row r="116">
      <c r="A116" s="96">
        <f>IFERROR(__xludf.DUMMYFUNCTION("""COMPUTED_VALUE"""),3.0)</f>
        <v>3</v>
      </c>
      <c r="B116" s="98">
        <f>IFERROR(__xludf.DUMMYFUNCTION("""COMPUTED_VALUE"""),44037.0)</f>
        <v>44037</v>
      </c>
      <c r="C116" s="96" t="str">
        <f>IFERROR(__xludf.DUMMYFUNCTION("""COMPUTED_VALUE"""),"ETUK EFFI")</f>
        <v>ETUK EFFI</v>
      </c>
      <c r="D116" s="96" t="str">
        <f>IFERROR(__xludf.DUMMYFUNCTION("""COMPUTED_VALUE"""),"ETUK EFFI3")</f>
        <v>ETUK EFFI3</v>
      </c>
      <c r="E116" s="96">
        <f>IFERROR(__xludf.DUMMYFUNCTION("""COMPUTED_VALUE"""),1372.0)</f>
        <v>1372</v>
      </c>
      <c r="F116" s="96">
        <f>IFERROR(__xludf.DUMMYFUNCTION("""COMPUTED_VALUE"""),182.5)</f>
        <v>182.5</v>
      </c>
      <c r="G116" s="96">
        <f>IFERROR(__xludf.DUMMYFUNCTION("""COMPUTED_VALUE"""),0.0)</f>
        <v>0</v>
      </c>
      <c r="H116" s="96">
        <f>IFERROR(__xludf.DUMMYFUNCTION("""COMPUTED_VALUE"""),21.0)</f>
        <v>21</v>
      </c>
      <c r="I116" s="96">
        <f>IFERROR(__xludf.DUMMYFUNCTION("""COMPUTED_VALUE"""),21.0)</f>
        <v>21</v>
      </c>
      <c r="J116" s="96">
        <f>IFERROR(__xludf.DUMMYFUNCTION("""COMPUTED_VALUE"""),780.0)</f>
        <v>780</v>
      </c>
      <c r="K116" s="96"/>
      <c r="L116" s="99">
        <f>IFERROR(__xludf.DUMMYFUNCTION("""COMPUTED_VALUE"""),-1063140.0)</f>
        <v>-1063140</v>
      </c>
      <c r="M116" s="96">
        <f>IFERROR(__xludf.DUMMYFUNCTION("""COMPUTED_VALUE"""),8.69)</f>
        <v>8.69</v>
      </c>
      <c r="N116" s="96">
        <f>IFERROR(__xludf.DUMMYFUNCTION("""COMPUTED_VALUE"""),9.0)</f>
        <v>9</v>
      </c>
      <c r="O116" s="96">
        <f>IFERROR(__xludf.DUMMYFUNCTION("""COMPUTED_VALUE"""),21.0)</f>
        <v>21</v>
      </c>
      <c r="P116" s="96">
        <f>IFERROR(__xludf.DUMMYFUNCTION("""COMPUTED_VALUE"""),40.0)</f>
        <v>40</v>
      </c>
      <c r="Q116" s="129">
        <f>IFERROR(__xludf.DUMMYFUNCTION("""COMPUTED_VALUE"""),1363.0)</f>
        <v>1363</v>
      </c>
      <c r="R116" s="99">
        <f>IFERROR(__xludf.DUMMYFUNCTION("""COMPUTED_VALUE"""),1063140.0)</f>
        <v>1063140</v>
      </c>
      <c r="S116" s="99">
        <f>IFERROR(__xludf.DUMMYFUNCTION("""COMPUTED_VALUE"""),136860.0)</f>
        <v>136860</v>
      </c>
    </row>
    <row r="117">
      <c r="A117" s="96">
        <f>IFERROR(__xludf.DUMMYFUNCTION("""COMPUTED_VALUE"""),1.0)</f>
        <v>1</v>
      </c>
      <c r="B117" s="98">
        <f>IFERROR(__xludf.DUMMYFUNCTION("""COMPUTED_VALUE"""),44039.0)</f>
        <v>44039</v>
      </c>
      <c r="C117" s="96" t="str">
        <f>IFERROR(__xludf.DUMMYFUNCTION("""COMPUTED_VALUE"""),"MATIAT LOVE")</f>
        <v>MATIAT LOVE</v>
      </c>
      <c r="D117" s="96" t="str">
        <f>IFERROR(__xludf.DUMMYFUNCTION("""COMPUTED_VALUE"""),"MATIAT LOVE1")</f>
        <v>MATIAT LOVE1</v>
      </c>
      <c r="E117" s="96"/>
      <c r="F117" s="96"/>
      <c r="G117" s="96"/>
      <c r="H117" s="96"/>
      <c r="I117" s="96"/>
      <c r="J117" s="96"/>
      <c r="K117" s="96">
        <f>IFERROR(__xludf.DUMMYFUNCTION("""COMPUTED_VALUE"""),50000.0)</f>
        <v>50000</v>
      </c>
      <c r="L117" s="99">
        <f>IFERROR(__xludf.DUMMYFUNCTION("""COMPUTED_VALUE"""),50000.0)</f>
        <v>50000</v>
      </c>
      <c r="M117" s="96"/>
      <c r="N117" s="96">
        <f>IFERROR(__xludf.DUMMYFUNCTION("""COMPUTED_VALUE"""),0.0)</f>
        <v>0</v>
      </c>
      <c r="O117" s="96">
        <f>IFERROR(__xludf.DUMMYFUNCTION("""COMPUTED_VALUE"""),0.0)</f>
        <v>0</v>
      </c>
      <c r="P117" s="96">
        <f>IFERROR(__xludf.DUMMYFUNCTION("""COMPUTED_VALUE"""),0.0)</f>
        <v>0</v>
      </c>
      <c r="Q117" s="129">
        <f>IFERROR(__xludf.DUMMYFUNCTION("""COMPUTED_VALUE"""),0.0)</f>
        <v>0</v>
      </c>
      <c r="R117" s="99"/>
      <c r="S117" s="99">
        <f>IFERROR(__xludf.DUMMYFUNCTION("""COMPUTED_VALUE"""),50000.0)</f>
        <v>50000</v>
      </c>
    </row>
    <row r="118">
      <c r="A118" s="96">
        <f>IFERROR(__xludf.DUMMYFUNCTION("""COMPUTED_VALUE"""),2.0)</f>
        <v>2</v>
      </c>
      <c r="B118" s="98">
        <f>IFERROR(__xludf.DUMMYFUNCTION("""COMPUTED_VALUE"""),44039.0)</f>
        <v>44039</v>
      </c>
      <c r="C118" s="96" t="str">
        <f>IFERROR(__xludf.DUMMYFUNCTION("""COMPUTED_VALUE"""),"CONFIDENCE")</f>
        <v>CONFIDENCE</v>
      </c>
      <c r="D118" s="96" t="str">
        <f>IFERROR(__xludf.DUMMYFUNCTION("""COMPUTED_VALUE"""),"CONFIDENCE2")</f>
        <v>CONFIDENCE2</v>
      </c>
      <c r="E118" s="96"/>
      <c r="F118" s="96"/>
      <c r="G118" s="96"/>
      <c r="H118" s="96"/>
      <c r="I118" s="96"/>
      <c r="J118" s="96"/>
      <c r="K118" s="96">
        <f>IFERROR(__xludf.DUMMYFUNCTION("""COMPUTED_VALUE"""),20000.0)</f>
        <v>20000</v>
      </c>
      <c r="L118" s="99">
        <f>IFERROR(__xludf.DUMMYFUNCTION("""COMPUTED_VALUE"""),20000.0)</f>
        <v>20000</v>
      </c>
      <c r="M118" s="96"/>
      <c r="N118" s="96">
        <f>IFERROR(__xludf.DUMMYFUNCTION("""COMPUTED_VALUE"""),0.0)</f>
        <v>0</v>
      </c>
      <c r="O118" s="96">
        <f>IFERROR(__xludf.DUMMYFUNCTION("""COMPUTED_VALUE"""),0.0)</f>
        <v>0</v>
      </c>
      <c r="P118" s="96">
        <f>IFERROR(__xludf.DUMMYFUNCTION("""COMPUTED_VALUE"""),0.0)</f>
        <v>0</v>
      </c>
      <c r="Q118" s="129">
        <f>IFERROR(__xludf.DUMMYFUNCTION("""COMPUTED_VALUE"""),0.0)</f>
        <v>0</v>
      </c>
      <c r="R118" s="99"/>
      <c r="S118" s="99">
        <f>IFERROR(__xludf.DUMMYFUNCTION("""COMPUTED_VALUE"""),320000.0)</f>
        <v>320000</v>
      </c>
    </row>
    <row r="119">
      <c r="A119" s="96">
        <f>IFERROR(__xludf.DUMMYFUNCTION("""COMPUTED_VALUE"""),1.0)</f>
        <v>1</v>
      </c>
      <c r="B119" s="98">
        <f>IFERROR(__xludf.DUMMYFUNCTION("""COMPUTED_VALUE"""),44039.0)</f>
        <v>44039</v>
      </c>
      <c r="C119" s="96" t="str">
        <f>IFERROR(__xludf.DUMMYFUNCTION("""COMPUTED_VALUE"""),"ABANG. EDET")</f>
        <v>ABANG. EDET</v>
      </c>
      <c r="D119" s="96" t="str">
        <f>IFERROR(__xludf.DUMMYFUNCTION("""COMPUTED_VALUE"""),"ABANG. EDET1")</f>
        <v>ABANG. EDET1</v>
      </c>
      <c r="E119" s="96"/>
      <c r="F119" s="96"/>
      <c r="G119" s="96"/>
      <c r="H119" s="96"/>
      <c r="I119" s="96"/>
      <c r="J119" s="96"/>
      <c r="K119" s="96">
        <f>IFERROR(__xludf.DUMMYFUNCTION("""COMPUTED_VALUE"""),1000.0)</f>
        <v>1000</v>
      </c>
      <c r="L119" s="99">
        <f>IFERROR(__xludf.DUMMYFUNCTION("""COMPUTED_VALUE"""),1000.0)</f>
        <v>1000</v>
      </c>
      <c r="M119" s="96"/>
      <c r="N119" s="96">
        <f>IFERROR(__xludf.DUMMYFUNCTION("""COMPUTED_VALUE"""),0.0)</f>
        <v>0</v>
      </c>
      <c r="O119" s="96">
        <f>IFERROR(__xludf.DUMMYFUNCTION("""COMPUTED_VALUE"""),0.0)</f>
        <v>0</v>
      </c>
      <c r="P119" s="96">
        <f>IFERROR(__xludf.DUMMYFUNCTION("""COMPUTED_VALUE"""),0.0)</f>
        <v>0</v>
      </c>
      <c r="Q119" s="129">
        <f>IFERROR(__xludf.DUMMYFUNCTION("""COMPUTED_VALUE"""),0.0)</f>
        <v>0</v>
      </c>
      <c r="R119" s="99"/>
      <c r="S119" s="99">
        <f>IFERROR(__xludf.DUMMYFUNCTION("""COMPUTED_VALUE"""),1000.0)</f>
        <v>1000</v>
      </c>
    </row>
    <row r="120">
      <c r="A120" s="96">
        <f>IFERROR(__xludf.DUMMYFUNCTION("""COMPUTED_VALUE"""),8.0)</f>
        <v>8</v>
      </c>
      <c r="B120" s="98">
        <f>IFERROR(__xludf.DUMMYFUNCTION("""COMPUTED_VALUE"""),44034.0)</f>
        <v>44034</v>
      </c>
      <c r="C120" s="96" t="str">
        <f>IFERROR(__xludf.DUMMYFUNCTION("""COMPUTED_VALUE"""),"LYDIA HNSON ")</f>
        <v>LYDIA HNSON </v>
      </c>
      <c r="D120" s="96" t="str">
        <f>IFERROR(__xludf.DUMMYFUNCTION("""COMPUTED_VALUE"""),"LYDIA HNSON 8")</f>
        <v>LYDIA HNSON 8</v>
      </c>
      <c r="E120" s="96">
        <f>IFERROR(__xludf.DUMMYFUNCTION("""COMPUTED_VALUE"""),795.0)</f>
        <v>795</v>
      </c>
      <c r="F120" s="96">
        <f>IFERROR(__xludf.DUMMYFUNCTION("""COMPUTED_VALUE"""),104.0)</f>
        <v>104</v>
      </c>
      <c r="G120" s="96"/>
      <c r="H120" s="96">
        <f>IFERROR(__xludf.DUMMYFUNCTION("""COMPUTED_VALUE"""),13.0)</f>
        <v>13</v>
      </c>
      <c r="I120" s="96"/>
      <c r="J120" s="96">
        <f>IFERROR(__xludf.DUMMYFUNCTION("""COMPUTED_VALUE"""),795.0)</f>
        <v>795</v>
      </c>
      <c r="K120" s="96"/>
      <c r="L120" s="99">
        <f>IFERROR(__xludf.DUMMYFUNCTION("""COMPUTED_VALUE"""),-621690.0)</f>
        <v>-621690</v>
      </c>
      <c r="M120" s="96">
        <f>IFERROR(__xludf.DUMMYFUNCTION("""COMPUTED_VALUE"""),8.0)</f>
        <v>8</v>
      </c>
      <c r="N120" s="96">
        <f>IFERROR(__xludf.DUMMYFUNCTION("""COMPUTED_VALUE"""),0.0)</f>
        <v>0</v>
      </c>
      <c r="O120" s="96">
        <f>IFERROR(__xludf.DUMMYFUNCTION("""COMPUTED_VALUE"""),12.0)</f>
        <v>12</v>
      </c>
      <c r="P120" s="96">
        <f>IFERROR(__xludf.DUMMYFUNCTION("""COMPUTED_VALUE"""),26.0)</f>
        <v>26</v>
      </c>
      <c r="Q120" s="129">
        <f>IFERROR(__xludf.DUMMYFUNCTION("""COMPUTED_VALUE"""),782.0)</f>
        <v>782</v>
      </c>
      <c r="R120" s="99">
        <f>IFERROR(__xludf.DUMMYFUNCTION("""COMPUTED_VALUE"""),621690.0)</f>
        <v>621690</v>
      </c>
      <c r="S120" s="99">
        <f>IFERROR(__xludf.DUMMYFUNCTION("""COMPUTED_VALUE"""),2757990.0)</f>
        <v>2757990</v>
      </c>
    </row>
    <row r="121">
      <c r="A121" s="96">
        <f>IFERROR(__xludf.DUMMYFUNCTION("""COMPUTED_VALUE"""),9.0)</f>
        <v>9</v>
      </c>
      <c r="B121" s="98">
        <f>IFERROR(__xludf.DUMMYFUNCTION("""COMPUTED_VALUE"""),44039.0)</f>
        <v>44039</v>
      </c>
      <c r="C121" s="96" t="str">
        <f>IFERROR(__xludf.DUMMYFUNCTION("""COMPUTED_VALUE"""),"LYDIA HNSON ")</f>
        <v>LYDIA HNSON </v>
      </c>
      <c r="D121" s="96" t="str">
        <f>IFERROR(__xludf.DUMMYFUNCTION("""COMPUTED_VALUE"""),"LYDIA HNSON 9")</f>
        <v>LYDIA HNSON 9</v>
      </c>
      <c r="E121" s="96">
        <f>IFERROR(__xludf.DUMMYFUNCTION("""COMPUTED_VALUE"""),982.0)</f>
        <v>982</v>
      </c>
      <c r="F121" s="96">
        <f>IFERROR(__xludf.DUMMYFUNCTION("""COMPUTED_VALUE"""),128.0)</f>
        <v>128</v>
      </c>
      <c r="G121" s="96"/>
      <c r="H121" s="96">
        <f>IFERROR(__xludf.DUMMYFUNCTION("""COMPUTED_VALUE"""),16.0)</f>
        <v>16</v>
      </c>
      <c r="I121" s="96"/>
      <c r="J121" s="96">
        <f>IFERROR(__xludf.DUMMYFUNCTION("""COMPUTED_VALUE"""),795.0)</f>
        <v>795</v>
      </c>
      <c r="K121" s="96"/>
      <c r="L121" s="99">
        <f>IFERROR(__xludf.DUMMYFUNCTION("""COMPUTED_VALUE"""),-767970.0)</f>
        <v>-767970</v>
      </c>
      <c r="M121" s="96">
        <f>IFERROR(__xludf.DUMMYFUNCTION("""COMPUTED_VALUE"""),8.0)</f>
        <v>8</v>
      </c>
      <c r="N121" s="96">
        <f>IFERROR(__xludf.DUMMYFUNCTION("""COMPUTED_VALUE"""),0.0)</f>
        <v>0</v>
      </c>
      <c r="O121" s="96">
        <f>IFERROR(__xludf.DUMMYFUNCTION("""COMPUTED_VALUE"""),15.0)</f>
        <v>15</v>
      </c>
      <c r="P121" s="96">
        <f>IFERROR(__xludf.DUMMYFUNCTION("""COMPUTED_VALUE"""),21.0)</f>
        <v>21</v>
      </c>
      <c r="Q121" s="129">
        <f>IFERROR(__xludf.DUMMYFUNCTION("""COMPUTED_VALUE"""),966.0)</f>
        <v>966</v>
      </c>
      <c r="R121" s="99">
        <f>IFERROR(__xludf.DUMMYFUNCTION("""COMPUTED_VALUE"""),767970.0)</f>
        <v>767970</v>
      </c>
      <c r="S121" s="99">
        <f>IFERROR(__xludf.DUMMYFUNCTION("""COMPUTED_VALUE"""),1990020.0)</f>
        <v>1990020</v>
      </c>
    </row>
    <row r="122">
      <c r="A122" s="96">
        <f>IFERROR(__xludf.DUMMYFUNCTION("""COMPUTED_VALUE"""),10.0)</f>
        <v>10</v>
      </c>
      <c r="B122" s="98">
        <f>IFERROR(__xludf.DUMMYFUNCTION("""COMPUTED_VALUE"""),44040.0)</f>
        <v>44040</v>
      </c>
      <c r="C122" s="96" t="str">
        <f>IFERROR(__xludf.DUMMYFUNCTION("""COMPUTED_VALUE"""),"LYDIA HNSON ")</f>
        <v>LYDIA HNSON </v>
      </c>
      <c r="D122" s="96" t="str">
        <f>IFERROR(__xludf.DUMMYFUNCTION("""COMPUTED_VALUE"""),"LYDIA HNSON 10")</f>
        <v>LYDIA HNSON 10</v>
      </c>
      <c r="E122" s="96">
        <f>IFERROR(__xludf.DUMMYFUNCTION("""COMPUTED_VALUE"""),272.0)</f>
        <v>272</v>
      </c>
      <c r="F122" s="96">
        <f>IFERROR(__xludf.DUMMYFUNCTION("""COMPUTED_VALUE"""),32.0)</f>
        <v>32</v>
      </c>
      <c r="G122" s="96"/>
      <c r="H122" s="96">
        <f>IFERROR(__xludf.DUMMYFUNCTION("""COMPUTED_VALUE"""),4.0)</f>
        <v>4</v>
      </c>
      <c r="I122" s="96"/>
      <c r="J122" s="96">
        <f>IFERROR(__xludf.DUMMYFUNCTION("""COMPUTED_VALUE"""),795.0)</f>
        <v>795</v>
      </c>
      <c r="K122" s="96"/>
      <c r="L122" s="99">
        <f>IFERROR(__xludf.DUMMYFUNCTION("""COMPUTED_VALUE"""),-213060.0)</f>
        <v>-213060</v>
      </c>
      <c r="M122" s="96">
        <f>IFERROR(__xludf.DUMMYFUNCTION("""COMPUTED_VALUE"""),8.0)</f>
        <v>8</v>
      </c>
      <c r="N122" s="96">
        <f>IFERROR(__xludf.DUMMYFUNCTION("""COMPUTED_VALUE"""),0.0)</f>
        <v>0</v>
      </c>
      <c r="O122" s="96">
        <f>IFERROR(__xludf.DUMMYFUNCTION("""COMPUTED_VALUE"""),4.0)</f>
        <v>4</v>
      </c>
      <c r="P122" s="96">
        <f>IFERROR(__xludf.DUMMYFUNCTION("""COMPUTED_VALUE"""),16.0)</f>
        <v>16</v>
      </c>
      <c r="Q122" s="129">
        <f>IFERROR(__xludf.DUMMYFUNCTION("""COMPUTED_VALUE"""),268.0)</f>
        <v>268</v>
      </c>
      <c r="R122" s="99">
        <f>IFERROR(__xludf.DUMMYFUNCTION("""COMPUTED_VALUE"""),213060.0)</f>
        <v>213060</v>
      </c>
      <c r="S122" s="99">
        <f>IFERROR(__xludf.DUMMYFUNCTION("""COMPUTED_VALUE"""),1776960.0)</f>
        <v>1776960</v>
      </c>
    </row>
    <row r="123">
      <c r="A123" s="96">
        <f>IFERROR(__xludf.DUMMYFUNCTION("""COMPUTED_VALUE"""),3.0)</f>
        <v>3</v>
      </c>
      <c r="B123" s="98">
        <f>IFERROR(__xludf.DUMMYFUNCTION("""COMPUTED_VALUE"""),44041.0)</f>
        <v>44041</v>
      </c>
      <c r="C123" s="96" t="str">
        <f>IFERROR(__xludf.DUMMYFUNCTION("""COMPUTED_VALUE"""),"EDWARD OKO")</f>
        <v>EDWARD OKO</v>
      </c>
      <c r="D123" s="96" t="str">
        <f>IFERROR(__xludf.DUMMYFUNCTION("""COMPUTED_VALUE"""),"EDWARD OKO3")</f>
        <v>EDWARD OKO3</v>
      </c>
      <c r="E123" s="96">
        <f>IFERROR(__xludf.DUMMYFUNCTION("""COMPUTED_VALUE"""),985.0)</f>
        <v>985</v>
      </c>
      <c r="F123" s="96">
        <f>IFERROR(__xludf.DUMMYFUNCTION("""COMPUTED_VALUE"""),122.5)</f>
        <v>122.5</v>
      </c>
      <c r="G123" s="96"/>
      <c r="H123" s="96">
        <f>IFERROR(__xludf.DUMMYFUNCTION("""COMPUTED_VALUE"""),15.0)</f>
        <v>15</v>
      </c>
      <c r="I123" s="96"/>
      <c r="J123" s="96">
        <f>IFERROR(__xludf.DUMMYFUNCTION("""COMPUTED_VALUE"""),795.87)</f>
        <v>795.87</v>
      </c>
      <c r="K123" s="96"/>
      <c r="L123" s="99">
        <f>IFERROR(__xludf.DUMMYFUNCTION("""COMPUTED_VALUE"""),-770400.0)</f>
        <v>-770400</v>
      </c>
      <c r="M123" s="96">
        <f>IFERROR(__xludf.DUMMYFUNCTION("""COMPUTED_VALUE"""),8.17)</f>
        <v>8.17</v>
      </c>
      <c r="N123" s="96">
        <f>IFERROR(__xludf.DUMMYFUNCTION("""COMPUTED_VALUE"""),2.0)</f>
        <v>2</v>
      </c>
      <c r="O123" s="96">
        <f>IFERROR(__xludf.DUMMYFUNCTION("""COMPUTED_VALUE"""),15.0)</f>
        <v>15</v>
      </c>
      <c r="P123" s="96">
        <f>IFERROR(__xludf.DUMMYFUNCTION("""COMPUTED_VALUE"""),23.0)</f>
        <v>23</v>
      </c>
      <c r="Q123" s="129">
        <f>IFERROR(__xludf.DUMMYFUNCTION("""COMPUTED_VALUE"""),968.0)</f>
        <v>968</v>
      </c>
      <c r="R123" s="99">
        <f>IFERROR(__xludf.DUMMYFUNCTION("""COMPUTED_VALUE"""),770400.0)</f>
        <v>770400</v>
      </c>
      <c r="S123" s="99">
        <f>IFERROR(__xludf.DUMMYFUNCTION("""COMPUTED_VALUE"""),750600.0)</f>
        <v>750600</v>
      </c>
    </row>
    <row r="124">
      <c r="A124" s="96">
        <f>IFERROR(__xludf.DUMMYFUNCTION("""COMPUTED_VALUE"""),2.0)</f>
        <v>2</v>
      </c>
      <c r="B124" s="98">
        <f>IFERROR(__xludf.DUMMYFUNCTION("""COMPUTED_VALUE"""),44030.0)</f>
        <v>44030</v>
      </c>
      <c r="C124" s="96" t="str">
        <f>IFERROR(__xludf.DUMMYFUNCTION("""COMPUTED_VALUE"""),"EDDY OKO")</f>
        <v>EDDY OKO</v>
      </c>
      <c r="D124" s="96" t="str">
        <f>IFERROR(__xludf.DUMMYFUNCTION("""COMPUTED_VALUE"""),"EDDY OKO2")</f>
        <v>EDDY OKO2</v>
      </c>
      <c r="E124" s="96"/>
      <c r="F124" s="96"/>
      <c r="G124" s="96"/>
      <c r="H124" s="96"/>
      <c r="I124" s="96"/>
      <c r="J124" s="96"/>
      <c r="K124" s="96">
        <f>IFERROR(__xludf.DUMMYFUNCTION("""COMPUTED_VALUE"""),-200000.0)</f>
        <v>-200000</v>
      </c>
      <c r="L124" s="99">
        <f>IFERROR(__xludf.DUMMYFUNCTION("""COMPUTED_VALUE"""),-200000.0)</f>
        <v>-200000</v>
      </c>
      <c r="M124" s="96"/>
      <c r="N124" s="96">
        <f>IFERROR(__xludf.DUMMYFUNCTION("""COMPUTED_VALUE"""),0.0)</f>
        <v>0</v>
      </c>
      <c r="O124" s="96">
        <f>IFERROR(__xludf.DUMMYFUNCTION("""COMPUTED_VALUE"""),0.0)</f>
        <v>0</v>
      </c>
      <c r="P124" s="96">
        <f>IFERROR(__xludf.DUMMYFUNCTION("""COMPUTED_VALUE"""),0.0)</f>
        <v>0</v>
      </c>
      <c r="Q124" s="129">
        <f>IFERROR(__xludf.DUMMYFUNCTION("""COMPUTED_VALUE"""),0.0)</f>
        <v>0</v>
      </c>
      <c r="R124" s="99"/>
      <c r="S124" s="99">
        <f>IFERROR(__xludf.DUMMYFUNCTION("""COMPUTED_VALUE"""),0.0)</f>
        <v>0</v>
      </c>
    </row>
    <row r="125">
      <c r="A125" s="96">
        <f>IFERROR(__xludf.DUMMYFUNCTION("""COMPUTED_VALUE"""),4.0)</f>
        <v>4</v>
      </c>
      <c r="B125" s="98">
        <f>IFERROR(__xludf.DUMMYFUNCTION("""COMPUTED_VALUE"""),44030.0)</f>
        <v>44030</v>
      </c>
      <c r="C125" s="96" t="str">
        <f>IFERROR(__xludf.DUMMYFUNCTION("""COMPUTED_VALUE"""),"EDWARD OKO")</f>
        <v>EDWARD OKO</v>
      </c>
      <c r="D125" s="96" t="str">
        <f>IFERROR(__xludf.DUMMYFUNCTION("""COMPUTED_VALUE"""),"EDWARD OKO4")</f>
        <v>EDWARD OKO4</v>
      </c>
      <c r="E125" s="96"/>
      <c r="F125" s="96"/>
      <c r="G125" s="96"/>
      <c r="H125" s="96"/>
      <c r="I125" s="96"/>
      <c r="J125" s="96"/>
      <c r="K125" s="96">
        <f>IFERROR(__xludf.DUMMYFUNCTION("""COMPUTED_VALUE"""),200000.0)</f>
        <v>200000</v>
      </c>
      <c r="L125" s="99">
        <f>IFERROR(__xludf.DUMMYFUNCTION("""COMPUTED_VALUE"""),200000.0)</f>
        <v>200000</v>
      </c>
      <c r="M125" s="96"/>
      <c r="N125" s="96">
        <f>IFERROR(__xludf.DUMMYFUNCTION("""COMPUTED_VALUE"""),0.0)</f>
        <v>0</v>
      </c>
      <c r="O125" s="96">
        <f>IFERROR(__xludf.DUMMYFUNCTION("""COMPUTED_VALUE"""),0.0)</f>
        <v>0</v>
      </c>
      <c r="P125" s="96">
        <f>IFERROR(__xludf.DUMMYFUNCTION("""COMPUTED_VALUE"""),0.0)</f>
        <v>0</v>
      </c>
      <c r="Q125" s="129">
        <f>IFERROR(__xludf.DUMMYFUNCTION("""COMPUTED_VALUE"""),0.0)</f>
        <v>0</v>
      </c>
      <c r="R125" s="99"/>
      <c r="S125" s="99">
        <f>IFERROR(__xludf.DUMMYFUNCTION("""COMPUTED_VALUE"""),950600.0)</f>
        <v>950600</v>
      </c>
    </row>
    <row r="126">
      <c r="A126" s="96">
        <f>IFERROR(__xludf.DUMMYFUNCTION("""COMPUTED_VALUE"""),4.0)</f>
        <v>4</v>
      </c>
      <c r="B126" s="98">
        <f>IFERROR(__xludf.DUMMYFUNCTION("""COMPUTED_VALUE"""),44040.0)</f>
        <v>44040</v>
      </c>
      <c r="C126" s="96" t="str">
        <f>IFERROR(__xludf.DUMMYFUNCTION("""COMPUTED_VALUE"""),"ETUK EFFI")</f>
        <v>ETUK EFFI</v>
      </c>
      <c r="D126" s="96" t="str">
        <f>IFERROR(__xludf.DUMMYFUNCTION("""COMPUTED_VALUE"""),"ETUK EFFI4")</f>
        <v>ETUK EFFI4</v>
      </c>
      <c r="E126" s="96"/>
      <c r="F126" s="96"/>
      <c r="G126" s="96"/>
      <c r="H126" s="96"/>
      <c r="I126" s="96"/>
      <c r="J126" s="96"/>
      <c r="K126" s="96">
        <f>IFERROR(__xludf.DUMMYFUNCTION("""COMPUTED_VALUE"""),1000000.0)</f>
        <v>1000000</v>
      </c>
      <c r="L126" s="99">
        <f>IFERROR(__xludf.DUMMYFUNCTION("""COMPUTED_VALUE"""),1000000.0)</f>
        <v>1000000</v>
      </c>
      <c r="M126" s="96"/>
      <c r="N126" s="96">
        <f>IFERROR(__xludf.DUMMYFUNCTION("""COMPUTED_VALUE"""),0.0)</f>
        <v>0</v>
      </c>
      <c r="O126" s="96">
        <f>IFERROR(__xludf.DUMMYFUNCTION("""COMPUTED_VALUE"""),0.0)</f>
        <v>0</v>
      </c>
      <c r="P126" s="96">
        <f>IFERROR(__xludf.DUMMYFUNCTION("""COMPUTED_VALUE"""),0.0)</f>
        <v>0</v>
      </c>
      <c r="Q126" s="129">
        <f>IFERROR(__xludf.DUMMYFUNCTION("""COMPUTED_VALUE"""),0.0)</f>
        <v>0</v>
      </c>
      <c r="R126" s="99"/>
      <c r="S126" s="99">
        <f>IFERROR(__xludf.DUMMYFUNCTION("""COMPUTED_VALUE"""),1136860.0)</f>
        <v>1136860</v>
      </c>
    </row>
    <row r="127">
      <c r="A127" s="96">
        <f>IFERROR(__xludf.DUMMYFUNCTION("""COMPUTED_VALUE"""),8.0)</f>
        <v>8</v>
      </c>
      <c r="B127" s="98">
        <f>IFERROR(__xludf.DUMMYFUNCTION("""COMPUTED_VALUE"""),44040.0)</f>
        <v>44040</v>
      </c>
      <c r="C127" s="96" t="str">
        <f>IFERROR(__xludf.DUMMYFUNCTION("""COMPUTED_VALUE"""),"LIVINUS")</f>
        <v>LIVINUS</v>
      </c>
      <c r="D127" s="96" t="str">
        <f>IFERROR(__xludf.DUMMYFUNCTION("""COMPUTED_VALUE"""),"LIVINUS8")</f>
        <v>LIVINUS8</v>
      </c>
      <c r="E127" s="96"/>
      <c r="F127" s="96"/>
      <c r="G127" s="96"/>
      <c r="H127" s="96"/>
      <c r="I127" s="96"/>
      <c r="J127" s="96"/>
      <c r="K127" s="96">
        <f>IFERROR(__xludf.DUMMYFUNCTION("""COMPUTED_VALUE"""),1440000.0)</f>
        <v>1440000</v>
      </c>
      <c r="L127" s="99">
        <f>IFERROR(__xludf.DUMMYFUNCTION("""COMPUTED_VALUE"""),1440000.0)</f>
        <v>1440000</v>
      </c>
      <c r="M127" s="96"/>
      <c r="N127" s="96">
        <f>IFERROR(__xludf.DUMMYFUNCTION("""COMPUTED_VALUE"""),0.0)</f>
        <v>0</v>
      </c>
      <c r="O127" s="96">
        <f>IFERROR(__xludf.DUMMYFUNCTION("""COMPUTED_VALUE"""),0.0)</f>
        <v>0</v>
      </c>
      <c r="P127" s="96">
        <f>IFERROR(__xludf.DUMMYFUNCTION("""COMPUTED_VALUE"""),0.0)</f>
        <v>0</v>
      </c>
      <c r="Q127" s="129">
        <f>IFERROR(__xludf.DUMMYFUNCTION("""COMPUTED_VALUE"""),0.0)</f>
        <v>0</v>
      </c>
      <c r="R127" s="99"/>
      <c r="S127" s="99">
        <f>IFERROR(__xludf.DUMMYFUNCTION("""COMPUTED_VALUE"""),3120000.0)</f>
        <v>3120000</v>
      </c>
    </row>
    <row r="128">
      <c r="A128" s="96">
        <f>IFERROR(__xludf.DUMMYFUNCTION("""COMPUTED_VALUE"""),11.0)</f>
        <v>11</v>
      </c>
      <c r="B128" s="98">
        <f>IFERROR(__xludf.DUMMYFUNCTION("""COMPUTED_VALUE"""),44040.0)</f>
        <v>44040</v>
      </c>
      <c r="C128" s="96" t="str">
        <f>IFERROR(__xludf.DUMMYFUNCTION("""COMPUTED_VALUE"""),"LYDIA HNSON ")</f>
        <v>LYDIA HNSON </v>
      </c>
      <c r="D128" s="96" t="str">
        <f>IFERROR(__xludf.DUMMYFUNCTION("""COMPUTED_VALUE"""),"LYDIA HNSON 11")</f>
        <v>LYDIA HNSON 11</v>
      </c>
      <c r="E128" s="96"/>
      <c r="F128" s="96"/>
      <c r="G128" s="96"/>
      <c r="H128" s="96"/>
      <c r="I128" s="96"/>
      <c r="J128" s="96"/>
      <c r="K128" s="96">
        <f>IFERROR(__xludf.DUMMYFUNCTION("""COMPUTED_VALUE"""),1000000.0)</f>
        <v>1000000</v>
      </c>
      <c r="L128" s="99">
        <f>IFERROR(__xludf.DUMMYFUNCTION("""COMPUTED_VALUE"""),1000000.0)</f>
        <v>1000000</v>
      </c>
      <c r="M128" s="96"/>
      <c r="N128" s="96">
        <f>IFERROR(__xludf.DUMMYFUNCTION("""COMPUTED_VALUE"""),0.0)</f>
        <v>0</v>
      </c>
      <c r="O128" s="96">
        <f>IFERROR(__xludf.DUMMYFUNCTION("""COMPUTED_VALUE"""),0.0)</f>
        <v>0</v>
      </c>
      <c r="P128" s="96">
        <f>IFERROR(__xludf.DUMMYFUNCTION("""COMPUTED_VALUE"""),0.0)</f>
        <v>0</v>
      </c>
      <c r="Q128" s="129">
        <f>IFERROR(__xludf.DUMMYFUNCTION("""COMPUTED_VALUE"""),0.0)</f>
        <v>0</v>
      </c>
      <c r="R128" s="99"/>
      <c r="S128" s="99">
        <f>IFERROR(__xludf.DUMMYFUNCTION("""COMPUTED_VALUE"""),2776960.0)</f>
        <v>2776960</v>
      </c>
    </row>
    <row r="129">
      <c r="A129" s="96">
        <f>IFERROR(__xludf.DUMMYFUNCTION("""COMPUTED_VALUE"""),1.0)</f>
        <v>1</v>
      </c>
      <c r="B129" s="98">
        <f>IFERROR(__xludf.DUMMYFUNCTION("""COMPUTED_VALUE"""),44040.0)</f>
        <v>44040</v>
      </c>
      <c r="C129" s="96" t="str">
        <f>IFERROR(__xludf.DUMMYFUNCTION("""COMPUTED_VALUE"""),"OBI BESONG")</f>
        <v>OBI BESONG</v>
      </c>
      <c r="D129" s="96" t="str">
        <f>IFERROR(__xludf.DUMMYFUNCTION("""COMPUTED_VALUE"""),"OBI BESONG1")</f>
        <v>OBI BESONG1</v>
      </c>
      <c r="E129" s="96"/>
      <c r="F129" s="96"/>
      <c r="G129" s="96"/>
      <c r="H129" s="96"/>
      <c r="I129" s="96"/>
      <c r="J129" s="96"/>
      <c r="K129" s="96">
        <f>IFERROR(__xludf.DUMMYFUNCTION("""COMPUTED_VALUE"""),500000.0)</f>
        <v>500000</v>
      </c>
      <c r="L129" s="99">
        <f>IFERROR(__xludf.DUMMYFUNCTION("""COMPUTED_VALUE"""),500000.0)</f>
        <v>500000</v>
      </c>
      <c r="M129" s="96"/>
      <c r="N129" s="96">
        <f>IFERROR(__xludf.DUMMYFUNCTION("""COMPUTED_VALUE"""),0.0)</f>
        <v>0</v>
      </c>
      <c r="O129" s="96">
        <f>IFERROR(__xludf.DUMMYFUNCTION("""COMPUTED_VALUE"""),0.0)</f>
        <v>0</v>
      </c>
      <c r="P129" s="96">
        <f>IFERROR(__xludf.DUMMYFUNCTION("""COMPUTED_VALUE"""),0.0)</f>
        <v>0</v>
      </c>
      <c r="Q129" s="129">
        <f>IFERROR(__xludf.DUMMYFUNCTION("""COMPUTED_VALUE"""),0.0)</f>
        <v>0</v>
      </c>
      <c r="R129" s="99"/>
      <c r="S129" s="99">
        <f>IFERROR(__xludf.DUMMYFUNCTION("""COMPUTED_VALUE"""),500000.0)</f>
        <v>500000</v>
      </c>
    </row>
    <row r="130">
      <c r="A130" s="96">
        <f>IFERROR(__xludf.DUMMYFUNCTION("""COMPUTED_VALUE"""),3.0)</f>
        <v>3</v>
      </c>
      <c r="B130" s="98">
        <f>IFERROR(__xludf.DUMMYFUNCTION("""COMPUTED_VALUE"""),44040.0)</f>
        <v>44040</v>
      </c>
      <c r="C130" s="96" t="str">
        <f>IFERROR(__xludf.DUMMYFUNCTION("""COMPUTED_VALUE"""),"KARIEN EBAN")</f>
        <v>KARIEN EBAN</v>
      </c>
      <c r="D130" s="96" t="str">
        <f>IFERROR(__xludf.DUMMYFUNCTION("""COMPUTED_VALUE"""),"KARIEN EBAN3")</f>
        <v>KARIEN EBAN3</v>
      </c>
      <c r="E130" s="96"/>
      <c r="F130" s="96"/>
      <c r="G130" s="96"/>
      <c r="H130" s="96"/>
      <c r="I130" s="96"/>
      <c r="J130" s="96"/>
      <c r="K130" s="96">
        <f>IFERROR(__xludf.DUMMYFUNCTION("""COMPUTED_VALUE"""),500000.0)</f>
        <v>500000</v>
      </c>
      <c r="L130" s="99">
        <f>IFERROR(__xludf.DUMMYFUNCTION("""COMPUTED_VALUE"""),500000.0)</f>
        <v>500000</v>
      </c>
      <c r="M130" s="96"/>
      <c r="N130" s="96">
        <f>IFERROR(__xludf.DUMMYFUNCTION("""COMPUTED_VALUE"""),0.0)</f>
        <v>0</v>
      </c>
      <c r="O130" s="96">
        <f>IFERROR(__xludf.DUMMYFUNCTION("""COMPUTED_VALUE"""),0.0)</f>
        <v>0</v>
      </c>
      <c r="P130" s="96">
        <f>IFERROR(__xludf.DUMMYFUNCTION("""COMPUTED_VALUE"""),0.0)</f>
        <v>0</v>
      </c>
      <c r="Q130" s="129">
        <f>IFERROR(__xludf.DUMMYFUNCTION("""COMPUTED_VALUE"""),0.0)</f>
        <v>0</v>
      </c>
      <c r="R130" s="99"/>
      <c r="S130" s="99">
        <f>IFERROR(__xludf.DUMMYFUNCTION("""COMPUTED_VALUE"""),2100000.0)</f>
        <v>2100000</v>
      </c>
    </row>
    <row r="131">
      <c r="A131" s="96">
        <f>IFERROR(__xludf.DUMMYFUNCTION("""COMPUTED_VALUE"""),9.0)</f>
        <v>9</v>
      </c>
      <c r="B131" s="98">
        <f>IFERROR(__xludf.DUMMYFUNCTION("""COMPUTED_VALUE"""),44040.0)</f>
        <v>44040</v>
      </c>
      <c r="C131" s="96" t="str">
        <f>IFERROR(__xludf.DUMMYFUNCTION("""COMPUTED_VALUE"""),"LIVINUS")</f>
        <v>LIVINUS</v>
      </c>
      <c r="D131" s="96" t="str">
        <f>IFERROR(__xludf.DUMMYFUNCTION("""COMPUTED_VALUE"""),"LIVINUS9")</f>
        <v>LIVINUS9</v>
      </c>
      <c r="E131" s="96"/>
      <c r="F131" s="96"/>
      <c r="G131" s="96"/>
      <c r="H131" s="96"/>
      <c r="I131" s="96"/>
      <c r="J131" s="96"/>
      <c r="K131" s="96">
        <f>IFERROR(__xludf.DUMMYFUNCTION("""COMPUTED_VALUE"""),75000.0)</f>
        <v>75000</v>
      </c>
      <c r="L131" s="99">
        <f>IFERROR(__xludf.DUMMYFUNCTION("""COMPUTED_VALUE"""),75000.0)</f>
        <v>75000</v>
      </c>
      <c r="M131" s="96"/>
      <c r="N131" s="96">
        <f>IFERROR(__xludf.DUMMYFUNCTION("""COMPUTED_VALUE"""),0.0)</f>
        <v>0</v>
      </c>
      <c r="O131" s="96">
        <f>IFERROR(__xludf.DUMMYFUNCTION("""COMPUTED_VALUE"""),0.0)</f>
        <v>0</v>
      </c>
      <c r="P131" s="96">
        <f>IFERROR(__xludf.DUMMYFUNCTION("""COMPUTED_VALUE"""),0.0)</f>
        <v>0</v>
      </c>
      <c r="Q131" s="129">
        <f>IFERROR(__xludf.DUMMYFUNCTION("""COMPUTED_VALUE"""),0.0)</f>
        <v>0</v>
      </c>
      <c r="R131" s="99"/>
      <c r="S131" s="99">
        <f>IFERROR(__xludf.DUMMYFUNCTION("""COMPUTED_VALUE"""),3195000.0)</f>
        <v>3195000</v>
      </c>
    </row>
    <row r="132">
      <c r="A132" s="96">
        <f>IFERROR(__xludf.DUMMYFUNCTION("""COMPUTED_VALUE"""),5.0)</f>
        <v>5</v>
      </c>
      <c r="B132" s="98">
        <f>IFERROR(__xludf.DUMMYFUNCTION("""COMPUTED_VALUE"""),44041.0)</f>
        <v>44041</v>
      </c>
      <c r="C132" s="96" t="str">
        <f>IFERROR(__xludf.DUMMYFUNCTION("""COMPUTED_VALUE"""),"EDWARD OKO")</f>
        <v>EDWARD OKO</v>
      </c>
      <c r="D132" s="96" t="str">
        <f>IFERROR(__xludf.DUMMYFUNCTION("""COMPUTED_VALUE"""),"EDWARD OKO5")</f>
        <v>EDWARD OKO5</v>
      </c>
      <c r="E132" s="96"/>
      <c r="F132" s="96"/>
      <c r="G132" s="96"/>
      <c r="H132" s="96"/>
      <c r="I132" s="96"/>
      <c r="J132" s="96"/>
      <c r="K132" s="96">
        <f>IFERROR(__xludf.DUMMYFUNCTION("""COMPUTED_VALUE"""),700000.0)</f>
        <v>700000</v>
      </c>
      <c r="L132" s="99">
        <f>IFERROR(__xludf.DUMMYFUNCTION("""COMPUTED_VALUE"""),700000.0)</f>
        <v>700000</v>
      </c>
      <c r="M132" s="96"/>
      <c r="N132" s="96">
        <f>IFERROR(__xludf.DUMMYFUNCTION("""COMPUTED_VALUE"""),0.0)</f>
        <v>0</v>
      </c>
      <c r="O132" s="96">
        <f>IFERROR(__xludf.DUMMYFUNCTION("""COMPUTED_VALUE"""),0.0)</f>
        <v>0</v>
      </c>
      <c r="P132" s="96">
        <f>IFERROR(__xludf.DUMMYFUNCTION("""COMPUTED_VALUE"""),0.0)</f>
        <v>0</v>
      </c>
      <c r="Q132" s="129">
        <f>IFERROR(__xludf.DUMMYFUNCTION("""COMPUTED_VALUE"""),0.0)</f>
        <v>0</v>
      </c>
      <c r="R132" s="99"/>
      <c r="S132" s="99">
        <f>IFERROR(__xludf.DUMMYFUNCTION("""COMPUTED_VALUE"""),1650600.0)</f>
        <v>1650600</v>
      </c>
    </row>
    <row r="133">
      <c r="A133" s="96">
        <f>IFERROR(__xludf.DUMMYFUNCTION("""COMPUTED_VALUE"""),1.0)</f>
        <v>1</v>
      </c>
      <c r="B133" s="98">
        <f>IFERROR(__xludf.DUMMYFUNCTION("""COMPUTED_VALUE"""),44041.0)</f>
        <v>44041</v>
      </c>
      <c r="C133" s="96" t="str">
        <f>IFERROR(__xludf.DUMMYFUNCTION("""COMPUTED_VALUE"""),"CHINWE CHIDI")</f>
        <v>CHINWE CHIDI</v>
      </c>
      <c r="D133" s="96" t="str">
        <f>IFERROR(__xludf.DUMMYFUNCTION("""COMPUTED_VALUE"""),"CHINWE CHIDI1")</f>
        <v>CHINWE CHIDI1</v>
      </c>
      <c r="E133" s="96"/>
      <c r="F133" s="96"/>
      <c r="G133" s="96"/>
      <c r="H133" s="96"/>
      <c r="I133" s="96"/>
      <c r="J133" s="96"/>
      <c r="K133" s="96">
        <f>IFERROR(__xludf.DUMMYFUNCTION("""COMPUTED_VALUE"""),100000.0)</f>
        <v>100000</v>
      </c>
      <c r="L133" s="99">
        <f>IFERROR(__xludf.DUMMYFUNCTION("""COMPUTED_VALUE"""),100000.0)</f>
        <v>100000</v>
      </c>
      <c r="M133" s="96"/>
      <c r="N133" s="96">
        <f>IFERROR(__xludf.DUMMYFUNCTION("""COMPUTED_VALUE"""),0.0)</f>
        <v>0</v>
      </c>
      <c r="O133" s="96">
        <f>IFERROR(__xludf.DUMMYFUNCTION("""COMPUTED_VALUE"""),0.0)</f>
        <v>0</v>
      </c>
      <c r="P133" s="96">
        <f>IFERROR(__xludf.DUMMYFUNCTION("""COMPUTED_VALUE"""),0.0)</f>
        <v>0</v>
      </c>
      <c r="Q133" s="129">
        <f>IFERROR(__xludf.DUMMYFUNCTION("""COMPUTED_VALUE"""),0.0)</f>
        <v>0</v>
      </c>
      <c r="R133" s="99"/>
      <c r="S133" s="99">
        <f>IFERROR(__xludf.DUMMYFUNCTION("""COMPUTED_VALUE"""),100000.0)</f>
        <v>100000</v>
      </c>
    </row>
    <row r="134">
      <c r="A134" s="96">
        <f>IFERROR(__xludf.DUMMYFUNCTION("""COMPUTED_VALUE"""),4.0)</f>
        <v>4</v>
      </c>
      <c r="B134" s="98">
        <f>IFERROR(__xludf.DUMMYFUNCTION("""COMPUTED_VALUE"""),44041.0)</f>
        <v>44041</v>
      </c>
      <c r="C134" s="96" t="str">
        <f>IFERROR(__xludf.DUMMYFUNCTION("""COMPUTED_VALUE"""),"JAMES AKAN")</f>
        <v>JAMES AKAN</v>
      </c>
      <c r="D134" s="96" t="str">
        <f>IFERROR(__xludf.DUMMYFUNCTION("""COMPUTED_VALUE"""),"JAMES AKAN4")</f>
        <v>JAMES AKAN4</v>
      </c>
      <c r="E134" s="96"/>
      <c r="F134" s="96"/>
      <c r="G134" s="96"/>
      <c r="H134" s="96"/>
      <c r="I134" s="96"/>
      <c r="J134" s="96"/>
      <c r="K134" s="96">
        <f>IFERROR(__xludf.DUMMYFUNCTION("""COMPUTED_VALUE"""),359600.0)</f>
        <v>359600</v>
      </c>
      <c r="L134" s="99">
        <f>IFERROR(__xludf.DUMMYFUNCTION("""COMPUTED_VALUE"""),359600.0)</f>
        <v>359600</v>
      </c>
      <c r="M134" s="96"/>
      <c r="N134" s="96">
        <f>IFERROR(__xludf.DUMMYFUNCTION("""COMPUTED_VALUE"""),0.0)</f>
        <v>0</v>
      </c>
      <c r="O134" s="96">
        <f>IFERROR(__xludf.DUMMYFUNCTION("""COMPUTED_VALUE"""),0.0)</f>
        <v>0</v>
      </c>
      <c r="P134" s="96">
        <f>IFERROR(__xludf.DUMMYFUNCTION("""COMPUTED_VALUE"""),0.0)</f>
        <v>0</v>
      </c>
      <c r="Q134" s="129">
        <f>IFERROR(__xludf.DUMMYFUNCTION("""COMPUTED_VALUE"""),0.0)</f>
        <v>0</v>
      </c>
      <c r="R134" s="99"/>
      <c r="S134" s="99">
        <f>IFERROR(__xludf.DUMMYFUNCTION("""COMPUTED_VALUE"""),759600.0)</f>
        <v>759600</v>
      </c>
    </row>
    <row r="135">
      <c r="A135" s="96">
        <f>IFERROR(__xludf.DUMMYFUNCTION("""COMPUTED_VALUE"""),6.0)</f>
        <v>6</v>
      </c>
      <c r="B135" s="98">
        <f>IFERROR(__xludf.DUMMYFUNCTION("""COMPUTED_VALUE"""),44041.0)</f>
        <v>44041</v>
      </c>
      <c r="C135" s="96" t="str">
        <f>IFERROR(__xludf.DUMMYFUNCTION("""COMPUTED_VALUE"""),"NDOMA BODE I.D")</f>
        <v>NDOMA BODE I.D</v>
      </c>
      <c r="D135" s="96" t="str">
        <f>IFERROR(__xludf.DUMMYFUNCTION("""COMPUTED_VALUE"""),"NDOMA BODE I.D6")</f>
        <v>NDOMA BODE I.D6</v>
      </c>
      <c r="E135" s="96"/>
      <c r="F135" s="96"/>
      <c r="G135" s="96"/>
      <c r="H135" s="96"/>
      <c r="I135" s="96"/>
      <c r="J135" s="96"/>
      <c r="K135" s="96">
        <f>IFERROR(__xludf.DUMMYFUNCTION("""COMPUTED_VALUE"""),500000.0)</f>
        <v>500000</v>
      </c>
      <c r="L135" s="99">
        <f>IFERROR(__xludf.DUMMYFUNCTION("""COMPUTED_VALUE"""),500000.0)</f>
        <v>500000</v>
      </c>
      <c r="M135" s="96"/>
      <c r="N135" s="96">
        <f>IFERROR(__xludf.DUMMYFUNCTION("""COMPUTED_VALUE"""),0.0)</f>
        <v>0</v>
      </c>
      <c r="O135" s="96">
        <f>IFERROR(__xludf.DUMMYFUNCTION("""COMPUTED_VALUE"""),0.0)</f>
        <v>0</v>
      </c>
      <c r="P135" s="96">
        <f>IFERROR(__xludf.DUMMYFUNCTION("""COMPUTED_VALUE"""),0.0)</f>
        <v>0</v>
      </c>
      <c r="Q135" s="129">
        <f>IFERROR(__xludf.DUMMYFUNCTION("""COMPUTED_VALUE"""),0.0)</f>
        <v>0</v>
      </c>
      <c r="R135" s="99"/>
      <c r="S135" s="99">
        <f>IFERROR(__xludf.DUMMYFUNCTION("""COMPUTED_VALUE"""),1200000.0)</f>
        <v>1200000</v>
      </c>
    </row>
    <row r="136">
      <c r="A136" s="96">
        <f>IFERROR(__xludf.DUMMYFUNCTION("""COMPUTED_VALUE"""),1.0)</f>
        <v>1</v>
      </c>
      <c r="B136" s="98">
        <f>IFERROR(__xludf.DUMMYFUNCTION("""COMPUTED_VALUE"""),44041.0)</f>
        <v>44041</v>
      </c>
      <c r="C136" s="96" t="str">
        <f>IFERROR(__xludf.DUMMYFUNCTION("""COMPUTED_VALUE"""),"EUGENE")</f>
        <v>EUGENE</v>
      </c>
      <c r="D136" s="96" t="str">
        <f>IFERROR(__xludf.DUMMYFUNCTION("""COMPUTED_VALUE"""),"EUGENE1")</f>
        <v>EUGENE1</v>
      </c>
      <c r="E136" s="96"/>
      <c r="F136" s="96"/>
      <c r="G136" s="96"/>
      <c r="H136" s="96"/>
      <c r="I136" s="96"/>
      <c r="J136" s="96"/>
      <c r="K136" s="96">
        <f>IFERROR(__xludf.DUMMYFUNCTION("""COMPUTED_VALUE"""),500000.0)</f>
        <v>500000</v>
      </c>
      <c r="L136" s="99">
        <f>IFERROR(__xludf.DUMMYFUNCTION("""COMPUTED_VALUE"""),500000.0)</f>
        <v>500000</v>
      </c>
      <c r="M136" s="96"/>
      <c r="N136" s="96">
        <f>IFERROR(__xludf.DUMMYFUNCTION("""COMPUTED_VALUE"""),0.0)</f>
        <v>0</v>
      </c>
      <c r="O136" s="96">
        <f>IFERROR(__xludf.DUMMYFUNCTION("""COMPUTED_VALUE"""),0.0)</f>
        <v>0</v>
      </c>
      <c r="P136" s="96">
        <f>IFERROR(__xludf.DUMMYFUNCTION("""COMPUTED_VALUE"""),0.0)</f>
        <v>0</v>
      </c>
      <c r="Q136" s="129">
        <f>IFERROR(__xludf.DUMMYFUNCTION("""COMPUTED_VALUE"""),0.0)</f>
        <v>0</v>
      </c>
      <c r="R136" s="99"/>
      <c r="S136" s="99">
        <f>IFERROR(__xludf.DUMMYFUNCTION("""COMPUTED_VALUE"""),500000.0)</f>
        <v>500000</v>
      </c>
    </row>
    <row r="137">
      <c r="A137" s="96">
        <f>IFERROR(__xludf.DUMMYFUNCTION("""COMPUTED_VALUE"""),8.0)</f>
        <v>8</v>
      </c>
      <c r="B137" s="98">
        <f>IFERROR(__xludf.DUMMYFUNCTION("""COMPUTED_VALUE"""),44041.0)</f>
        <v>44041</v>
      </c>
      <c r="C137" s="96" t="str">
        <f>IFERROR(__xludf.DUMMYFUNCTION("""COMPUTED_VALUE"""),"RECTOR W.")</f>
        <v>RECTOR W.</v>
      </c>
      <c r="D137" s="96" t="str">
        <f>IFERROR(__xludf.DUMMYFUNCTION("""COMPUTED_VALUE"""),"RECTOR W.8")</f>
        <v>RECTOR W.8</v>
      </c>
      <c r="E137" s="96"/>
      <c r="F137" s="96"/>
      <c r="G137" s="96"/>
      <c r="H137" s="96"/>
      <c r="I137" s="96"/>
      <c r="J137" s="96"/>
      <c r="K137" s="96">
        <f>IFERROR(__xludf.DUMMYFUNCTION("""COMPUTED_VALUE"""),800000.0)</f>
        <v>800000</v>
      </c>
      <c r="L137" s="99">
        <f>IFERROR(__xludf.DUMMYFUNCTION("""COMPUTED_VALUE"""),800000.0)</f>
        <v>800000</v>
      </c>
      <c r="M137" s="96"/>
      <c r="N137" s="96">
        <f>IFERROR(__xludf.DUMMYFUNCTION("""COMPUTED_VALUE"""),0.0)</f>
        <v>0</v>
      </c>
      <c r="O137" s="96">
        <f>IFERROR(__xludf.DUMMYFUNCTION("""COMPUTED_VALUE"""),0.0)</f>
        <v>0</v>
      </c>
      <c r="P137" s="96">
        <f>IFERROR(__xludf.DUMMYFUNCTION("""COMPUTED_VALUE"""),0.0)</f>
        <v>0</v>
      </c>
      <c r="Q137" s="129">
        <f>IFERROR(__xludf.DUMMYFUNCTION("""COMPUTED_VALUE"""),0.0)</f>
        <v>0</v>
      </c>
      <c r="R137" s="99"/>
      <c r="S137" s="99">
        <f>IFERROR(__xludf.DUMMYFUNCTION("""COMPUTED_VALUE"""),3300000.0)</f>
        <v>3300000</v>
      </c>
    </row>
    <row r="138">
      <c r="A138" s="96">
        <f>IFERROR(__xludf.DUMMYFUNCTION("""COMPUTED_VALUE"""),3.0)</f>
        <v>3</v>
      </c>
      <c r="B138" s="98">
        <f>IFERROR(__xludf.DUMMYFUNCTION("""COMPUTED_VALUE"""),44041.0)</f>
        <v>44041</v>
      </c>
      <c r="C138" s="96" t="str">
        <f>IFERROR(__xludf.DUMMYFUNCTION("""COMPUTED_VALUE"""),"REMMY BODES")</f>
        <v>REMMY BODES</v>
      </c>
      <c r="D138" s="96" t="str">
        <f>IFERROR(__xludf.DUMMYFUNCTION("""COMPUTED_VALUE"""),"REMMY BODES3")</f>
        <v>REMMY BODES3</v>
      </c>
      <c r="E138" s="96"/>
      <c r="F138" s="96"/>
      <c r="G138" s="96"/>
      <c r="H138" s="96"/>
      <c r="I138" s="96"/>
      <c r="J138" s="96"/>
      <c r="K138" s="96">
        <f>IFERROR(__xludf.DUMMYFUNCTION("""COMPUTED_VALUE"""),310000.0)</f>
        <v>310000</v>
      </c>
      <c r="L138" s="99">
        <f>IFERROR(__xludf.DUMMYFUNCTION("""COMPUTED_VALUE"""),310000.0)</f>
        <v>310000</v>
      </c>
      <c r="M138" s="96"/>
      <c r="N138" s="96">
        <f>IFERROR(__xludf.DUMMYFUNCTION("""COMPUTED_VALUE"""),0.0)</f>
        <v>0</v>
      </c>
      <c r="O138" s="96">
        <f>IFERROR(__xludf.DUMMYFUNCTION("""COMPUTED_VALUE"""),0.0)</f>
        <v>0</v>
      </c>
      <c r="P138" s="96">
        <f>IFERROR(__xludf.DUMMYFUNCTION("""COMPUTED_VALUE"""),0.0)</f>
        <v>0</v>
      </c>
      <c r="Q138" s="129">
        <f>IFERROR(__xludf.DUMMYFUNCTION("""COMPUTED_VALUE"""),0.0)</f>
        <v>0</v>
      </c>
      <c r="R138" s="99"/>
      <c r="S138" s="99">
        <f>IFERROR(__xludf.DUMMYFUNCTION("""COMPUTED_VALUE"""),1020000.0)</f>
        <v>1020000</v>
      </c>
    </row>
    <row r="139">
      <c r="A139" s="96">
        <f>IFERROR(__xludf.DUMMYFUNCTION("""COMPUTED_VALUE"""),1.0)</f>
        <v>1</v>
      </c>
      <c r="B139" s="98">
        <f>IFERROR(__xludf.DUMMYFUNCTION("""COMPUTED_VALUE"""),44041.0)</f>
        <v>44041</v>
      </c>
      <c r="C139" s="96" t="str">
        <f>IFERROR(__xludf.DUMMYFUNCTION("""COMPUTED_VALUE"""),"ABANG. DUNLOP")</f>
        <v>ABANG. DUNLOP</v>
      </c>
      <c r="D139" s="96" t="str">
        <f>IFERROR(__xludf.DUMMYFUNCTION("""COMPUTED_VALUE"""),"ABANG. DUNLOP1")</f>
        <v>ABANG. DUNLOP1</v>
      </c>
      <c r="E139" s="96"/>
      <c r="F139" s="96"/>
      <c r="G139" s="96"/>
      <c r="H139" s="96"/>
      <c r="I139" s="96"/>
      <c r="J139" s="96"/>
      <c r="K139" s="96">
        <f>IFERROR(__xludf.DUMMYFUNCTION("""COMPUTED_VALUE"""),800000.0)</f>
        <v>800000</v>
      </c>
      <c r="L139" s="99">
        <f>IFERROR(__xludf.DUMMYFUNCTION("""COMPUTED_VALUE"""),800000.0)</f>
        <v>800000</v>
      </c>
      <c r="M139" s="96"/>
      <c r="N139" s="96">
        <f>IFERROR(__xludf.DUMMYFUNCTION("""COMPUTED_VALUE"""),0.0)</f>
        <v>0</v>
      </c>
      <c r="O139" s="96">
        <f>IFERROR(__xludf.DUMMYFUNCTION("""COMPUTED_VALUE"""),0.0)</f>
        <v>0</v>
      </c>
      <c r="P139" s="96">
        <f>IFERROR(__xludf.DUMMYFUNCTION("""COMPUTED_VALUE"""),0.0)</f>
        <v>0</v>
      </c>
      <c r="Q139" s="129">
        <f>IFERROR(__xludf.DUMMYFUNCTION("""COMPUTED_VALUE"""),0.0)</f>
        <v>0</v>
      </c>
      <c r="R139" s="99"/>
      <c r="S139" s="99">
        <f>IFERROR(__xludf.DUMMYFUNCTION("""COMPUTED_VALUE"""),800000.0)</f>
        <v>800000</v>
      </c>
    </row>
    <row r="140">
      <c r="A140" s="96">
        <f>IFERROR(__xludf.DUMMYFUNCTION("""COMPUTED_VALUE"""),2.0)</f>
        <v>2</v>
      </c>
      <c r="B140" s="98">
        <f>IFERROR(__xludf.DUMMYFUNCTION("""COMPUTED_VALUE"""),44041.0)</f>
        <v>44041</v>
      </c>
      <c r="C140" s="96" t="str">
        <f>IFERROR(__xludf.DUMMYFUNCTION("""COMPUTED_VALUE"""),"BOSURU  BOSURU")</f>
        <v>BOSURU  BOSURU</v>
      </c>
      <c r="D140" s="96" t="str">
        <f>IFERROR(__xludf.DUMMYFUNCTION("""COMPUTED_VALUE"""),"BOSURU  BOSURU2")</f>
        <v>BOSURU  BOSURU2</v>
      </c>
      <c r="E140" s="96"/>
      <c r="F140" s="96"/>
      <c r="G140" s="96"/>
      <c r="H140" s="96"/>
      <c r="I140" s="96"/>
      <c r="J140" s="96"/>
      <c r="K140" s="96">
        <f>IFERROR(__xludf.DUMMYFUNCTION("""COMPUTED_VALUE"""),200000.0)</f>
        <v>200000</v>
      </c>
      <c r="L140" s="99">
        <f>IFERROR(__xludf.DUMMYFUNCTION("""COMPUTED_VALUE"""),200000.0)</f>
        <v>200000</v>
      </c>
      <c r="M140" s="96"/>
      <c r="N140" s="96">
        <f>IFERROR(__xludf.DUMMYFUNCTION("""COMPUTED_VALUE"""),0.0)</f>
        <v>0</v>
      </c>
      <c r="O140" s="96">
        <f>IFERROR(__xludf.DUMMYFUNCTION("""COMPUTED_VALUE"""),0.0)</f>
        <v>0</v>
      </c>
      <c r="P140" s="96">
        <f>IFERROR(__xludf.DUMMYFUNCTION("""COMPUTED_VALUE"""),0.0)</f>
        <v>0</v>
      </c>
      <c r="Q140" s="129">
        <f>IFERROR(__xludf.DUMMYFUNCTION("""COMPUTED_VALUE"""),0.0)</f>
        <v>0</v>
      </c>
      <c r="R140" s="99"/>
      <c r="S140" s="99">
        <f>IFERROR(__xludf.DUMMYFUNCTION("""COMPUTED_VALUE"""),1200000.0)</f>
        <v>1200000</v>
      </c>
    </row>
    <row r="141">
      <c r="A141" s="96">
        <f>IFERROR(__xludf.DUMMYFUNCTION("""COMPUTED_VALUE"""),5.0)</f>
        <v>5</v>
      </c>
      <c r="B141" s="98">
        <f>IFERROR(__xludf.DUMMYFUNCTION("""COMPUTED_VALUE"""),44041.0)</f>
        <v>44041</v>
      </c>
      <c r="C141" s="96" t="str">
        <f>IFERROR(__xludf.DUMMYFUNCTION("""COMPUTED_VALUE"""),"CORNWELL")</f>
        <v>CORNWELL</v>
      </c>
      <c r="D141" s="96" t="str">
        <f>IFERROR(__xludf.DUMMYFUNCTION("""COMPUTED_VALUE"""),"CORNWELL5")</f>
        <v>CORNWELL5</v>
      </c>
      <c r="E141" s="96"/>
      <c r="F141" s="96"/>
      <c r="G141" s="96"/>
      <c r="H141" s="96"/>
      <c r="I141" s="96"/>
      <c r="J141" s="96"/>
      <c r="K141" s="96">
        <f>IFERROR(__xludf.DUMMYFUNCTION("""COMPUTED_VALUE"""),400000.0)</f>
        <v>400000</v>
      </c>
      <c r="L141" s="99">
        <f>IFERROR(__xludf.DUMMYFUNCTION("""COMPUTED_VALUE"""),400000.0)</f>
        <v>400000</v>
      </c>
      <c r="M141" s="96"/>
      <c r="N141" s="96">
        <f>IFERROR(__xludf.DUMMYFUNCTION("""COMPUTED_VALUE"""),0.0)</f>
        <v>0</v>
      </c>
      <c r="O141" s="96">
        <f>IFERROR(__xludf.DUMMYFUNCTION("""COMPUTED_VALUE"""),0.0)</f>
        <v>0</v>
      </c>
      <c r="P141" s="96">
        <f>IFERROR(__xludf.DUMMYFUNCTION("""COMPUTED_VALUE"""),0.0)</f>
        <v>0</v>
      </c>
      <c r="Q141" s="129">
        <f>IFERROR(__xludf.DUMMYFUNCTION("""COMPUTED_VALUE"""),0.0)</f>
        <v>0</v>
      </c>
      <c r="R141" s="99"/>
      <c r="S141" s="99">
        <f>IFERROR(__xludf.DUMMYFUNCTION("""COMPUTED_VALUE"""),1.500444E7)</f>
        <v>15004440</v>
      </c>
    </row>
    <row r="142">
      <c r="A142" s="96">
        <f>IFERROR(__xludf.DUMMYFUNCTION("""COMPUTED_VALUE"""),6.0)</f>
        <v>6</v>
      </c>
      <c r="B142" s="98">
        <f>IFERROR(__xludf.DUMMYFUNCTION("""COMPUTED_VALUE"""),44042.0)</f>
        <v>44042</v>
      </c>
      <c r="C142" s="96" t="str">
        <f>IFERROR(__xludf.DUMMYFUNCTION("""COMPUTED_VALUE"""),"CORNWELL")</f>
        <v>CORNWELL</v>
      </c>
      <c r="D142" s="96" t="str">
        <f>IFERROR(__xludf.DUMMYFUNCTION("""COMPUTED_VALUE"""),"CORNWELL6")</f>
        <v>CORNWELL6</v>
      </c>
      <c r="E142" s="96"/>
      <c r="F142" s="96"/>
      <c r="G142" s="96"/>
      <c r="H142" s="96"/>
      <c r="I142" s="96"/>
      <c r="J142" s="96"/>
      <c r="K142" s="96">
        <f>IFERROR(__xludf.DUMMYFUNCTION("""COMPUTED_VALUE"""),400000.0)</f>
        <v>400000</v>
      </c>
      <c r="L142" s="99">
        <f>IFERROR(__xludf.DUMMYFUNCTION("""COMPUTED_VALUE"""),400000.0)</f>
        <v>400000</v>
      </c>
      <c r="M142" s="96"/>
      <c r="N142" s="96">
        <f>IFERROR(__xludf.DUMMYFUNCTION("""COMPUTED_VALUE"""),0.0)</f>
        <v>0</v>
      </c>
      <c r="O142" s="96">
        <f>IFERROR(__xludf.DUMMYFUNCTION("""COMPUTED_VALUE"""),0.0)</f>
        <v>0</v>
      </c>
      <c r="P142" s="96">
        <f>IFERROR(__xludf.DUMMYFUNCTION("""COMPUTED_VALUE"""),0.0)</f>
        <v>0</v>
      </c>
      <c r="Q142" s="129">
        <f>IFERROR(__xludf.DUMMYFUNCTION("""COMPUTED_VALUE"""),0.0)</f>
        <v>0</v>
      </c>
      <c r="R142" s="99"/>
      <c r="S142" s="99">
        <f>IFERROR(__xludf.DUMMYFUNCTION("""COMPUTED_VALUE"""),1.540444E7)</f>
        <v>15404440</v>
      </c>
    </row>
    <row r="143">
      <c r="A143" s="96">
        <f>IFERROR(__xludf.DUMMYFUNCTION("""COMPUTED_VALUE"""),6.0)</f>
        <v>6</v>
      </c>
      <c r="B143" s="98">
        <f>IFERROR(__xludf.DUMMYFUNCTION("""COMPUTED_VALUE"""),44047.0)</f>
        <v>44047</v>
      </c>
      <c r="C143" s="96" t="str">
        <f>IFERROR(__xludf.DUMMYFUNCTION("""COMPUTED_VALUE""")," MAXWELL AGRO")</f>
        <v> MAXWELL AGRO</v>
      </c>
      <c r="D143" s="96" t="str">
        <f>IFERROR(__xludf.DUMMYFUNCTION("""COMPUTED_VALUE""")," MAXWELL AGRO6")</f>
        <v> MAXWELL AGRO6</v>
      </c>
      <c r="E143" s="96"/>
      <c r="F143" s="96"/>
      <c r="G143" s="96"/>
      <c r="H143" s="96"/>
      <c r="I143" s="96"/>
      <c r="J143" s="96"/>
      <c r="K143" s="96">
        <f>IFERROR(__xludf.DUMMYFUNCTION("""COMPUTED_VALUE"""),500000.0)</f>
        <v>500000</v>
      </c>
      <c r="L143" s="99">
        <f>IFERROR(__xludf.DUMMYFUNCTION("""COMPUTED_VALUE"""),500000.0)</f>
        <v>500000</v>
      </c>
      <c r="M143" s="96"/>
      <c r="N143" s="96">
        <f>IFERROR(__xludf.DUMMYFUNCTION("""COMPUTED_VALUE"""),0.0)</f>
        <v>0</v>
      </c>
      <c r="O143" s="96">
        <f>IFERROR(__xludf.DUMMYFUNCTION("""COMPUTED_VALUE"""),0.0)</f>
        <v>0</v>
      </c>
      <c r="P143" s="96">
        <f>IFERROR(__xludf.DUMMYFUNCTION("""COMPUTED_VALUE"""),0.0)</f>
        <v>0</v>
      </c>
      <c r="Q143" s="129">
        <f>IFERROR(__xludf.DUMMYFUNCTION("""COMPUTED_VALUE"""),0.0)</f>
        <v>0</v>
      </c>
      <c r="R143" s="99"/>
      <c r="S143" s="99">
        <f>IFERROR(__xludf.DUMMYFUNCTION("""COMPUTED_VALUE"""),982820.0)</f>
        <v>982820</v>
      </c>
    </row>
    <row r="144">
      <c r="A144" s="96">
        <f>IFERROR(__xludf.DUMMYFUNCTION("""COMPUTED_VALUE"""),9.0)</f>
        <v>9</v>
      </c>
      <c r="B144" s="98">
        <f>IFERROR(__xludf.DUMMYFUNCTION("""COMPUTED_VALUE"""),44047.0)</f>
        <v>44047</v>
      </c>
      <c r="C144" s="96" t="str">
        <f>IFERROR(__xludf.DUMMYFUNCTION("""COMPUTED_VALUE"""),"CONNECT")</f>
        <v>CONNECT</v>
      </c>
      <c r="D144" s="96" t="str">
        <f>IFERROR(__xludf.DUMMYFUNCTION("""COMPUTED_VALUE"""),"CONNECT9")</f>
        <v>CONNECT9</v>
      </c>
      <c r="E144" s="96"/>
      <c r="F144" s="96"/>
      <c r="G144" s="96"/>
      <c r="H144" s="96"/>
      <c r="I144" s="96"/>
      <c r="J144" s="96"/>
      <c r="K144" s="96">
        <f>IFERROR(__xludf.DUMMYFUNCTION("""COMPUTED_VALUE"""),1500000.0)</f>
        <v>1500000</v>
      </c>
      <c r="L144" s="99">
        <f>IFERROR(__xludf.DUMMYFUNCTION("""COMPUTED_VALUE"""),1500000.0)</f>
        <v>1500000</v>
      </c>
      <c r="M144" s="96"/>
      <c r="N144" s="96">
        <f>IFERROR(__xludf.DUMMYFUNCTION("""COMPUTED_VALUE"""),0.0)</f>
        <v>0</v>
      </c>
      <c r="O144" s="96">
        <f>IFERROR(__xludf.DUMMYFUNCTION("""COMPUTED_VALUE"""),0.0)</f>
        <v>0</v>
      </c>
      <c r="P144" s="96">
        <f>IFERROR(__xludf.DUMMYFUNCTION("""COMPUTED_VALUE"""),0.0)</f>
        <v>0</v>
      </c>
      <c r="Q144" s="129">
        <f>IFERROR(__xludf.DUMMYFUNCTION("""COMPUTED_VALUE"""),0.0)</f>
        <v>0</v>
      </c>
      <c r="R144" s="99"/>
      <c r="S144" s="99">
        <f>IFERROR(__xludf.DUMMYFUNCTION("""COMPUTED_VALUE"""),3000000.0)</f>
        <v>3000000</v>
      </c>
    </row>
    <row r="145">
      <c r="A145" s="96">
        <f>IFERROR(__xludf.DUMMYFUNCTION("""COMPUTED_VALUE"""),2.0)</f>
        <v>2</v>
      </c>
      <c r="B145" s="98">
        <f>IFERROR(__xludf.DUMMYFUNCTION("""COMPUTED_VALUE"""),44047.0)</f>
        <v>44047</v>
      </c>
      <c r="C145" s="96" t="str">
        <f>IFERROR(__xludf.DUMMYFUNCTION("""COMPUTED_VALUE"""),"PRINNESS")</f>
        <v>PRINNESS</v>
      </c>
      <c r="D145" s="96" t="str">
        <f>IFERROR(__xludf.DUMMYFUNCTION("""COMPUTED_VALUE"""),"PRINNESS2")</f>
        <v>PRINNESS2</v>
      </c>
      <c r="E145" s="96"/>
      <c r="F145" s="96"/>
      <c r="G145" s="96"/>
      <c r="H145" s="96"/>
      <c r="I145" s="96"/>
      <c r="J145" s="96"/>
      <c r="K145" s="96">
        <f>IFERROR(__xludf.DUMMYFUNCTION("""COMPUTED_VALUE"""),300000.0)</f>
        <v>300000</v>
      </c>
      <c r="L145" s="99">
        <f>IFERROR(__xludf.DUMMYFUNCTION("""COMPUTED_VALUE"""),300000.0)</f>
        <v>300000</v>
      </c>
      <c r="M145" s="96"/>
      <c r="N145" s="96">
        <f>IFERROR(__xludf.DUMMYFUNCTION("""COMPUTED_VALUE"""),0.0)</f>
        <v>0</v>
      </c>
      <c r="O145" s="96">
        <f>IFERROR(__xludf.DUMMYFUNCTION("""COMPUTED_VALUE"""),0.0)</f>
        <v>0</v>
      </c>
      <c r="P145" s="96">
        <f>IFERROR(__xludf.DUMMYFUNCTION("""COMPUTED_VALUE"""),0.0)</f>
        <v>0</v>
      </c>
      <c r="Q145" s="129">
        <f>IFERROR(__xludf.DUMMYFUNCTION("""COMPUTED_VALUE"""),0.0)</f>
        <v>0</v>
      </c>
      <c r="R145" s="99"/>
      <c r="S145" s="99">
        <f>IFERROR(__xludf.DUMMYFUNCTION("""COMPUTED_VALUE"""),500000.0)</f>
        <v>500000</v>
      </c>
    </row>
    <row r="146">
      <c r="A146" s="96">
        <f>IFERROR(__xludf.DUMMYFUNCTION("""COMPUTED_VALUE"""),10.0)</f>
        <v>10</v>
      </c>
      <c r="B146" s="98">
        <f>IFERROR(__xludf.DUMMYFUNCTION("""COMPUTED_VALUE"""),44047.0)</f>
        <v>44047</v>
      </c>
      <c r="C146" s="96" t="str">
        <f>IFERROR(__xludf.DUMMYFUNCTION("""COMPUTED_VALUE"""),"LIVINUS")</f>
        <v>LIVINUS</v>
      </c>
      <c r="D146" s="96" t="str">
        <f>IFERROR(__xludf.DUMMYFUNCTION("""COMPUTED_VALUE"""),"LIVINUS10")</f>
        <v>LIVINUS10</v>
      </c>
      <c r="E146" s="96"/>
      <c r="F146" s="96"/>
      <c r="G146" s="96"/>
      <c r="H146" s="96"/>
      <c r="I146" s="96"/>
      <c r="J146" s="96"/>
      <c r="K146" s="96">
        <f>IFERROR(__xludf.DUMMYFUNCTION("""COMPUTED_VALUE"""),720000.0)</f>
        <v>720000</v>
      </c>
      <c r="L146" s="99">
        <f>IFERROR(__xludf.DUMMYFUNCTION("""COMPUTED_VALUE"""),720000.0)</f>
        <v>720000</v>
      </c>
      <c r="M146" s="96"/>
      <c r="N146" s="96">
        <f>IFERROR(__xludf.DUMMYFUNCTION("""COMPUTED_VALUE"""),0.0)</f>
        <v>0</v>
      </c>
      <c r="O146" s="96">
        <f>IFERROR(__xludf.DUMMYFUNCTION("""COMPUTED_VALUE"""),0.0)</f>
        <v>0</v>
      </c>
      <c r="P146" s="96">
        <f>IFERROR(__xludf.DUMMYFUNCTION("""COMPUTED_VALUE"""),0.0)</f>
        <v>0</v>
      </c>
      <c r="Q146" s="129">
        <f>IFERROR(__xludf.DUMMYFUNCTION("""COMPUTED_VALUE"""),0.0)</f>
        <v>0</v>
      </c>
      <c r="R146" s="99"/>
      <c r="S146" s="99">
        <f>IFERROR(__xludf.DUMMYFUNCTION("""COMPUTED_VALUE"""),3915000.0)</f>
        <v>3915000</v>
      </c>
    </row>
    <row r="147">
      <c r="A147" s="96">
        <f>IFERROR(__xludf.DUMMYFUNCTION("""COMPUTED_VALUE"""),12.0)</f>
        <v>12</v>
      </c>
      <c r="B147" s="98">
        <f>IFERROR(__xludf.DUMMYFUNCTION("""COMPUTED_VALUE"""),44048.0)</f>
        <v>44048</v>
      </c>
      <c r="C147" s="96" t="str">
        <f>IFERROR(__xludf.DUMMYFUNCTION("""COMPUTED_VALUE"""),"LYDIA HNSON ")</f>
        <v>LYDIA HNSON </v>
      </c>
      <c r="D147" s="96" t="str">
        <f>IFERROR(__xludf.DUMMYFUNCTION("""COMPUTED_VALUE"""),"LYDIA HNSON 12")</f>
        <v>LYDIA HNSON 12</v>
      </c>
      <c r="E147" s="96"/>
      <c r="F147" s="96"/>
      <c r="G147" s="96"/>
      <c r="H147" s="96"/>
      <c r="I147" s="96"/>
      <c r="J147" s="96"/>
      <c r="K147" s="96">
        <f>IFERROR(__xludf.DUMMYFUNCTION("""COMPUTED_VALUE"""),500000.0)</f>
        <v>500000</v>
      </c>
      <c r="L147" s="99">
        <f>IFERROR(__xludf.DUMMYFUNCTION("""COMPUTED_VALUE"""),500000.0)</f>
        <v>500000</v>
      </c>
      <c r="M147" s="96"/>
      <c r="N147" s="96">
        <f>IFERROR(__xludf.DUMMYFUNCTION("""COMPUTED_VALUE"""),0.0)</f>
        <v>0</v>
      </c>
      <c r="O147" s="96">
        <f>IFERROR(__xludf.DUMMYFUNCTION("""COMPUTED_VALUE"""),0.0)</f>
        <v>0</v>
      </c>
      <c r="P147" s="96">
        <f>IFERROR(__xludf.DUMMYFUNCTION("""COMPUTED_VALUE"""),0.0)</f>
        <v>0</v>
      </c>
      <c r="Q147" s="129">
        <f>IFERROR(__xludf.DUMMYFUNCTION("""COMPUTED_VALUE"""),0.0)</f>
        <v>0</v>
      </c>
      <c r="R147" s="99"/>
      <c r="S147" s="99">
        <f>IFERROR(__xludf.DUMMYFUNCTION("""COMPUTED_VALUE"""),3276960.0)</f>
        <v>3276960</v>
      </c>
    </row>
    <row r="148">
      <c r="A148" s="96">
        <f>IFERROR(__xludf.DUMMYFUNCTION("""COMPUTED_VALUE"""),2.0)</f>
        <v>2</v>
      </c>
      <c r="B148" s="98">
        <f>IFERROR(__xludf.DUMMYFUNCTION("""COMPUTED_VALUE"""),44048.0)</f>
        <v>44048</v>
      </c>
      <c r="C148" s="96" t="str">
        <f>IFERROR(__xludf.DUMMYFUNCTION("""COMPUTED_VALUE"""),"NDOMA PETER")</f>
        <v>NDOMA PETER</v>
      </c>
      <c r="D148" s="96" t="str">
        <f>IFERROR(__xludf.DUMMYFUNCTION("""COMPUTED_VALUE"""),"NDOMA PETER2")</f>
        <v>NDOMA PETER2</v>
      </c>
      <c r="E148" s="96"/>
      <c r="F148" s="96"/>
      <c r="G148" s="96"/>
      <c r="H148" s="96"/>
      <c r="I148" s="96"/>
      <c r="J148" s="96"/>
      <c r="K148" s="96">
        <f>IFERROR(__xludf.DUMMYFUNCTION("""COMPUTED_VALUE"""),200000.0)</f>
        <v>200000</v>
      </c>
      <c r="L148" s="99">
        <f>IFERROR(__xludf.DUMMYFUNCTION("""COMPUTED_VALUE"""),200000.0)</f>
        <v>200000</v>
      </c>
      <c r="M148" s="96"/>
      <c r="N148" s="96">
        <f>IFERROR(__xludf.DUMMYFUNCTION("""COMPUTED_VALUE"""),0.0)</f>
        <v>0</v>
      </c>
      <c r="O148" s="96">
        <f>IFERROR(__xludf.DUMMYFUNCTION("""COMPUTED_VALUE"""),0.0)</f>
        <v>0</v>
      </c>
      <c r="P148" s="96">
        <f>IFERROR(__xludf.DUMMYFUNCTION("""COMPUTED_VALUE"""),0.0)</f>
        <v>0</v>
      </c>
      <c r="Q148" s="129">
        <f>IFERROR(__xludf.DUMMYFUNCTION("""COMPUTED_VALUE"""),0.0)</f>
        <v>0</v>
      </c>
      <c r="R148" s="99"/>
      <c r="S148" s="99">
        <f>IFERROR(__xludf.DUMMYFUNCTION("""COMPUTED_VALUE"""),600000.0)</f>
        <v>600000</v>
      </c>
    </row>
    <row r="149">
      <c r="A149" s="96">
        <f>IFERROR(__xludf.DUMMYFUNCTION("""COMPUTED_VALUE"""),2.0)</f>
        <v>2</v>
      </c>
      <c r="B149" s="98">
        <f>IFERROR(__xludf.DUMMYFUNCTION("""COMPUTED_VALUE"""),44048.0)</f>
        <v>44048</v>
      </c>
      <c r="C149" s="96" t="str">
        <f>IFERROR(__xludf.DUMMYFUNCTION("""COMPUTED_VALUE"""),"ALFRED ALABI")</f>
        <v>ALFRED ALABI</v>
      </c>
      <c r="D149" s="96" t="str">
        <f>IFERROR(__xludf.DUMMYFUNCTION("""COMPUTED_VALUE"""),"ALFRED ALABI2")</f>
        <v>ALFRED ALABI2</v>
      </c>
      <c r="E149" s="96"/>
      <c r="F149" s="96"/>
      <c r="G149" s="96"/>
      <c r="H149" s="96"/>
      <c r="I149" s="96"/>
      <c r="J149" s="96"/>
      <c r="K149" s="96">
        <f>IFERROR(__xludf.DUMMYFUNCTION("""COMPUTED_VALUE"""),5000.0)</f>
        <v>5000</v>
      </c>
      <c r="L149" s="99">
        <f>IFERROR(__xludf.DUMMYFUNCTION("""COMPUTED_VALUE"""),5000.0)</f>
        <v>5000</v>
      </c>
      <c r="M149" s="96"/>
      <c r="N149" s="96">
        <f>IFERROR(__xludf.DUMMYFUNCTION("""COMPUTED_VALUE"""),0.0)</f>
        <v>0</v>
      </c>
      <c r="O149" s="96">
        <f>IFERROR(__xludf.DUMMYFUNCTION("""COMPUTED_VALUE"""),0.0)</f>
        <v>0</v>
      </c>
      <c r="P149" s="96">
        <f>IFERROR(__xludf.DUMMYFUNCTION("""COMPUTED_VALUE"""),0.0)</f>
        <v>0</v>
      </c>
      <c r="Q149" s="129">
        <f>IFERROR(__xludf.DUMMYFUNCTION("""COMPUTED_VALUE"""),0.0)</f>
        <v>0</v>
      </c>
      <c r="R149" s="99"/>
      <c r="S149" s="99">
        <f>IFERROR(__xludf.DUMMYFUNCTION("""COMPUTED_VALUE"""),485000.0)</f>
        <v>485000</v>
      </c>
    </row>
    <row r="150">
      <c r="A150" s="96">
        <f>IFERROR(__xludf.DUMMYFUNCTION("""COMPUTED_VALUE"""),10.0)</f>
        <v>10</v>
      </c>
      <c r="B150" s="98">
        <f>IFERROR(__xludf.DUMMYFUNCTION("""COMPUTED_VALUE"""),44047.0)</f>
        <v>44047</v>
      </c>
      <c r="C150" s="96" t="str">
        <f>IFERROR(__xludf.DUMMYFUNCTION("""COMPUTED_VALUE"""),"CONNECT")</f>
        <v>CONNECT</v>
      </c>
      <c r="D150" s="96" t="str">
        <f>IFERROR(__xludf.DUMMYFUNCTION("""COMPUTED_VALUE"""),"CONNECT10")</f>
        <v>CONNECT10</v>
      </c>
      <c r="E150" s="96">
        <f>IFERROR(__xludf.DUMMYFUNCTION("""COMPUTED_VALUE"""),1698.0)</f>
        <v>1698</v>
      </c>
      <c r="F150" s="96">
        <f>IFERROR(__xludf.DUMMYFUNCTION("""COMPUTED_VALUE"""),208.0)</f>
        <v>208</v>
      </c>
      <c r="G150" s="96"/>
      <c r="H150" s="96">
        <f>IFERROR(__xludf.DUMMYFUNCTION("""COMPUTED_VALUE"""),26.0)</f>
        <v>26</v>
      </c>
      <c r="I150" s="96">
        <f>IFERROR(__xludf.DUMMYFUNCTION("""COMPUTED_VALUE"""),0.0)</f>
        <v>0</v>
      </c>
      <c r="J150" s="96">
        <f>IFERROR(__xludf.DUMMYFUNCTION("""COMPUTED_VALUE"""),800.0)</f>
        <v>800</v>
      </c>
      <c r="K150" s="96"/>
      <c r="L150" s="99">
        <f>IFERROR(__xludf.DUMMYFUNCTION("""COMPUTED_VALUE"""),-1337600.0)</f>
        <v>-1337600</v>
      </c>
      <c r="M150" s="96">
        <f>IFERROR(__xludf.DUMMYFUNCTION("""COMPUTED_VALUE"""),8.0)</f>
        <v>8</v>
      </c>
      <c r="N150" s="96">
        <f>IFERROR(__xludf.DUMMYFUNCTION("""COMPUTED_VALUE"""),0.0)</f>
        <v>0</v>
      </c>
      <c r="O150" s="96">
        <f>IFERROR(__xludf.DUMMYFUNCTION("""COMPUTED_VALUE"""),26.0)</f>
        <v>26</v>
      </c>
      <c r="P150" s="96">
        <f>IFERROR(__xludf.DUMMYFUNCTION("""COMPUTED_VALUE"""),34.0)</f>
        <v>34</v>
      </c>
      <c r="Q150" s="129">
        <f>IFERROR(__xludf.DUMMYFUNCTION("""COMPUTED_VALUE"""),1672.0)</f>
        <v>1672</v>
      </c>
      <c r="R150" s="99">
        <f>IFERROR(__xludf.DUMMYFUNCTION("""COMPUTED_VALUE"""),1337600.0)</f>
        <v>1337600</v>
      </c>
      <c r="S150" s="99">
        <f>IFERROR(__xludf.DUMMYFUNCTION("""COMPUTED_VALUE"""),1662400.0)</f>
        <v>1662400</v>
      </c>
    </row>
    <row r="151">
      <c r="A151" s="96">
        <f>IFERROR(__xludf.DUMMYFUNCTION("""COMPUTED_VALUE"""),2.0)</f>
        <v>2</v>
      </c>
      <c r="B151" s="98">
        <f>IFERROR(__xludf.DUMMYFUNCTION("""COMPUTED_VALUE"""),44041.0)</f>
        <v>44041</v>
      </c>
      <c r="C151" s="96" t="str">
        <f>IFERROR(__xludf.DUMMYFUNCTION("""COMPUTED_VALUE"""),"OBINNA CHIELO")</f>
        <v>OBINNA CHIELO</v>
      </c>
      <c r="D151" s="96" t="str">
        <f>IFERROR(__xludf.DUMMYFUNCTION("""COMPUTED_VALUE"""),"OBINNA CHIELO2")</f>
        <v>OBINNA CHIELO2</v>
      </c>
      <c r="E151" s="96">
        <f>IFERROR(__xludf.DUMMYFUNCTION("""COMPUTED_VALUE"""),591.0)</f>
        <v>591</v>
      </c>
      <c r="F151" s="96">
        <f>IFERROR(__xludf.DUMMYFUNCTION("""COMPUTED_VALUE"""),72.0)</f>
        <v>72</v>
      </c>
      <c r="G151" s="96"/>
      <c r="H151" s="96">
        <f>IFERROR(__xludf.DUMMYFUNCTION("""COMPUTED_VALUE"""),9.0)</f>
        <v>9</v>
      </c>
      <c r="I151" s="96">
        <f>IFERROR(__xludf.DUMMYFUNCTION("""COMPUTED_VALUE"""),0.0)</f>
        <v>0</v>
      </c>
      <c r="J151" s="96">
        <f>IFERROR(__xludf.DUMMYFUNCTION("""COMPUTED_VALUE"""),761.6)</f>
        <v>761.6</v>
      </c>
      <c r="K151" s="96"/>
      <c r="L151" s="99">
        <f>IFERROR(__xludf.DUMMYFUNCTION("""COMPUTED_VALUE"""),-443250.0)</f>
        <v>-443250</v>
      </c>
      <c r="M151" s="96">
        <f>IFERROR(__xludf.DUMMYFUNCTION("""COMPUTED_VALUE"""),8.0)</f>
        <v>8</v>
      </c>
      <c r="N151" s="96">
        <f>IFERROR(__xludf.DUMMYFUNCTION("""COMPUTED_VALUE"""),0.0)</f>
        <v>0</v>
      </c>
      <c r="O151" s="96">
        <f>IFERROR(__xludf.DUMMYFUNCTION("""COMPUTED_VALUE"""),9.0)</f>
        <v>9</v>
      </c>
      <c r="P151" s="96">
        <f>IFERROR(__xludf.DUMMYFUNCTION("""COMPUTED_VALUE"""),14.0)</f>
        <v>14</v>
      </c>
      <c r="Q151" s="129">
        <f>IFERROR(__xludf.DUMMYFUNCTION("""COMPUTED_VALUE"""),582.0)</f>
        <v>582</v>
      </c>
      <c r="R151" s="99">
        <f>IFERROR(__xludf.DUMMYFUNCTION("""COMPUTED_VALUE"""),443250.0)</f>
        <v>443250</v>
      </c>
      <c r="S151" s="99">
        <f>IFERROR(__xludf.DUMMYFUNCTION("""COMPUTED_VALUE"""),36750.0)</f>
        <v>36750</v>
      </c>
    </row>
    <row r="152">
      <c r="A152" s="96">
        <f>IFERROR(__xludf.DUMMYFUNCTION("""COMPUTED_VALUE"""),9.0)</f>
        <v>9</v>
      </c>
      <c r="B152" s="98">
        <f>IFERROR(__xludf.DUMMYFUNCTION("""COMPUTED_VALUE"""),44039.0)</f>
        <v>44039</v>
      </c>
      <c r="C152" s="96" t="str">
        <f>IFERROR(__xludf.DUMMYFUNCTION("""COMPUTED_VALUE"""),"RECTOR W.")</f>
        <v>RECTOR W.</v>
      </c>
      <c r="D152" s="96" t="str">
        <f>IFERROR(__xludf.DUMMYFUNCTION("""COMPUTED_VALUE"""),"RECTOR W.9")</f>
        <v>RECTOR W.9</v>
      </c>
      <c r="E152" s="96">
        <f>IFERROR(__xludf.DUMMYFUNCTION("""COMPUTED_VALUE"""),1515.0)</f>
        <v>1515</v>
      </c>
      <c r="F152" s="96">
        <f>IFERROR(__xludf.DUMMYFUNCTION("""COMPUTED_VALUE"""),176.0)</f>
        <v>176</v>
      </c>
      <c r="G152" s="96"/>
      <c r="H152" s="96">
        <f>IFERROR(__xludf.DUMMYFUNCTION("""COMPUTED_VALUE"""),22.0)</f>
        <v>22</v>
      </c>
      <c r="I152" s="96">
        <f>IFERROR(__xludf.DUMMYFUNCTION("""COMPUTED_VALUE"""),0.0)</f>
        <v>0</v>
      </c>
      <c r="J152" s="96">
        <f>IFERROR(__xludf.DUMMYFUNCTION("""COMPUTED_VALUE"""),780.0)</f>
        <v>780</v>
      </c>
      <c r="K152" s="96"/>
      <c r="L152" s="99">
        <f>IFERROR(__xludf.DUMMYFUNCTION("""COMPUTED_VALUE"""),-1164540.0)</f>
        <v>-1164540</v>
      </c>
      <c r="M152" s="96">
        <f>IFERROR(__xludf.DUMMYFUNCTION("""COMPUTED_VALUE"""),8.0)</f>
        <v>8</v>
      </c>
      <c r="N152" s="96">
        <f>IFERROR(__xludf.DUMMYFUNCTION("""COMPUTED_VALUE"""),0.0)</f>
        <v>0</v>
      </c>
      <c r="O152" s="96">
        <f>IFERROR(__xludf.DUMMYFUNCTION("""COMPUTED_VALUE"""),23.0)</f>
        <v>23</v>
      </c>
      <c r="P152" s="96">
        <f>IFERROR(__xludf.DUMMYFUNCTION("""COMPUTED_VALUE"""),44.0)</f>
        <v>44</v>
      </c>
      <c r="Q152" s="129">
        <f>IFERROR(__xludf.DUMMYFUNCTION("""COMPUTED_VALUE"""),1493.0)</f>
        <v>1493</v>
      </c>
      <c r="R152" s="99">
        <f>IFERROR(__xludf.DUMMYFUNCTION("""COMPUTED_VALUE"""),1164540.0)</f>
        <v>1164540</v>
      </c>
      <c r="S152" s="99">
        <f>IFERROR(__xludf.DUMMYFUNCTION("""COMPUTED_VALUE"""),2135460.0)</f>
        <v>2135460</v>
      </c>
    </row>
    <row r="153">
      <c r="A153" s="96">
        <f>IFERROR(__xludf.DUMMYFUNCTION("""COMPUTED_VALUE"""),10.0)</f>
        <v>10</v>
      </c>
      <c r="B153" s="98">
        <f>IFERROR(__xludf.DUMMYFUNCTION("""COMPUTED_VALUE"""),44044.0)</f>
        <v>44044</v>
      </c>
      <c r="C153" s="96" t="str">
        <f>IFERROR(__xludf.DUMMYFUNCTION("""COMPUTED_VALUE"""),"RECTOR W.")</f>
        <v>RECTOR W.</v>
      </c>
      <c r="D153" s="96" t="str">
        <f>IFERROR(__xludf.DUMMYFUNCTION("""COMPUTED_VALUE"""),"RECTOR W.10")</f>
        <v>RECTOR W.10</v>
      </c>
      <c r="E153" s="96">
        <f>IFERROR(__xludf.DUMMYFUNCTION("""COMPUTED_VALUE"""),1283.0)</f>
        <v>1283</v>
      </c>
      <c r="F153" s="96">
        <f>IFERROR(__xludf.DUMMYFUNCTION("""COMPUTED_VALUE"""),136.0)</f>
        <v>136</v>
      </c>
      <c r="G153" s="96"/>
      <c r="H153" s="96">
        <f>IFERROR(__xludf.DUMMYFUNCTION("""COMPUTED_VALUE"""),17.0)</f>
        <v>17</v>
      </c>
      <c r="I153" s="96">
        <f>IFERROR(__xludf.DUMMYFUNCTION("""COMPUTED_VALUE"""),0.0)</f>
        <v>0</v>
      </c>
      <c r="J153" s="96">
        <f>IFERROR(__xludf.DUMMYFUNCTION("""COMPUTED_VALUE"""),780.0)</f>
        <v>780</v>
      </c>
      <c r="K153" s="96"/>
      <c r="L153" s="99">
        <f>IFERROR(__xludf.DUMMYFUNCTION("""COMPUTED_VALUE"""),-987480.0)</f>
        <v>-987480</v>
      </c>
      <c r="M153" s="96">
        <f>IFERROR(__xludf.DUMMYFUNCTION("""COMPUTED_VALUE"""),8.0)</f>
        <v>8</v>
      </c>
      <c r="N153" s="96">
        <f>IFERROR(__xludf.DUMMYFUNCTION("""COMPUTED_VALUE"""),0.0)</f>
        <v>0</v>
      </c>
      <c r="O153" s="96">
        <f>IFERROR(__xludf.DUMMYFUNCTION("""COMPUTED_VALUE"""),20.0)</f>
        <v>20</v>
      </c>
      <c r="P153" s="96">
        <f>IFERROR(__xludf.DUMMYFUNCTION("""COMPUTED_VALUE"""),5.0)</f>
        <v>5</v>
      </c>
      <c r="Q153" s="129">
        <f>IFERROR(__xludf.DUMMYFUNCTION("""COMPUTED_VALUE"""),1266.0)</f>
        <v>1266</v>
      </c>
      <c r="R153" s="99">
        <f>IFERROR(__xludf.DUMMYFUNCTION("""COMPUTED_VALUE"""),987480.0)</f>
        <v>987480</v>
      </c>
      <c r="S153" s="99">
        <f>IFERROR(__xludf.DUMMYFUNCTION("""COMPUTED_VALUE"""),1147980.0)</f>
        <v>1147980</v>
      </c>
    </row>
    <row r="154">
      <c r="A154" s="96">
        <f>IFERROR(__xludf.DUMMYFUNCTION("""COMPUTED_VALUE"""),5.0)</f>
        <v>5</v>
      </c>
      <c r="B154" s="98">
        <f>IFERROR(__xludf.DUMMYFUNCTION("""COMPUTED_VALUE"""),44046.0)</f>
        <v>44046</v>
      </c>
      <c r="C154" s="96" t="str">
        <f>IFERROR(__xludf.DUMMYFUNCTION("""COMPUTED_VALUE"""),"ETUK EFFI")</f>
        <v>ETUK EFFI</v>
      </c>
      <c r="D154" s="96" t="str">
        <f>IFERROR(__xludf.DUMMYFUNCTION("""COMPUTED_VALUE"""),"ETUK EFFI5")</f>
        <v>ETUK EFFI5</v>
      </c>
      <c r="E154" s="96">
        <f>IFERROR(__xludf.DUMMYFUNCTION("""COMPUTED_VALUE"""),1388.0)</f>
        <v>1388</v>
      </c>
      <c r="F154" s="96">
        <f>IFERROR(__xludf.DUMMYFUNCTION("""COMPUTED_VALUE"""),176.0)</f>
        <v>176</v>
      </c>
      <c r="G154" s="96"/>
      <c r="H154" s="96">
        <f>IFERROR(__xludf.DUMMYFUNCTION("""COMPUTED_VALUE"""),22.0)</f>
        <v>22</v>
      </c>
      <c r="I154" s="96">
        <f>IFERROR(__xludf.DUMMYFUNCTION("""COMPUTED_VALUE"""),0.0)</f>
        <v>0</v>
      </c>
      <c r="J154" s="96">
        <f>IFERROR(__xludf.DUMMYFUNCTION("""COMPUTED_VALUE"""),790.0)</f>
        <v>790</v>
      </c>
      <c r="K154" s="96"/>
      <c r="L154" s="99">
        <f>IFERROR(__xludf.DUMMYFUNCTION("""COMPUTED_VALUE"""),-1079140.0)</f>
        <v>-1079140</v>
      </c>
      <c r="M154" s="96">
        <f>IFERROR(__xludf.DUMMYFUNCTION("""COMPUTED_VALUE"""),8.0)</f>
        <v>8</v>
      </c>
      <c r="N154" s="96">
        <f>IFERROR(__xludf.DUMMYFUNCTION("""COMPUTED_VALUE"""),0.0)</f>
        <v>0</v>
      </c>
      <c r="O154" s="96">
        <f>IFERROR(__xludf.DUMMYFUNCTION("""COMPUTED_VALUE"""),21.0)</f>
        <v>21</v>
      </c>
      <c r="P154" s="96">
        <f>IFERROR(__xludf.DUMMYFUNCTION("""COMPUTED_VALUE"""),43.0)</f>
        <v>43</v>
      </c>
      <c r="Q154" s="129">
        <f>IFERROR(__xludf.DUMMYFUNCTION("""COMPUTED_VALUE"""),1366.0)</f>
        <v>1366</v>
      </c>
      <c r="R154" s="99">
        <f>IFERROR(__xludf.DUMMYFUNCTION("""COMPUTED_VALUE"""),1079140.0)</f>
        <v>1079140</v>
      </c>
      <c r="S154" s="99">
        <f>IFERROR(__xludf.DUMMYFUNCTION("""COMPUTED_VALUE"""),57720.0)</f>
        <v>57720</v>
      </c>
    </row>
    <row r="155">
      <c r="A155" s="96">
        <f>IFERROR(__xludf.DUMMYFUNCTION("""COMPUTED_VALUE"""),7.0)</f>
        <v>7</v>
      </c>
      <c r="B155" s="98">
        <f>IFERROR(__xludf.DUMMYFUNCTION("""COMPUTED_VALUE"""),44047.0)</f>
        <v>44047</v>
      </c>
      <c r="C155" s="96" t="str">
        <f>IFERROR(__xludf.DUMMYFUNCTION("""COMPUTED_VALUE""")," MAXWELL AGRO")</f>
        <v> MAXWELL AGRO</v>
      </c>
      <c r="D155" s="96" t="str">
        <f>IFERROR(__xludf.DUMMYFUNCTION("""COMPUTED_VALUE""")," MAXWELL AGRO7")</f>
        <v> MAXWELL AGRO7</v>
      </c>
      <c r="E155" s="96">
        <f>IFERROR(__xludf.DUMMYFUNCTION("""COMPUTED_VALUE"""),605.0)</f>
        <v>605</v>
      </c>
      <c r="F155" s="96">
        <f>IFERROR(__xludf.DUMMYFUNCTION("""COMPUTED_VALUE"""),80.0)</f>
        <v>80</v>
      </c>
      <c r="G155" s="96"/>
      <c r="H155" s="96">
        <f>IFERROR(__xludf.DUMMYFUNCTION("""COMPUTED_VALUE"""),10.0)</f>
        <v>10</v>
      </c>
      <c r="I155" s="96">
        <f>IFERROR(__xludf.DUMMYFUNCTION("""COMPUTED_VALUE"""),2.0)</f>
        <v>2</v>
      </c>
      <c r="J155" s="96">
        <f>IFERROR(__xludf.DUMMYFUNCTION("""COMPUTED_VALUE"""),761.31)</f>
        <v>761.31</v>
      </c>
      <c r="K155" s="96"/>
      <c r="L155" s="99">
        <f>IFERROR(__xludf.DUMMYFUNCTION("""COMPUTED_VALUE"""),-454500.0)</f>
        <v>-454500</v>
      </c>
      <c r="M155" s="96">
        <f>IFERROR(__xludf.DUMMYFUNCTION("""COMPUTED_VALUE"""),8.0)</f>
        <v>8</v>
      </c>
      <c r="N155" s="96">
        <f>IFERROR(__xludf.DUMMYFUNCTION("""COMPUTED_VALUE"""),0.0)</f>
        <v>0</v>
      </c>
      <c r="O155" s="96">
        <f>IFERROR(__xludf.DUMMYFUNCTION("""COMPUTED_VALUE"""),9.0)</f>
        <v>9</v>
      </c>
      <c r="P155" s="96">
        <f>IFERROR(__xludf.DUMMYFUNCTION("""COMPUTED_VALUE"""),30.0)</f>
        <v>30</v>
      </c>
      <c r="Q155" s="129">
        <f>IFERROR(__xludf.DUMMYFUNCTION("""COMPUTED_VALUE"""),597.0)</f>
        <v>597</v>
      </c>
      <c r="R155" s="99">
        <f>IFERROR(__xludf.DUMMYFUNCTION("""COMPUTED_VALUE"""),454500.0)</f>
        <v>454500</v>
      </c>
      <c r="S155" s="99">
        <f>IFERROR(__xludf.DUMMYFUNCTION("""COMPUTED_VALUE"""),528320.0)</f>
        <v>528320</v>
      </c>
    </row>
    <row r="156">
      <c r="A156" s="96">
        <f>IFERROR(__xludf.DUMMYFUNCTION("""COMPUTED_VALUE"""),7.0)</f>
        <v>7</v>
      </c>
      <c r="B156" s="98">
        <f>IFERROR(__xludf.DUMMYFUNCTION("""COMPUTED_VALUE"""),44034.0)</f>
        <v>44034</v>
      </c>
      <c r="C156" s="96" t="str">
        <f>IFERROR(__xludf.DUMMYFUNCTION("""COMPUTED_VALUE"""),"NDOMA BODE I.D")</f>
        <v>NDOMA BODE I.D</v>
      </c>
      <c r="D156" s="96" t="str">
        <f>IFERROR(__xludf.DUMMYFUNCTION("""COMPUTED_VALUE"""),"NDOMA BODE I.D7")</f>
        <v>NDOMA BODE I.D7</v>
      </c>
      <c r="E156" s="96">
        <f>IFERROR(__xludf.DUMMYFUNCTION("""COMPUTED_VALUE"""),256.0)</f>
        <v>256</v>
      </c>
      <c r="F156" s="96">
        <f>IFERROR(__xludf.DUMMYFUNCTION("""COMPUTED_VALUE"""),32.0)</f>
        <v>32</v>
      </c>
      <c r="G156" s="96"/>
      <c r="H156" s="96">
        <f>IFERROR(__xludf.DUMMYFUNCTION("""COMPUTED_VALUE"""),4.0)</f>
        <v>4</v>
      </c>
      <c r="I156" s="96">
        <f>IFERROR(__xludf.DUMMYFUNCTION("""COMPUTED_VALUE"""),0.0)</f>
        <v>0</v>
      </c>
      <c r="J156" s="96">
        <f>IFERROR(__xludf.DUMMYFUNCTION("""COMPUTED_VALUE"""),780.0)</f>
        <v>780</v>
      </c>
      <c r="K156" s="96"/>
      <c r="L156" s="99">
        <f>IFERROR(__xludf.DUMMYFUNCTION("""COMPUTED_VALUE"""),-196560.0)</f>
        <v>-196560</v>
      </c>
      <c r="M156" s="96">
        <f>IFERROR(__xludf.DUMMYFUNCTION("""COMPUTED_VALUE"""),8.0)</f>
        <v>8</v>
      </c>
      <c r="N156" s="96">
        <f>IFERROR(__xludf.DUMMYFUNCTION("""COMPUTED_VALUE"""),0.0)</f>
        <v>0</v>
      </c>
      <c r="O156" s="96">
        <f>IFERROR(__xludf.DUMMYFUNCTION("""COMPUTED_VALUE"""),4.0)</f>
        <v>4</v>
      </c>
      <c r="P156" s="96">
        <f>IFERROR(__xludf.DUMMYFUNCTION("""COMPUTED_VALUE"""),0.0)</f>
        <v>0</v>
      </c>
      <c r="Q156" s="129">
        <f>IFERROR(__xludf.DUMMYFUNCTION("""COMPUTED_VALUE"""),252.0)</f>
        <v>252</v>
      </c>
      <c r="R156" s="99">
        <f>IFERROR(__xludf.DUMMYFUNCTION("""COMPUTED_VALUE"""),196560.0)</f>
        <v>196560</v>
      </c>
      <c r="S156" s="99">
        <f>IFERROR(__xludf.DUMMYFUNCTION("""COMPUTED_VALUE"""),1003440.0)</f>
        <v>1003440</v>
      </c>
    </row>
    <row r="157">
      <c r="A157" s="96">
        <f>IFERROR(__xludf.DUMMYFUNCTION("""COMPUTED_VALUE"""),5.0)</f>
        <v>5</v>
      </c>
      <c r="B157" s="98">
        <f>IFERROR(__xludf.DUMMYFUNCTION("""COMPUTED_VALUE"""),44036.0)</f>
        <v>44036</v>
      </c>
      <c r="C157" s="96" t="str">
        <f>IFERROR(__xludf.DUMMYFUNCTION("""COMPUTED_VALUE"""),"JAMES AKAN")</f>
        <v>JAMES AKAN</v>
      </c>
      <c r="D157" s="96" t="str">
        <f>IFERROR(__xludf.DUMMYFUNCTION("""COMPUTED_VALUE"""),"JAMES AKAN5")</f>
        <v>JAMES AKAN5</v>
      </c>
      <c r="E157" s="96">
        <f>IFERROR(__xludf.DUMMYFUNCTION("""COMPUTED_VALUE"""),198.0)</f>
        <v>198</v>
      </c>
      <c r="F157" s="96">
        <f>IFERROR(__xludf.DUMMYFUNCTION("""COMPUTED_VALUE"""),24.0)</f>
        <v>24</v>
      </c>
      <c r="G157" s="96"/>
      <c r="H157" s="96">
        <f>IFERROR(__xludf.DUMMYFUNCTION("""COMPUTED_VALUE"""),3.0)</f>
        <v>3</v>
      </c>
      <c r="I157" s="96">
        <f>IFERROR(__xludf.DUMMYFUNCTION("""COMPUTED_VALUE"""),0.0)</f>
        <v>0</v>
      </c>
      <c r="J157" s="96">
        <f>IFERROR(__xludf.DUMMYFUNCTION("""COMPUTED_VALUE"""),780.0)</f>
        <v>780</v>
      </c>
      <c r="K157" s="96"/>
      <c r="L157" s="99">
        <f>IFERROR(__xludf.DUMMYFUNCTION("""COMPUTED_VALUE"""),-152100.0)</f>
        <v>-152100</v>
      </c>
      <c r="M157" s="96">
        <f>IFERROR(__xludf.DUMMYFUNCTION("""COMPUTED_VALUE"""),8.0)</f>
        <v>8</v>
      </c>
      <c r="N157" s="96">
        <f>IFERROR(__xludf.DUMMYFUNCTION("""COMPUTED_VALUE"""),0.0)</f>
        <v>0</v>
      </c>
      <c r="O157" s="96">
        <f>IFERROR(__xludf.DUMMYFUNCTION("""COMPUTED_VALUE"""),3.0)</f>
        <v>3</v>
      </c>
      <c r="P157" s="96">
        <f>IFERROR(__xludf.DUMMYFUNCTION("""COMPUTED_VALUE"""),6.0)</f>
        <v>6</v>
      </c>
      <c r="Q157" s="129">
        <f>IFERROR(__xludf.DUMMYFUNCTION("""COMPUTED_VALUE"""),195.0)</f>
        <v>195</v>
      </c>
      <c r="R157" s="99">
        <f>IFERROR(__xludf.DUMMYFUNCTION("""COMPUTED_VALUE"""),152100.0)</f>
        <v>152100</v>
      </c>
      <c r="S157" s="99">
        <f>IFERROR(__xludf.DUMMYFUNCTION("""COMPUTED_VALUE"""),607500.0)</f>
        <v>607500</v>
      </c>
    </row>
    <row r="158">
      <c r="A158" s="96">
        <f>IFERROR(__xludf.DUMMYFUNCTION("""COMPUTED_VALUE"""),2.0)</f>
        <v>2</v>
      </c>
      <c r="B158" s="98">
        <f>IFERROR(__xludf.DUMMYFUNCTION("""COMPUTED_VALUE"""),44040.0)</f>
        <v>44040</v>
      </c>
      <c r="C158" s="96" t="str">
        <f>IFERROR(__xludf.DUMMYFUNCTION("""COMPUTED_VALUE"""),"MAXWELL AGRO OBI")</f>
        <v>MAXWELL AGRO OBI</v>
      </c>
      <c r="D158" s="96" t="str">
        <f>IFERROR(__xludf.DUMMYFUNCTION("""COMPUTED_VALUE"""),"MAXWELL AGRO OBI2")</f>
        <v>MAXWELL AGRO OBI2</v>
      </c>
      <c r="E158" s="96">
        <f>IFERROR(__xludf.DUMMYFUNCTION("""COMPUTED_VALUE"""),65.0)</f>
        <v>65</v>
      </c>
      <c r="F158" s="96">
        <f>IFERROR(__xludf.DUMMYFUNCTION("""COMPUTED_VALUE"""),8.0)</f>
        <v>8</v>
      </c>
      <c r="G158" s="96"/>
      <c r="H158" s="96">
        <f>IFERROR(__xludf.DUMMYFUNCTION("""COMPUTED_VALUE"""),1.0)</f>
        <v>1</v>
      </c>
      <c r="I158" s="96">
        <f>IFERROR(__xludf.DUMMYFUNCTION("""COMPUTED_VALUE"""),0.0)</f>
        <v>0</v>
      </c>
      <c r="J158" s="96">
        <f>IFERROR(__xludf.DUMMYFUNCTION("""COMPUTED_VALUE"""),780.0)</f>
        <v>780</v>
      </c>
      <c r="K158" s="96"/>
      <c r="L158" s="99">
        <f>IFERROR(__xludf.DUMMYFUNCTION("""COMPUTED_VALUE"""),-49920.0)</f>
        <v>-49920</v>
      </c>
      <c r="M158" s="96">
        <f>IFERROR(__xludf.DUMMYFUNCTION("""COMPUTED_VALUE"""),8.0)</f>
        <v>8</v>
      </c>
      <c r="N158" s="96">
        <f>IFERROR(__xludf.DUMMYFUNCTION("""COMPUTED_VALUE"""),0.0)</f>
        <v>0</v>
      </c>
      <c r="O158" s="96">
        <f>IFERROR(__xludf.DUMMYFUNCTION("""COMPUTED_VALUE"""),1.0)</f>
        <v>1</v>
      </c>
      <c r="P158" s="96">
        <f>IFERROR(__xludf.DUMMYFUNCTION("""COMPUTED_VALUE"""),0.0)</f>
        <v>0</v>
      </c>
      <c r="Q158" s="129">
        <f>IFERROR(__xludf.DUMMYFUNCTION("""COMPUTED_VALUE"""),64.0)</f>
        <v>64</v>
      </c>
      <c r="R158" s="99">
        <f>IFERROR(__xludf.DUMMYFUNCTION("""COMPUTED_VALUE"""),49920.0)</f>
        <v>49920</v>
      </c>
      <c r="S158" s="99">
        <f>IFERROR(__xludf.DUMMYFUNCTION("""COMPUTED_VALUE"""),450080.0)</f>
        <v>450080</v>
      </c>
    </row>
    <row r="159">
      <c r="A159" s="96">
        <f>IFERROR(__xludf.DUMMYFUNCTION("""COMPUTED_VALUE"""),4.0)</f>
        <v>4</v>
      </c>
      <c r="B159" s="98">
        <f>IFERROR(__xludf.DUMMYFUNCTION("""COMPUTED_VALUE"""),44037.0)</f>
        <v>44037</v>
      </c>
      <c r="C159" s="96" t="str">
        <f>IFERROR(__xludf.DUMMYFUNCTION("""COMPUTED_VALUE"""),"REMMY BODES")</f>
        <v>REMMY BODES</v>
      </c>
      <c r="D159" s="96" t="str">
        <f>IFERROR(__xludf.DUMMYFUNCTION("""COMPUTED_VALUE"""),"REMMY BODES4")</f>
        <v>REMMY BODES4</v>
      </c>
      <c r="E159" s="96">
        <f>IFERROR(__xludf.DUMMYFUNCTION("""COMPUTED_VALUE"""),125.0)</f>
        <v>125</v>
      </c>
      <c r="F159" s="96">
        <f>IFERROR(__xludf.DUMMYFUNCTION("""COMPUTED_VALUE"""),16.0)</f>
        <v>16</v>
      </c>
      <c r="G159" s="96"/>
      <c r="H159" s="96">
        <f>IFERROR(__xludf.DUMMYFUNCTION("""COMPUTED_VALUE"""),2.0)</f>
        <v>2</v>
      </c>
      <c r="I159" s="96">
        <f>IFERROR(__xludf.DUMMYFUNCTION("""COMPUTED_VALUE"""),0.0)</f>
        <v>0</v>
      </c>
      <c r="J159" s="96">
        <f>IFERROR(__xludf.DUMMYFUNCTION("""COMPUTED_VALUE"""),780.0)</f>
        <v>780</v>
      </c>
      <c r="K159" s="96"/>
      <c r="L159" s="99">
        <f>IFERROR(__xludf.DUMMYFUNCTION("""COMPUTED_VALUE"""),-95940.0)</f>
        <v>-95940</v>
      </c>
      <c r="M159" s="96">
        <f>IFERROR(__xludf.DUMMYFUNCTION("""COMPUTED_VALUE"""),8.0)</f>
        <v>8</v>
      </c>
      <c r="N159" s="96">
        <f>IFERROR(__xludf.DUMMYFUNCTION("""COMPUTED_VALUE"""),0.0)</f>
        <v>0</v>
      </c>
      <c r="O159" s="96">
        <f>IFERROR(__xludf.DUMMYFUNCTION("""COMPUTED_VALUE"""),1.0)</f>
        <v>1</v>
      </c>
      <c r="P159" s="96">
        <f>IFERROR(__xludf.DUMMYFUNCTION("""COMPUTED_VALUE"""),60.0)</f>
        <v>60</v>
      </c>
      <c r="Q159" s="129">
        <f>IFERROR(__xludf.DUMMYFUNCTION("""COMPUTED_VALUE"""),123.0)</f>
        <v>123</v>
      </c>
      <c r="R159" s="99">
        <f>IFERROR(__xludf.DUMMYFUNCTION("""COMPUTED_VALUE"""),95940.0)</f>
        <v>95940</v>
      </c>
      <c r="S159" s="99">
        <f>IFERROR(__xludf.DUMMYFUNCTION("""COMPUTED_VALUE"""),924060.0)</f>
        <v>924060</v>
      </c>
    </row>
    <row r="160">
      <c r="A160" s="96">
        <f>IFERROR(__xludf.DUMMYFUNCTION("""COMPUTED_VALUE"""),8.0)</f>
        <v>8</v>
      </c>
      <c r="B160" s="98">
        <f>IFERROR(__xludf.DUMMYFUNCTION("""COMPUTED_VALUE"""),44039.0)</f>
        <v>44039</v>
      </c>
      <c r="C160" s="96" t="str">
        <f>IFERROR(__xludf.DUMMYFUNCTION("""COMPUTED_VALUE"""),"NDOMA BODE I.D")</f>
        <v>NDOMA BODE I.D</v>
      </c>
      <c r="D160" s="96" t="str">
        <f>IFERROR(__xludf.DUMMYFUNCTION("""COMPUTED_VALUE"""),"NDOMA BODE I.D8")</f>
        <v>NDOMA BODE I.D8</v>
      </c>
      <c r="E160" s="96">
        <f>IFERROR(__xludf.DUMMYFUNCTION("""COMPUTED_VALUE"""),389.0)</f>
        <v>389</v>
      </c>
      <c r="F160" s="96">
        <f>IFERROR(__xludf.DUMMYFUNCTION("""COMPUTED_VALUE"""),41.0)</f>
        <v>41</v>
      </c>
      <c r="G160" s="96"/>
      <c r="H160" s="96">
        <f>IFERROR(__xludf.DUMMYFUNCTION("""COMPUTED_VALUE"""),5.0)</f>
        <v>5</v>
      </c>
      <c r="I160" s="96">
        <f>IFERROR(__xludf.DUMMYFUNCTION("""COMPUTED_VALUE"""),0.0)</f>
        <v>0</v>
      </c>
      <c r="J160" s="96">
        <f>IFERROR(__xludf.DUMMYFUNCTION("""COMPUTED_VALUE"""),780.0)</f>
        <v>780</v>
      </c>
      <c r="K160" s="96"/>
      <c r="L160" s="99">
        <f>IFERROR(__xludf.DUMMYFUNCTION("""COMPUTED_VALUE"""),-298740.0)</f>
        <v>-298740</v>
      </c>
      <c r="M160" s="96">
        <f>IFERROR(__xludf.DUMMYFUNCTION("""COMPUTED_VALUE"""),8.2)</f>
        <v>8.2</v>
      </c>
      <c r="N160" s="96">
        <f>IFERROR(__xludf.DUMMYFUNCTION("""COMPUTED_VALUE"""),1.0)</f>
        <v>1</v>
      </c>
      <c r="O160" s="96">
        <f>IFERROR(__xludf.DUMMYFUNCTION("""COMPUTED_VALUE"""),6.0)</f>
        <v>6</v>
      </c>
      <c r="P160" s="96">
        <f>IFERROR(__xludf.DUMMYFUNCTION("""COMPUTED_VALUE"""),4.0)</f>
        <v>4</v>
      </c>
      <c r="Q160" s="129">
        <f>IFERROR(__xludf.DUMMYFUNCTION("""COMPUTED_VALUE"""),383.0)</f>
        <v>383</v>
      </c>
      <c r="R160" s="99">
        <f>IFERROR(__xludf.DUMMYFUNCTION("""COMPUTED_VALUE"""),298740.0)</f>
        <v>298740</v>
      </c>
      <c r="S160" s="99">
        <f>IFERROR(__xludf.DUMMYFUNCTION("""COMPUTED_VALUE"""),704700.0)</f>
        <v>704700</v>
      </c>
    </row>
    <row r="161">
      <c r="A161" s="96">
        <f>IFERROR(__xludf.DUMMYFUNCTION("""COMPUTED_VALUE"""),3.0)</f>
        <v>3</v>
      </c>
      <c r="B161" s="98">
        <f>IFERROR(__xludf.DUMMYFUNCTION("""COMPUTED_VALUE"""),44039.0)</f>
        <v>44039</v>
      </c>
      <c r="C161" s="96" t="str">
        <f>IFERROR(__xludf.DUMMYFUNCTION("""COMPUTED_VALUE"""),"BOSURU  BOSURU")</f>
        <v>BOSURU  BOSURU</v>
      </c>
      <c r="D161" s="96" t="str">
        <f>IFERROR(__xludf.DUMMYFUNCTION("""COMPUTED_VALUE"""),"BOSURU  BOSURU3")</f>
        <v>BOSURU  BOSURU3</v>
      </c>
      <c r="E161" s="96">
        <f>IFERROR(__xludf.DUMMYFUNCTION("""COMPUTED_VALUE"""),222.0)</f>
        <v>222</v>
      </c>
      <c r="F161" s="96">
        <f>IFERROR(__xludf.DUMMYFUNCTION("""COMPUTED_VALUE"""),24.0)</f>
        <v>24</v>
      </c>
      <c r="G161" s="96"/>
      <c r="H161" s="96">
        <f>IFERROR(__xludf.DUMMYFUNCTION("""COMPUTED_VALUE"""),3.0)</f>
        <v>3</v>
      </c>
      <c r="I161" s="96"/>
      <c r="J161" s="96">
        <f>IFERROR(__xludf.DUMMYFUNCTION("""COMPUTED_VALUE"""),780.0)</f>
        <v>780</v>
      </c>
      <c r="K161" s="96"/>
      <c r="L161" s="99">
        <f>IFERROR(__xludf.DUMMYFUNCTION("""COMPUTED_VALUE"""),-170820.0)</f>
        <v>-170820</v>
      </c>
      <c r="M161" s="96">
        <f>IFERROR(__xludf.DUMMYFUNCTION("""COMPUTED_VALUE"""),8.0)</f>
        <v>8</v>
      </c>
      <c r="N161" s="96">
        <f>IFERROR(__xludf.DUMMYFUNCTION("""COMPUTED_VALUE"""),0.0)</f>
        <v>0</v>
      </c>
      <c r="O161" s="96">
        <f>IFERROR(__xludf.DUMMYFUNCTION("""COMPUTED_VALUE"""),3.0)</f>
        <v>3</v>
      </c>
      <c r="P161" s="96">
        <f>IFERROR(__xludf.DUMMYFUNCTION("""COMPUTED_VALUE"""),30.0)</f>
        <v>30</v>
      </c>
      <c r="Q161" s="129">
        <f>IFERROR(__xludf.DUMMYFUNCTION("""COMPUTED_VALUE"""),219.0)</f>
        <v>219</v>
      </c>
      <c r="R161" s="99">
        <f>IFERROR(__xludf.DUMMYFUNCTION("""COMPUTED_VALUE"""),170820.0)</f>
        <v>170820</v>
      </c>
      <c r="S161" s="99">
        <f>IFERROR(__xludf.DUMMYFUNCTION("""COMPUTED_VALUE"""),1029180.0)</f>
        <v>1029180</v>
      </c>
    </row>
    <row r="162">
      <c r="A162" s="96">
        <f>IFERROR(__xludf.DUMMYFUNCTION("""COMPUTED_VALUE"""),3.0)</f>
        <v>3</v>
      </c>
      <c r="B162" s="98">
        <f>IFERROR(__xludf.DUMMYFUNCTION("""COMPUTED_VALUE"""),44039.0)</f>
        <v>44039</v>
      </c>
      <c r="C162" s="96" t="str">
        <f>IFERROR(__xludf.DUMMYFUNCTION("""COMPUTED_VALUE"""),"PRINNESS")</f>
        <v>PRINNESS</v>
      </c>
      <c r="D162" s="96" t="str">
        <f>IFERROR(__xludf.DUMMYFUNCTION("""COMPUTED_VALUE"""),"PRINNESS3")</f>
        <v>PRINNESS3</v>
      </c>
      <c r="E162" s="96">
        <f>IFERROR(__xludf.DUMMYFUNCTION("""COMPUTED_VALUE"""),114.0)</f>
        <v>114</v>
      </c>
      <c r="F162" s="96">
        <f>IFERROR(__xludf.DUMMYFUNCTION("""COMPUTED_VALUE"""),21.0)</f>
        <v>21</v>
      </c>
      <c r="G162" s="96"/>
      <c r="H162" s="96">
        <f>IFERROR(__xludf.DUMMYFUNCTION("""COMPUTED_VALUE"""),2.0)</f>
        <v>2</v>
      </c>
      <c r="I162" s="96"/>
      <c r="J162" s="96">
        <f>IFERROR(__xludf.DUMMYFUNCTION("""COMPUTED_VALUE"""),780.0)</f>
        <v>780</v>
      </c>
      <c r="K162" s="96"/>
      <c r="L162" s="99">
        <f>IFERROR(__xludf.DUMMYFUNCTION("""COMPUTED_VALUE"""),-85020.0)</f>
        <v>-85020</v>
      </c>
      <c r="M162" s="96">
        <f>IFERROR(__xludf.DUMMYFUNCTION("""COMPUTED_VALUE"""),10.5)</f>
        <v>10.5</v>
      </c>
      <c r="N162" s="96">
        <f>IFERROR(__xludf.DUMMYFUNCTION("""COMPUTED_VALUE"""),3.0)</f>
        <v>3</v>
      </c>
      <c r="O162" s="96">
        <f>IFERROR(__xludf.DUMMYFUNCTION("""COMPUTED_VALUE"""),1.0)</f>
        <v>1</v>
      </c>
      <c r="P162" s="96">
        <f>IFERROR(__xludf.DUMMYFUNCTION("""COMPUTED_VALUE"""),46.0)</f>
        <v>46</v>
      </c>
      <c r="Q162" s="129">
        <f>IFERROR(__xludf.DUMMYFUNCTION("""COMPUTED_VALUE"""),109.0)</f>
        <v>109</v>
      </c>
      <c r="R162" s="99">
        <f>IFERROR(__xludf.DUMMYFUNCTION("""COMPUTED_VALUE"""),85020.0)</f>
        <v>85020</v>
      </c>
      <c r="S162" s="99">
        <f>IFERROR(__xludf.DUMMYFUNCTION("""COMPUTED_VALUE"""),414980.0)</f>
        <v>414980</v>
      </c>
    </row>
    <row r="163">
      <c r="A163" s="96">
        <f>IFERROR(__xludf.DUMMYFUNCTION("""COMPUTED_VALUE"""),6.0)</f>
        <v>6</v>
      </c>
      <c r="B163" s="98">
        <f>IFERROR(__xludf.DUMMYFUNCTION("""COMPUTED_VALUE"""),44041.0)</f>
        <v>44041</v>
      </c>
      <c r="C163" s="96" t="str">
        <f>IFERROR(__xludf.DUMMYFUNCTION("""COMPUTED_VALUE"""),"JAMES AKAN")</f>
        <v>JAMES AKAN</v>
      </c>
      <c r="D163" s="96" t="str">
        <f>IFERROR(__xludf.DUMMYFUNCTION("""COMPUTED_VALUE"""),"JAMES AKAN6")</f>
        <v>JAMES AKAN6</v>
      </c>
      <c r="E163" s="96">
        <f>IFERROR(__xludf.DUMMYFUNCTION("""COMPUTED_VALUE"""),193.0)</f>
        <v>193</v>
      </c>
      <c r="F163" s="96">
        <f>IFERROR(__xludf.DUMMYFUNCTION("""COMPUTED_VALUE"""),24.0)</f>
        <v>24</v>
      </c>
      <c r="G163" s="96"/>
      <c r="H163" s="96">
        <f>IFERROR(__xludf.DUMMYFUNCTION("""COMPUTED_VALUE"""),3.0)</f>
        <v>3</v>
      </c>
      <c r="I163" s="96"/>
      <c r="J163" s="96">
        <f>IFERROR(__xludf.DUMMYFUNCTION("""COMPUTED_VALUE"""),780.0)</f>
        <v>780</v>
      </c>
      <c r="K163" s="96"/>
      <c r="L163" s="99">
        <f>IFERROR(__xludf.DUMMYFUNCTION("""COMPUTED_VALUE"""),-148200.0)</f>
        <v>-148200</v>
      </c>
      <c r="M163" s="96">
        <f>IFERROR(__xludf.DUMMYFUNCTION("""COMPUTED_VALUE"""),8.0)</f>
        <v>8</v>
      </c>
      <c r="N163" s="96">
        <f>IFERROR(__xludf.DUMMYFUNCTION("""COMPUTED_VALUE"""),0.0)</f>
        <v>0</v>
      </c>
      <c r="O163" s="96">
        <f>IFERROR(__xludf.DUMMYFUNCTION("""COMPUTED_VALUE"""),3.0)</f>
        <v>3</v>
      </c>
      <c r="P163" s="96">
        <f>IFERROR(__xludf.DUMMYFUNCTION("""COMPUTED_VALUE"""),0.0)</f>
        <v>0</v>
      </c>
      <c r="Q163" s="129">
        <f>IFERROR(__xludf.DUMMYFUNCTION("""COMPUTED_VALUE"""),190.0)</f>
        <v>190</v>
      </c>
      <c r="R163" s="99">
        <f>IFERROR(__xludf.DUMMYFUNCTION("""COMPUTED_VALUE"""),148200.0)</f>
        <v>148200</v>
      </c>
      <c r="S163" s="99">
        <f>IFERROR(__xludf.DUMMYFUNCTION("""COMPUTED_VALUE"""),459300.0)</f>
        <v>459300</v>
      </c>
    </row>
    <row r="164">
      <c r="A164" s="96">
        <f>IFERROR(__xludf.DUMMYFUNCTION("""COMPUTED_VALUE"""),9.0)</f>
        <v>9</v>
      </c>
      <c r="B164" s="98">
        <f>IFERROR(__xludf.DUMMYFUNCTION("""COMPUTED_VALUE"""),44045.0)</f>
        <v>44045</v>
      </c>
      <c r="C164" s="96" t="str">
        <f>IFERROR(__xludf.DUMMYFUNCTION("""COMPUTED_VALUE"""),"NDOMA BODE I.D")</f>
        <v>NDOMA BODE I.D</v>
      </c>
      <c r="D164" s="96" t="str">
        <f>IFERROR(__xludf.DUMMYFUNCTION("""COMPUTED_VALUE"""),"NDOMA BODE I.D9")</f>
        <v>NDOMA BODE I.D9</v>
      </c>
      <c r="E164" s="96">
        <f>IFERROR(__xludf.DUMMYFUNCTION("""COMPUTED_VALUE"""),192.0)</f>
        <v>192</v>
      </c>
      <c r="F164" s="96">
        <f>IFERROR(__xludf.DUMMYFUNCTION("""COMPUTED_VALUE"""),24.0)</f>
        <v>24</v>
      </c>
      <c r="G164" s="96"/>
      <c r="H164" s="96">
        <f>IFERROR(__xludf.DUMMYFUNCTION("""COMPUTED_VALUE"""),3.0)</f>
        <v>3</v>
      </c>
      <c r="I164" s="96"/>
      <c r="J164" s="96">
        <f>IFERROR(__xludf.DUMMYFUNCTION("""COMPUTED_VALUE"""),780.0)</f>
        <v>780</v>
      </c>
      <c r="K164" s="96"/>
      <c r="L164" s="99">
        <f>IFERROR(__xludf.DUMMYFUNCTION("""COMPUTED_VALUE"""),-147420.0)</f>
        <v>-147420</v>
      </c>
      <c r="M164" s="96">
        <f>IFERROR(__xludf.DUMMYFUNCTION("""COMPUTED_VALUE"""),8.0)</f>
        <v>8</v>
      </c>
      <c r="N164" s="96">
        <f>IFERROR(__xludf.DUMMYFUNCTION("""COMPUTED_VALUE"""),0.0)</f>
        <v>0</v>
      </c>
      <c r="O164" s="96">
        <f>IFERROR(__xludf.DUMMYFUNCTION("""COMPUTED_VALUE"""),3.0)</f>
        <v>3</v>
      </c>
      <c r="P164" s="96">
        <f>IFERROR(__xludf.DUMMYFUNCTION("""COMPUTED_VALUE"""),0.0)</f>
        <v>0</v>
      </c>
      <c r="Q164" s="129">
        <f>IFERROR(__xludf.DUMMYFUNCTION("""COMPUTED_VALUE"""),189.0)</f>
        <v>189</v>
      </c>
      <c r="R164" s="99">
        <f>IFERROR(__xludf.DUMMYFUNCTION("""COMPUTED_VALUE"""),147420.0)</f>
        <v>147420</v>
      </c>
      <c r="S164" s="99">
        <f>IFERROR(__xludf.DUMMYFUNCTION("""COMPUTED_VALUE"""),557280.0)</f>
        <v>557280</v>
      </c>
    </row>
    <row r="165">
      <c r="A165" s="96">
        <f>IFERROR(__xludf.DUMMYFUNCTION("""COMPUTED_VALUE"""),7.0)</f>
        <v>7</v>
      </c>
      <c r="B165" s="98">
        <f>IFERROR(__xludf.DUMMYFUNCTION("""COMPUTED_VALUE"""),44078.0)</f>
        <v>44078</v>
      </c>
      <c r="C165" s="96" t="str">
        <f>IFERROR(__xludf.DUMMYFUNCTION("""COMPUTED_VALUE"""),"JAMES AKAN")</f>
        <v>JAMES AKAN</v>
      </c>
      <c r="D165" s="96" t="str">
        <f>IFERROR(__xludf.DUMMYFUNCTION("""COMPUTED_VALUE"""),"JAMES AKAN7")</f>
        <v>JAMES AKAN7</v>
      </c>
      <c r="E165" s="96">
        <f>IFERROR(__xludf.DUMMYFUNCTION("""COMPUTED_VALUE"""),367.0)</f>
        <v>367</v>
      </c>
      <c r="F165" s="96">
        <f>IFERROR(__xludf.DUMMYFUNCTION("""COMPUTED_VALUE"""),43.0)</f>
        <v>43</v>
      </c>
      <c r="G165" s="96"/>
      <c r="H165" s="96">
        <f>IFERROR(__xludf.DUMMYFUNCTION("""COMPUTED_VALUE"""),5.0)</f>
        <v>5</v>
      </c>
      <c r="I165" s="96">
        <f>IFERROR(__xludf.DUMMYFUNCTION("""COMPUTED_VALUE"""),0.0)</f>
        <v>0</v>
      </c>
      <c r="J165" s="96">
        <f>IFERROR(__xludf.DUMMYFUNCTION("""COMPUTED_VALUE"""),780.0)</f>
        <v>780</v>
      </c>
      <c r="K165" s="96"/>
      <c r="L165" s="99">
        <f>IFERROR(__xludf.DUMMYFUNCTION("""COMPUTED_VALUE"""),-280800.0)</f>
        <v>-280800</v>
      </c>
      <c r="M165" s="96">
        <f>IFERROR(__xludf.DUMMYFUNCTION("""COMPUTED_VALUE"""),8.6)</f>
        <v>8.6</v>
      </c>
      <c r="N165" s="96">
        <f>IFERROR(__xludf.DUMMYFUNCTION("""COMPUTED_VALUE"""),2.0)</f>
        <v>2</v>
      </c>
      <c r="O165" s="96">
        <f>IFERROR(__xludf.DUMMYFUNCTION("""COMPUTED_VALUE"""),5.0)</f>
        <v>5</v>
      </c>
      <c r="P165" s="96">
        <f>IFERROR(__xludf.DUMMYFUNCTION("""COMPUTED_VALUE"""),45.0)</f>
        <v>45</v>
      </c>
      <c r="Q165" s="129">
        <f>IFERROR(__xludf.DUMMYFUNCTION("""COMPUTED_VALUE"""),360.0)</f>
        <v>360</v>
      </c>
      <c r="R165" s="99">
        <f>IFERROR(__xludf.DUMMYFUNCTION("""COMPUTED_VALUE"""),280800.0)</f>
        <v>280800</v>
      </c>
      <c r="S165" s="99">
        <f>IFERROR(__xludf.DUMMYFUNCTION("""COMPUTED_VALUE"""),178500.0)</f>
        <v>178500</v>
      </c>
    </row>
    <row r="166">
      <c r="A166" s="96">
        <f>IFERROR(__xludf.DUMMYFUNCTION("""COMPUTED_VALUE"""),3.0)</f>
        <v>3</v>
      </c>
      <c r="B166" s="98">
        <f>IFERROR(__xludf.DUMMYFUNCTION("""COMPUTED_VALUE"""),44078.0)</f>
        <v>44078</v>
      </c>
      <c r="C166" s="96" t="str">
        <f>IFERROR(__xludf.DUMMYFUNCTION("""COMPUTED_VALUE"""),"MAXWELL AGRO OBI")</f>
        <v>MAXWELL AGRO OBI</v>
      </c>
      <c r="D166" s="96" t="str">
        <f>IFERROR(__xludf.DUMMYFUNCTION("""COMPUTED_VALUE"""),"MAXWELL AGRO OBI3")</f>
        <v>MAXWELL AGRO OBI3</v>
      </c>
      <c r="E166" s="96">
        <f>IFERROR(__xludf.DUMMYFUNCTION("""COMPUTED_VALUE"""),263.0)</f>
        <v>263</v>
      </c>
      <c r="F166" s="96">
        <f>IFERROR(__xludf.DUMMYFUNCTION("""COMPUTED_VALUE"""),43.5)</f>
        <v>43.5</v>
      </c>
      <c r="G166" s="96"/>
      <c r="H166" s="96">
        <f>IFERROR(__xludf.DUMMYFUNCTION("""COMPUTED_VALUE"""),4.0)</f>
        <v>4</v>
      </c>
      <c r="I166" s="96"/>
      <c r="J166" s="96">
        <f>IFERROR(__xludf.DUMMYFUNCTION("""COMPUTED_VALUE"""),780.0)</f>
        <v>780</v>
      </c>
      <c r="K166" s="96"/>
      <c r="L166" s="99">
        <f>IFERROR(__xludf.DUMMYFUNCTION("""COMPUTED_VALUE"""),-196560.0)</f>
        <v>-196560</v>
      </c>
      <c r="M166" s="96">
        <f>IFERROR(__xludf.DUMMYFUNCTION("""COMPUTED_VALUE"""),10.88)</f>
        <v>10.88</v>
      </c>
      <c r="N166" s="96">
        <f>IFERROR(__xludf.DUMMYFUNCTION("""COMPUTED_VALUE"""),7.0)</f>
        <v>7</v>
      </c>
      <c r="O166" s="96">
        <f>IFERROR(__xludf.DUMMYFUNCTION("""COMPUTED_VALUE"""),4.0)</f>
        <v>4</v>
      </c>
      <c r="P166" s="96">
        <f>IFERROR(__xludf.DUMMYFUNCTION("""COMPUTED_VALUE"""),0.0)</f>
        <v>0</v>
      </c>
      <c r="Q166" s="129">
        <f>IFERROR(__xludf.DUMMYFUNCTION("""COMPUTED_VALUE"""),252.0)</f>
        <v>252</v>
      </c>
      <c r="R166" s="99">
        <f>IFERROR(__xludf.DUMMYFUNCTION("""COMPUTED_VALUE"""),196560.0)</f>
        <v>196560</v>
      </c>
      <c r="S166" s="99">
        <f>IFERROR(__xludf.DUMMYFUNCTION("""COMPUTED_VALUE"""),253520.0)</f>
        <v>253520</v>
      </c>
    </row>
    <row r="167">
      <c r="A167" s="96">
        <f>IFERROR(__xludf.DUMMYFUNCTION("""COMPUTED_VALUE"""),13.0)</f>
        <v>13</v>
      </c>
      <c r="B167" s="98">
        <f>IFERROR(__xludf.DUMMYFUNCTION("""COMPUTED_VALUE"""),44078.0)</f>
        <v>44078</v>
      </c>
      <c r="C167" s="96" t="str">
        <f>IFERROR(__xludf.DUMMYFUNCTION("""COMPUTED_VALUE"""),"LYDIA HNSON ")</f>
        <v>LYDIA HNSON </v>
      </c>
      <c r="D167" s="96" t="str">
        <f>IFERROR(__xludf.DUMMYFUNCTION("""COMPUTED_VALUE"""),"LYDIA HNSON 13")</f>
        <v>LYDIA HNSON 13</v>
      </c>
      <c r="E167" s="96">
        <f>IFERROR(__xludf.DUMMYFUNCTION("""COMPUTED_VALUE"""),228.0)</f>
        <v>228</v>
      </c>
      <c r="F167" s="96">
        <f>IFERROR(__xludf.DUMMYFUNCTION("""COMPUTED_VALUE"""),32.0)</f>
        <v>32</v>
      </c>
      <c r="G167" s="96"/>
      <c r="H167" s="96">
        <f>IFERROR(__xludf.DUMMYFUNCTION("""COMPUTED_VALUE"""),4.0)</f>
        <v>4</v>
      </c>
      <c r="I167" s="96">
        <f>IFERROR(__xludf.DUMMYFUNCTION("""COMPUTED_VALUE"""),4.0)</f>
        <v>4</v>
      </c>
      <c r="J167" s="96">
        <f>IFERROR(__xludf.DUMMYFUNCTION("""COMPUTED_VALUE"""),800.0)</f>
        <v>800</v>
      </c>
      <c r="K167" s="96"/>
      <c r="L167" s="99">
        <f>IFERROR(__xludf.DUMMYFUNCTION("""COMPUTED_VALUE"""),-182400.0)</f>
        <v>-182400</v>
      </c>
      <c r="M167" s="96">
        <f>IFERROR(__xludf.DUMMYFUNCTION("""COMPUTED_VALUE"""),8.0)</f>
        <v>8</v>
      </c>
      <c r="N167" s="96">
        <f>IFERROR(__xludf.DUMMYFUNCTION("""COMPUTED_VALUE"""),0.0)</f>
        <v>0</v>
      </c>
      <c r="O167" s="96">
        <f>IFERROR(__xludf.DUMMYFUNCTION("""COMPUTED_VALUE"""),3.0)</f>
        <v>3</v>
      </c>
      <c r="P167" s="96">
        <f>IFERROR(__xludf.DUMMYFUNCTION("""COMPUTED_VALUE"""),39.0)</f>
        <v>39</v>
      </c>
      <c r="Q167" s="129">
        <f>IFERROR(__xludf.DUMMYFUNCTION("""COMPUTED_VALUE"""),228.0)</f>
        <v>228</v>
      </c>
      <c r="R167" s="99">
        <f>IFERROR(__xludf.DUMMYFUNCTION("""COMPUTED_VALUE"""),182400.0)</f>
        <v>182400</v>
      </c>
      <c r="S167" s="99">
        <f>IFERROR(__xludf.DUMMYFUNCTION("""COMPUTED_VALUE"""),3094560.0)</f>
        <v>3094560</v>
      </c>
    </row>
    <row r="168">
      <c r="A168" s="96">
        <f>IFERROR(__xludf.DUMMYFUNCTION("""COMPUTED_VALUE"""),2.0)</f>
        <v>2</v>
      </c>
      <c r="B168" s="98">
        <f>IFERROR(__xludf.DUMMYFUNCTION("""COMPUTED_VALUE"""),44078.0)</f>
        <v>44078</v>
      </c>
      <c r="C168" s="96" t="str">
        <f>IFERROR(__xludf.DUMMYFUNCTION("""COMPUTED_VALUE"""),"EUGENE")</f>
        <v>EUGENE</v>
      </c>
      <c r="D168" s="96" t="str">
        <f>IFERROR(__xludf.DUMMYFUNCTION("""COMPUTED_VALUE"""),"EUGENE2")</f>
        <v>EUGENE2</v>
      </c>
      <c r="E168" s="96">
        <f>IFERROR(__xludf.DUMMYFUNCTION("""COMPUTED_VALUE"""),384.0)</f>
        <v>384</v>
      </c>
      <c r="F168" s="96">
        <f>IFERROR(__xludf.DUMMYFUNCTION("""COMPUTED_VALUE"""),18.0)</f>
        <v>18</v>
      </c>
      <c r="G168" s="96"/>
      <c r="H168" s="96">
        <f>IFERROR(__xludf.DUMMYFUNCTION("""COMPUTED_VALUE"""),2.0)</f>
        <v>2</v>
      </c>
      <c r="I168" s="96">
        <f>IFERROR(__xludf.DUMMYFUNCTION("""COMPUTED_VALUE"""),0.0)</f>
        <v>0</v>
      </c>
      <c r="J168" s="96">
        <f>IFERROR(__xludf.DUMMYFUNCTION("""COMPUTED_VALUE"""),800.0)</f>
        <v>800</v>
      </c>
      <c r="K168" s="96"/>
      <c r="L168" s="99">
        <f>IFERROR(__xludf.DUMMYFUNCTION("""COMPUTED_VALUE"""),-302400.0)</f>
        <v>-302400</v>
      </c>
      <c r="M168" s="96">
        <f>IFERROR(__xludf.DUMMYFUNCTION("""COMPUTED_VALUE"""),9.0)</f>
        <v>9</v>
      </c>
      <c r="N168" s="96">
        <f>IFERROR(__xludf.DUMMYFUNCTION("""COMPUTED_VALUE"""),4.0)</f>
        <v>4</v>
      </c>
      <c r="O168" s="96">
        <f>IFERROR(__xludf.DUMMYFUNCTION("""COMPUTED_VALUE"""),6.0)</f>
        <v>6</v>
      </c>
      <c r="P168" s="96">
        <f>IFERROR(__xludf.DUMMYFUNCTION("""COMPUTED_VALUE"""),0.0)</f>
        <v>0</v>
      </c>
      <c r="Q168" s="129">
        <f>IFERROR(__xludf.DUMMYFUNCTION("""COMPUTED_VALUE"""),378.0)</f>
        <v>378</v>
      </c>
      <c r="R168" s="99">
        <f>IFERROR(__xludf.DUMMYFUNCTION("""COMPUTED_VALUE"""),302400.0)</f>
        <v>302400</v>
      </c>
      <c r="S168" s="99">
        <f>IFERROR(__xludf.DUMMYFUNCTION("""COMPUTED_VALUE"""),197600.0)</f>
        <v>197600</v>
      </c>
    </row>
    <row r="169">
      <c r="A169" s="96">
        <f>IFERROR(__xludf.DUMMYFUNCTION("""COMPUTED_VALUE"""),2.0)</f>
        <v>2</v>
      </c>
      <c r="B169" s="98">
        <f>IFERROR(__xludf.DUMMYFUNCTION("""COMPUTED_VALUE"""),44079.0)</f>
        <v>44079</v>
      </c>
      <c r="C169" s="96" t="str">
        <f>IFERROR(__xludf.DUMMYFUNCTION("""COMPUTED_VALUE"""),"EMMANUEL OKO ")</f>
        <v>EMMANUEL OKO </v>
      </c>
      <c r="D169" s="96" t="str">
        <f>IFERROR(__xludf.DUMMYFUNCTION("""COMPUTED_VALUE"""),"EMMANUEL OKO 2")</f>
        <v>EMMANUEL OKO 2</v>
      </c>
      <c r="E169" s="96">
        <f>IFERROR(__xludf.DUMMYFUNCTION("""COMPUTED_VALUE"""),189.0)</f>
        <v>189</v>
      </c>
      <c r="F169" s="96">
        <f>IFERROR(__xludf.DUMMYFUNCTION("""COMPUTED_VALUE"""),24.0)</f>
        <v>24</v>
      </c>
      <c r="G169" s="96"/>
      <c r="H169" s="96">
        <f>IFERROR(__xludf.DUMMYFUNCTION("""COMPUTED_VALUE"""),3.0)</f>
        <v>3</v>
      </c>
      <c r="I169" s="96">
        <f>IFERROR(__xludf.DUMMYFUNCTION("""COMPUTED_VALUE"""),3.0)</f>
        <v>3</v>
      </c>
      <c r="J169" s="96">
        <f>IFERROR(__xludf.DUMMYFUNCTION("""COMPUTED_VALUE"""),750.0)</f>
        <v>750</v>
      </c>
      <c r="K169" s="96"/>
      <c r="L169" s="99">
        <f>IFERROR(__xludf.DUMMYFUNCTION("""COMPUTED_VALUE"""),-141750.0)</f>
        <v>-141750</v>
      </c>
      <c r="M169" s="96">
        <f>IFERROR(__xludf.DUMMYFUNCTION("""COMPUTED_VALUE"""),8.0)</f>
        <v>8</v>
      </c>
      <c r="N169" s="96">
        <f>IFERROR(__xludf.DUMMYFUNCTION("""COMPUTED_VALUE"""),0.0)</f>
        <v>0</v>
      </c>
      <c r="O169" s="96">
        <f>IFERROR(__xludf.DUMMYFUNCTION("""COMPUTED_VALUE"""),3.0)</f>
        <v>3</v>
      </c>
      <c r="P169" s="96">
        <f>IFERROR(__xludf.DUMMYFUNCTION("""COMPUTED_VALUE"""),0.0)</f>
        <v>0</v>
      </c>
      <c r="Q169" s="129">
        <f>IFERROR(__xludf.DUMMYFUNCTION("""COMPUTED_VALUE"""),189.0)</f>
        <v>189</v>
      </c>
      <c r="R169" s="99">
        <f>IFERROR(__xludf.DUMMYFUNCTION("""COMPUTED_VALUE"""),141750.0)</f>
        <v>141750</v>
      </c>
      <c r="S169" s="99">
        <f>IFERROR(__xludf.DUMMYFUNCTION("""COMPUTED_VALUE"""),93250.0)</f>
        <v>93250</v>
      </c>
    </row>
    <row r="170">
      <c r="A170" s="96">
        <f>IFERROR(__xludf.DUMMYFUNCTION("""COMPUTED_VALUE"""),7.0)</f>
        <v>7</v>
      </c>
      <c r="B170" s="98">
        <f>IFERROR(__xludf.DUMMYFUNCTION("""COMPUTED_VALUE"""),44039.0)</f>
        <v>44039</v>
      </c>
      <c r="C170" s="96" t="str">
        <f>IFERROR(__xludf.DUMMYFUNCTION("""COMPUTED_VALUE"""),"CORNWELL")</f>
        <v>CORNWELL</v>
      </c>
      <c r="D170" s="96" t="str">
        <f>IFERROR(__xludf.DUMMYFUNCTION("""COMPUTED_VALUE"""),"CORNWELL7")</f>
        <v>CORNWELL7</v>
      </c>
      <c r="E170" s="96">
        <f>IFERROR(__xludf.DUMMYFUNCTION("""COMPUTED_VALUE"""),17903.0)</f>
        <v>17903</v>
      </c>
      <c r="F170" s="96">
        <f>IFERROR(__xludf.DUMMYFUNCTION("""COMPUTED_VALUE"""),1464.0)</f>
        <v>1464</v>
      </c>
      <c r="G170" s="96"/>
      <c r="H170" s="96">
        <f>IFERROR(__xludf.DUMMYFUNCTION("""COMPUTED_VALUE"""),183.0)</f>
        <v>183</v>
      </c>
      <c r="I170" s="96">
        <f>IFERROR(__xludf.DUMMYFUNCTION("""COMPUTED_VALUE"""),183.0)</f>
        <v>183</v>
      </c>
      <c r="J170" s="96">
        <f>IFERROR(__xludf.DUMMYFUNCTION("""COMPUTED_VALUE"""),762.44)</f>
        <v>762.44</v>
      </c>
      <c r="K170" s="96"/>
      <c r="L170" s="99">
        <f>IFERROR(__xludf.DUMMYFUNCTION("""COMPUTED_VALUE"""),-1.365E7)</f>
        <v>-13650000</v>
      </c>
      <c r="M170" s="96">
        <f>IFERROR(__xludf.DUMMYFUNCTION("""COMPUTED_VALUE"""),8.0)</f>
        <v>8</v>
      </c>
      <c r="N170" s="96">
        <f>IFERROR(__xludf.DUMMYFUNCTION("""COMPUTED_VALUE"""),0.0)</f>
        <v>0</v>
      </c>
      <c r="O170" s="96">
        <f>IFERROR(__xludf.DUMMYFUNCTION("""COMPUTED_VALUE"""),284.0)</f>
        <v>284</v>
      </c>
      <c r="P170" s="96">
        <f>IFERROR(__xludf.DUMMYFUNCTION("""COMPUTED_VALUE"""),11.0)</f>
        <v>11</v>
      </c>
      <c r="Q170" s="129">
        <f>IFERROR(__xludf.DUMMYFUNCTION("""COMPUTED_VALUE"""),17903.0)</f>
        <v>17903</v>
      </c>
      <c r="R170" s="99">
        <f>IFERROR(__xludf.DUMMYFUNCTION("""COMPUTED_VALUE"""),1.365E7)</f>
        <v>13650000</v>
      </c>
      <c r="S170" s="99">
        <f>IFERROR(__xludf.DUMMYFUNCTION("""COMPUTED_VALUE"""),1754440.0)</f>
        <v>1754440</v>
      </c>
    </row>
    <row r="171">
      <c r="A171" s="96">
        <f>IFERROR(__xludf.DUMMYFUNCTION("""COMPUTED_VALUE"""),3.0)</f>
        <v>3</v>
      </c>
      <c r="B171" s="98">
        <f>IFERROR(__xludf.DUMMYFUNCTION("""COMPUTED_VALUE"""),44048.0)</f>
        <v>44048</v>
      </c>
      <c r="C171" s="96" t="str">
        <f>IFERROR(__xludf.DUMMYFUNCTION("""COMPUTED_VALUE"""),"ALFRED ALABI")</f>
        <v>ALFRED ALABI</v>
      </c>
      <c r="D171" s="96" t="str">
        <f>IFERROR(__xludf.DUMMYFUNCTION("""COMPUTED_VALUE"""),"ALFRED ALABI3")</f>
        <v>ALFRED ALABI3</v>
      </c>
      <c r="E171" s="96"/>
      <c r="F171" s="96"/>
      <c r="G171" s="96"/>
      <c r="H171" s="96"/>
      <c r="I171" s="96"/>
      <c r="J171" s="96"/>
      <c r="K171" s="96">
        <f>IFERROR(__xludf.DUMMYFUNCTION("""COMPUTED_VALUE"""),5000.0)</f>
        <v>5000</v>
      </c>
      <c r="L171" s="99">
        <f>IFERROR(__xludf.DUMMYFUNCTION("""COMPUTED_VALUE"""),5000.0)</f>
        <v>5000</v>
      </c>
      <c r="M171" s="96"/>
      <c r="N171" s="96">
        <f>IFERROR(__xludf.DUMMYFUNCTION("""COMPUTED_VALUE"""),0.0)</f>
        <v>0</v>
      </c>
      <c r="O171" s="96">
        <f>IFERROR(__xludf.DUMMYFUNCTION("""COMPUTED_VALUE"""),0.0)</f>
        <v>0</v>
      </c>
      <c r="P171" s="96">
        <f>IFERROR(__xludf.DUMMYFUNCTION("""COMPUTED_VALUE"""),0.0)</f>
        <v>0</v>
      </c>
      <c r="Q171" s="129">
        <f>IFERROR(__xludf.DUMMYFUNCTION("""COMPUTED_VALUE"""),0.0)</f>
        <v>0</v>
      </c>
      <c r="R171" s="99"/>
      <c r="S171" s="99">
        <f>IFERROR(__xludf.DUMMYFUNCTION("""COMPUTED_VALUE"""),490000.0)</f>
        <v>490000</v>
      </c>
    </row>
    <row r="172">
      <c r="A172" s="96">
        <f>IFERROR(__xludf.DUMMYFUNCTION("""COMPUTED_VALUE"""),11.0)</f>
        <v>11</v>
      </c>
      <c r="B172" s="98">
        <f>IFERROR(__xludf.DUMMYFUNCTION("""COMPUTED_VALUE"""),44049.0)</f>
        <v>44049</v>
      </c>
      <c r="C172" s="96" t="str">
        <f>IFERROR(__xludf.DUMMYFUNCTION("""COMPUTED_VALUE"""),"CONNECT")</f>
        <v>CONNECT</v>
      </c>
      <c r="D172" s="96" t="str">
        <f>IFERROR(__xludf.DUMMYFUNCTION("""COMPUTED_VALUE"""),"CONNECT11")</f>
        <v>CONNECT11</v>
      </c>
      <c r="E172" s="96"/>
      <c r="F172" s="96"/>
      <c r="G172" s="96"/>
      <c r="H172" s="96"/>
      <c r="I172" s="96"/>
      <c r="J172" s="96"/>
      <c r="K172" s="96">
        <f>IFERROR(__xludf.DUMMYFUNCTION("""COMPUTED_VALUE"""),500000.0)</f>
        <v>500000</v>
      </c>
      <c r="L172" s="99">
        <f>IFERROR(__xludf.DUMMYFUNCTION("""COMPUTED_VALUE"""),500000.0)</f>
        <v>500000</v>
      </c>
      <c r="M172" s="96"/>
      <c r="N172" s="96">
        <f>IFERROR(__xludf.DUMMYFUNCTION("""COMPUTED_VALUE"""),0.0)</f>
        <v>0</v>
      </c>
      <c r="O172" s="96">
        <f>IFERROR(__xludf.DUMMYFUNCTION("""COMPUTED_VALUE"""),0.0)</f>
        <v>0</v>
      </c>
      <c r="P172" s="96">
        <f>IFERROR(__xludf.DUMMYFUNCTION("""COMPUTED_VALUE"""),0.0)</f>
        <v>0</v>
      </c>
      <c r="Q172" s="129">
        <f>IFERROR(__xludf.DUMMYFUNCTION("""COMPUTED_VALUE"""),0.0)</f>
        <v>0</v>
      </c>
      <c r="R172" s="99"/>
      <c r="S172" s="99">
        <f>IFERROR(__xludf.DUMMYFUNCTION("""COMPUTED_VALUE"""),2162400.0)</f>
        <v>2162400</v>
      </c>
    </row>
    <row r="173">
      <c r="A173" s="96">
        <f>IFERROR(__xludf.DUMMYFUNCTION("""COMPUTED_VALUE"""),12.0)</f>
        <v>12</v>
      </c>
      <c r="B173" s="98">
        <f>IFERROR(__xludf.DUMMYFUNCTION("""COMPUTED_VALUE"""),44049.0)</f>
        <v>44049</v>
      </c>
      <c r="C173" s="96" t="str">
        <f>IFERROR(__xludf.DUMMYFUNCTION("""COMPUTED_VALUE"""),"CONNECT")</f>
        <v>CONNECT</v>
      </c>
      <c r="D173" s="96" t="str">
        <f>IFERROR(__xludf.DUMMYFUNCTION("""COMPUTED_VALUE"""),"CONNECT12")</f>
        <v>CONNECT12</v>
      </c>
      <c r="E173" s="96"/>
      <c r="F173" s="96"/>
      <c r="G173" s="96"/>
      <c r="H173" s="96"/>
      <c r="I173" s="96"/>
      <c r="J173" s="96"/>
      <c r="K173" s="96">
        <f>IFERROR(__xludf.DUMMYFUNCTION("""COMPUTED_VALUE"""),5000.0)</f>
        <v>5000</v>
      </c>
      <c r="L173" s="99">
        <f>IFERROR(__xludf.DUMMYFUNCTION("""COMPUTED_VALUE"""),5000.0)</f>
        <v>5000</v>
      </c>
      <c r="M173" s="96"/>
      <c r="N173" s="96">
        <f>IFERROR(__xludf.DUMMYFUNCTION("""COMPUTED_VALUE"""),0.0)</f>
        <v>0</v>
      </c>
      <c r="O173" s="96">
        <f>IFERROR(__xludf.DUMMYFUNCTION("""COMPUTED_VALUE"""),0.0)</f>
        <v>0</v>
      </c>
      <c r="P173" s="96">
        <f>IFERROR(__xludf.DUMMYFUNCTION("""COMPUTED_VALUE"""),0.0)</f>
        <v>0</v>
      </c>
      <c r="Q173" s="129">
        <f>IFERROR(__xludf.DUMMYFUNCTION("""COMPUTED_VALUE"""),0.0)</f>
        <v>0</v>
      </c>
      <c r="R173" s="99"/>
      <c r="S173" s="99">
        <f>IFERROR(__xludf.DUMMYFUNCTION("""COMPUTED_VALUE"""),2167400.0)</f>
        <v>2167400</v>
      </c>
    </row>
    <row r="174">
      <c r="A174" s="96">
        <f>IFERROR(__xludf.DUMMYFUNCTION("""COMPUTED_VALUE"""),11.0)</f>
        <v>11</v>
      </c>
      <c r="B174" s="98">
        <f>IFERROR(__xludf.DUMMYFUNCTION("""COMPUTED_VALUE"""),44049.0)</f>
        <v>44049</v>
      </c>
      <c r="C174" s="96" t="str">
        <f>IFERROR(__xludf.DUMMYFUNCTION("""COMPUTED_VALUE"""),"RECTOR W.")</f>
        <v>RECTOR W.</v>
      </c>
      <c r="D174" s="96" t="str">
        <f>IFERROR(__xludf.DUMMYFUNCTION("""COMPUTED_VALUE"""),"RECTOR W.11")</f>
        <v>RECTOR W.11</v>
      </c>
      <c r="E174" s="96"/>
      <c r="F174" s="96"/>
      <c r="G174" s="96"/>
      <c r="H174" s="96"/>
      <c r="I174" s="96"/>
      <c r="J174" s="96"/>
      <c r="K174" s="96">
        <f>IFERROR(__xludf.DUMMYFUNCTION("""COMPUTED_VALUE"""),111800.0)</f>
        <v>111800</v>
      </c>
      <c r="L174" s="99">
        <f>IFERROR(__xludf.DUMMYFUNCTION("""COMPUTED_VALUE"""),111800.0)</f>
        <v>111800</v>
      </c>
      <c r="M174" s="96"/>
      <c r="N174" s="96">
        <f>IFERROR(__xludf.DUMMYFUNCTION("""COMPUTED_VALUE"""),0.0)</f>
        <v>0</v>
      </c>
      <c r="O174" s="96">
        <f>IFERROR(__xludf.DUMMYFUNCTION("""COMPUTED_VALUE"""),0.0)</f>
        <v>0</v>
      </c>
      <c r="P174" s="96">
        <f>IFERROR(__xludf.DUMMYFUNCTION("""COMPUTED_VALUE"""),0.0)</f>
        <v>0</v>
      </c>
      <c r="Q174" s="129">
        <f>IFERROR(__xludf.DUMMYFUNCTION("""COMPUTED_VALUE"""),0.0)</f>
        <v>0</v>
      </c>
      <c r="R174" s="99"/>
      <c r="S174" s="99">
        <f>IFERROR(__xludf.DUMMYFUNCTION("""COMPUTED_VALUE"""),1259780.0)</f>
        <v>1259780</v>
      </c>
    </row>
    <row r="175">
      <c r="A175" s="96">
        <f>IFERROR(__xludf.DUMMYFUNCTION("""COMPUTED_VALUE"""),8.0)</f>
        <v>8</v>
      </c>
      <c r="B175" s="98">
        <f>IFERROR(__xludf.DUMMYFUNCTION("""COMPUTED_VALUE"""),44049.0)</f>
        <v>44049</v>
      </c>
      <c r="C175" s="96" t="str">
        <f>IFERROR(__xludf.DUMMYFUNCTION("""COMPUTED_VALUE""")," MAXWELL AGRO")</f>
        <v> MAXWELL AGRO</v>
      </c>
      <c r="D175" s="96" t="str">
        <f>IFERROR(__xludf.DUMMYFUNCTION("""COMPUTED_VALUE""")," MAXWELL AGRO8")</f>
        <v> MAXWELL AGRO8</v>
      </c>
      <c r="E175" s="96"/>
      <c r="F175" s="96"/>
      <c r="G175" s="96"/>
      <c r="H175" s="96"/>
      <c r="I175" s="96"/>
      <c r="J175" s="96"/>
      <c r="K175" s="96">
        <f>IFERROR(__xludf.DUMMYFUNCTION("""COMPUTED_VALUE"""),2000.0)</f>
        <v>2000</v>
      </c>
      <c r="L175" s="99">
        <f>IFERROR(__xludf.DUMMYFUNCTION("""COMPUTED_VALUE"""),2000.0)</f>
        <v>2000</v>
      </c>
      <c r="M175" s="96"/>
      <c r="N175" s="96">
        <f>IFERROR(__xludf.DUMMYFUNCTION("""COMPUTED_VALUE"""),0.0)</f>
        <v>0</v>
      </c>
      <c r="O175" s="96">
        <f>IFERROR(__xludf.DUMMYFUNCTION("""COMPUTED_VALUE"""),0.0)</f>
        <v>0</v>
      </c>
      <c r="P175" s="96">
        <f>IFERROR(__xludf.DUMMYFUNCTION("""COMPUTED_VALUE"""),0.0)</f>
        <v>0</v>
      </c>
      <c r="Q175" s="129">
        <f>IFERROR(__xludf.DUMMYFUNCTION("""COMPUTED_VALUE"""),0.0)</f>
        <v>0</v>
      </c>
      <c r="R175" s="99"/>
      <c r="S175" s="99">
        <f>IFERROR(__xludf.DUMMYFUNCTION("""COMPUTED_VALUE"""),530320.0)</f>
        <v>530320</v>
      </c>
    </row>
    <row r="176">
      <c r="A176" s="96">
        <f>IFERROR(__xludf.DUMMYFUNCTION("""COMPUTED_VALUE"""),1.0)</f>
        <v>1</v>
      </c>
      <c r="B176" s="98">
        <f>IFERROR(__xludf.DUMMYFUNCTION("""COMPUTED_VALUE"""),44049.0)</f>
        <v>44049</v>
      </c>
      <c r="C176" s="96" t="str">
        <f>IFERROR(__xludf.DUMMYFUNCTION("""COMPUTED_VALUE"""),"OBIM TIWA HNSON")</f>
        <v>OBIM TIWA HNSON</v>
      </c>
      <c r="D176" s="96" t="str">
        <f>IFERROR(__xludf.DUMMYFUNCTION("""COMPUTED_VALUE"""),"OBIM TIWA HNSON1")</f>
        <v>OBIM TIWA HNSON1</v>
      </c>
      <c r="E176" s="96"/>
      <c r="F176" s="96"/>
      <c r="G176" s="96"/>
      <c r="H176" s="96"/>
      <c r="I176" s="96"/>
      <c r="J176" s="96"/>
      <c r="K176" s="96">
        <f>IFERROR(__xludf.DUMMYFUNCTION("""COMPUTED_VALUE"""),90000.0)</f>
        <v>90000</v>
      </c>
      <c r="L176" s="99">
        <f>IFERROR(__xludf.DUMMYFUNCTION("""COMPUTED_VALUE"""),90000.0)</f>
        <v>90000</v>
      </c>
      <c r="M176" s="96"/>
      <c r="N176" s="96">
        <f>IFERROR(__xludf.DUMMYFUNCTION("""COMPUTED_VALUE"""),0.0)</f>
        <v>0</v>
      </c>
      <c r="O176" s="96">
        <f>IFERROR(__xludf.DUMMYFUNCTION("""COMPUTED_VALUE"""),0.0)</f>
        <v>0</v>
      </c>
      <c r="P176" s="96">
        <f>IFERROR(__xludf.DUMMYFUNCTION("""COMPUTED_VALUE"""),0.0)</f>
        <v>0</v>
      </c>
      <c r="Q176" s="129">
        <f>IFERROR(__xludf.DUMMYFUNCTION("""COMPUTED_VALUE"""),0.0)</f>
        <v>0</v>
      </c>
      <c r="R176" s="99"/>
      <c r="S176" s="99">
        <f>IFERROR(__xludf.DUMMYFUNCTION("""COMPUTED_VALUE"""),90000.0)</f>
        <v>90000</v>
      </c>
    </row>
    <row r="177">
      <c r="A177" s="96">
        <f>IFERROR(__xludf.DUMMYFUNCTION("""COMPUTED_VALUE"""),1.0)</f>
        <v>1</v>
      </c>
      <c r="B177" s="98">
        <f>IFERROR(__xludf.DUMMYFUNCTION("""COMPUTED_VALUE"""),44049.0)</f>
        <v>44049</v>
      </c>
      <c r="C177" s="96" t="str">
        <f>IFERROR(__xludf.DUMMYFUNCTION("""COMPUTED_VALUE"""),"DUN SUNDAY NDOMA (NATION)")</f>
        <v>DUN SUNDAY NDOMA (NATION)</v>
      </c>
      <c r="D177" s="96" t="str">
        <f>IFERROR(__xludf.DUMMYFUNCTION("""COMPUTED_VALUE"""),"DUN SUNDAY NDOMA (NATION)1")</f>
        <v>DUN SUNDAY NDOMA (NATION)1</v>
      </c>
      <c r="E177" s="96"/>
      <c r="F177" s="96"/>
      <c r="G177" s="96"/>
      <c r="H177" s="96"/>
      <c r="I177" s="96"/>
      <c r="J177" s="96"/>
      <c r="K177" s="96">
        <f>IFERROR(__xludf.DUMMYFUNCTION("""COMPUTED_VALUE"""),100000.0)</f>
        <v>100000</v>
      </c>
      <c r="L177" s="99">
        <f>IFERROR(__xludf.DUMMYFUNCTION("""COMPUTED_VALUE"""),100000.0)</f>
        <v>100000</v>
      </c>
      <c r="M177" s="96"/>
      <c r="N177" s="96">
        <f>IFERROR(__xludf.DUMMYFUNCTION("""COMPUTED_VALUE"""),0.0)</f>
        <v>0</v>
      </c>
      <c r="O177" s="96">
        <f>IFERROR(__xludf.DUMMYFUNCTION("""COMPUTED_VALUE"""),0.0)</f>
        <v>0</v>
      </c>
      <c r="P177" s="96">
        <f>IFERROR(__xludf.DUMMYFUNCTION("""COMPUTED_VALUE"""),0.0)</f>
        <v>0</v>
      </c>
      <c r="Q177" s="129">
        <f>IFERROR(__xludf.DUMMYFUNCTION("""COMPUTED_VALUE"""),0.0)</f>
        <v>0</v>
      </c>
      <c r="R177" s="99"/>
      <c r="S177" s="99">
        <f>IFERROR(__xludf.DUMMYFUNCTION("""COMPUTED_VALUE"""),100000.0)</f>
        <v>100000</v>
      </c>
    </row>
    <row r="178">
      <c r="A178" s="96">
        <f>IFERROR(__xludf.DUMMYFUNCTION("""COMPUTED_VALUE"""),4.0)</f>
        <v>4</v>
      </c>
      <c r="B178" s="98">
        <f>IFERROR(__xludf.DUMMYFUNCTION("""COMPUTED_VALUE"""),44049.0)</f>
        <v>44049</v>
      </c>
      <c r="C178" s="96" t="str">
        <f>IFERROR(__xludf.DUMMYFUNCTION("""COMPUTED_VALUE"""),"ALFRED ALABI")</f>
        <v>ALFRED ALABI</v>
      </c>
      <c r="D178" s="96" t="str">
        <f>IFERROR(__xludf.DUMMYFUNCTION("""COMPUTED_VALUE"""),"ALFRED ALABI4")</f>
        <v>ALFRED ALABI4</v>
      </c>
      <c r="E178" s="96"/>
      <c r="F178" s="96"/>
      <c r="G178" s="96"/>
      <c r="H178" s="96"/>
      <c r="I178" s="96"/>
      <c r="J178" s="96"/>
      <c r="K178" s="96">
        <f>IFERROR(__xludf.DUMMYFUNCTION("""COMPUTED_VALUE"""),1000000.0)</f>
        <v>1000000</v>
      </c>
      <c r="L178" s="99">
        <f>IFERROR(__xludf.DUMMYFUNCTION("""COMPUTED_VALUE"""),1000000.0)</f>
        <v>1000000</v>
      </c>
      <c r="M178" s="96"/>
      <c r="N178" s="96">
        <f>IFERROR(__xludf.DUMMYFUNCTION("""COMPUTED_VALUE"""),0.0)</f>
        <v>0</v>
      </c>
      <c r="O178" s="96">
        <f>IFERROR(__xludf.DUMMYFUNCTION("""COMPUTED_VALUE"""),0.0)</f>
        <v>0</v>
      </c>
      <c r="P178" s="96">
        <f>IFERROR(__xludf.DUMMYFUNCTION("""COMPUTED_VALUE"""),0.0)</f>
        <v>0</v>
      </c>
      <c r="Q178" s="129">
        <f>IFERROR(__xludf.DUMMYFUNCTION("""COMPUTED_VALUE"""),0.0)</f>
        <v>0</v>
      </c>
      <c r="R178" s="99"/>
      <c r="S178" s="99">
        <f>IFERROR(__xludf.DUMMYFUNCTION("""COMPUTED_VALUE"""),1490000.0)</f>
        <v>1490000</v>
      </c>
    </row>
    <row r="179">
      <c r="A179" s="96">
        <f>IFERROR(__xludf.DUMMYFUNCTION("""COMPUTED_VALUE"""),1.0)</f>
        <v>1</v>
      </c>
      <c r="B179" s="98">
        <f>IFERROR(__xludf.DUMMYFUNCTION("""COMPUTED_VALUE"""),44049.0)</f>
        <v>44049</v>
      </c>
      <c r="C179" s="96" t="str">
        <f>IFERROR(__xludf.DUMMYFUNCTION("""COMPUTED_VALUE"""),"A. D. FREDERICK")</f>
        <v>A. D. FREDERICK</v>
      </c>
      <c r="D179" s="96" t="str">
        <f>IFERROR(__xludf.DUMMYFUNCTION("""COMPUTED_VALUE"""),"A. D. FREDERICK1")</f>
        <v>A. D. FREDERICK1</v>
      </c>
      <c r="E179" s="96"/>
      <c r="F179" s="96"/>
      <c r="G179" s="96"/>
      <c r="H179" s="96"/>
      <c r="I179" s="96"/>
      <c r="J179" s="96"/>
      <c r="K179" s="96">
        <f>IFERROR(__xludf.DUMMYFUNCTION("""COMPUTED_VALUE"""),250000.0)</f>
        <v>250000</v>
      </c>
      <c r="L179" s="99">
        <f>IFERROR(__xludf.DUMMYFUNCTION("""COMPUTED_VALUE"""),250000.0)</f>
        <v>250000</v>
      </c>
      <c r="M179" s="96"/>
      <c r="N179" s="96">
        <f>IFERROR(__xludf.DUMMYFUNCTION("""COMPUTED_VALUE"""),0.0)</f>
        <v>0</v>
      </c>
      <c r="O179" s="96">
        <f>IFERROR(__xludf.DUMMYFUNCTION("""COMPUTED_VALUE"""),0.0)</f>
        <v>0</v>
      </c>
      <c r="P179" s="96">
        <f>IFERROR(__xludf.DUMMYFUNCTION("""COMPUTED_VALUE"""),0.0)</f>
        <v>0</v>
      </c>
      <c r="Q179" s="129">
        <f>IFERROR(__xludf.DUMMYFUNCTION("""COMPUTED_VALUE"""),0.0)</f>
        <v>0</v>
      </c>
      <c r="R179" s="99"/>
      <c r="S179" s="99">
        <f>IFERROR(__xludf.DUMMYFUNCTION("""COMPUTED_VALUE"""),250000.0)</f>
        <v>250000</v>
      </c>
    </row>
    <row r="180">
      <c r="A180" s="96">
        <f>IFERROR(__xludf.DUMMYFUNCTION("""COMPUTED_VALUE"""),3.0)</f>
        <v>3</v>
      </c>
      <c r="B180" s="98">
        <f>IFERROR(__xludf.DUMMYFUNCTION("""COMPUTED_VALUE"""),44049.0)</f>
        <v>44049</v>
      </c>
      <c r="C180" s="96" t="str">
        <f>IFERROR(__xludf.DUMMYFUNCTION("""COMPUTED_VALUE"""),"EMMANUEL OKO ")</f>
        <v>EMMANUEL OKO </v>
      </c>
      <c r="D180" s="96" t="str">
        <f>IFERROR(__xludf.DUMMYFUNCTION("""COMPUTED_VALUE"""),"EMMANUEL OKO 3")</f>
        <v>EMMANUEL OKO 3</v>
      </c>
      <c r="E180" s="96"/>
      <c r="F180" s="96"/>
      <c r="G180" s="96"/>
      <c r="H180" s="96"/>
      <c r="I180" s="96"/>
      <c r="J180" s="96"/>
      <c r="K180" s="96">
        <f>IFERROR(__xludf.DUMMYFUNCTION("""COMPUTED_VALUE"""),245000.0)</f>
        <v>245000</v>
      </c>
      <c r="L180" s="99">
        <f>IFERROR(__xludf.DUMMYFUNCTION("""COMPUTED_VALUE"""),245000.0)</f>
        <v>245000</v>
      </c>
      <c r="M180" s="96"/>
      <c r="N180" s="96">
        <f>IFERROR(__xludf.DUMMYFUNCTION("""COMPUTED_VALUE"""),0.0)</f>
        <v>0</v>
      </c>
      <c r="O180" s="96">
        <f>IFERROR(__xludf.DUMMYFUNCTION("""COMPUTED_VALUE"""),0.0)</f>
        <v>0</v>
      </c>
      <c r="P180" s="96">
        <f>IFERROR(__xludf.DUMMYFUNCTION("""COMPUTED_VALUE"""),0.0)</f>
        <v>0</v>
      </c>
      <c r="Q180" s="129">
        <f>IFERROR(__xludf.DUMMYFUNCTION("""COMPUTED_VALUE"""),0.0)</f>
        <v>0</v>
      </c>
      <c r="R180" s="99"/>
      <c r="S180" s="99">
        <f>IFERROR(__xludf.DUMMYFUNCTION("""COMPUTED_VALUE"""),338250.0)</f>
        <v>338250</v>
      </c>
    </row>
    <row r="181">
      <c r="A181" s="96">
        <f>IFERROR(__xludf.DUMMYFUNCTION("""COMPUTED_VALUE"""),12.0)</f>
        <v>12</v>
      </c>
      <c r="B181" s="98">
        <f>IFERROR(__xludf.DUMMYFUNCTION("""COMPUTED_VALUE"""),44049.0)</f>
        <v>44049</v>
      </c>
      <c r="C181" s="96" t="str">
        <f>IFERROR(__xludf.DUMMYFUNCTION("""COMPUTED_VALUE"""),"RECTOR W.")</f>
        <v>RECTOR W.</v>
      </c>
      <c r="D181" s="96" t="str">
        <f>IFERROR(__xludf.DUMMYFUNCTION("""COMPUTED_VALUE"""),"RECTOR W.12")</f>
        <v>RECTOR W.12</v>
      </c>
      <c r="E181" s="96"/>
      <c r="F181" s="96"/>
      <c r="G181" s="96"/>
      <c r="H181" s="96"/>
      <c r="I181" s="96"/>
      <c r="J181" s="96"/>
      <c r="K181" s="96">
        <f>IFERROR(__xludf.DUMMYFUNCTION("""COMPUTED_VALUE"""),3000.0)</f>
        <v>3000</v>
      </c>
      <c r="L181" s="99">
        <f>IFERROR(__xludf.DUMMYFUNCTION("""COMPUTED_VALUE"""),3000.0)</f>
        <v>3000</v>
      </c>
      <c r="M181" s="96"/>
      <c r="N181" s="96">
        <f>IFERROR(__xludf.DUMMYFUNCTION("""COMPUTED_VALUE"""),0.0)</f>
        <v>0</v>
      </c>
      <c r="O181" s="96">
        <f>IFERROR(__xludf.DUMMYFUNCTION("""COMPUTED_VALUE"""),0.0)</f>
        <v>0</v>
      </c>
      <c r="P181" s="96">
        <f>IFERROR(__xludf.DUMMYFUNCTION("""COMPUTED_VALUE"""),0.0)</f>
        <v>0</v>
      </c>
      <c r="Q181" s="129">
        <f>IFERROR(__xludf.DUMMYFUNCTION("""COMPUTED_VALUE"""),0.0)</f>
        <v>0</v>
      </c>
      <c r="R181" s="99"/>
      <c r="S181" s="99">
        <f>IFERROR(__xludf.DUMMYFUNCTION("""COMPUTED_VALUE"""),1262780.0)</f>
        <v>1262780</v>
      </c>
    </row>
    <row r="182">
      <c r="A182" s="96">
        <f>IFERROR(__xludf.DUMMYFUNCTION("""COMPUTED_VALUE"""),8.0)</f>
        <v>8</v>
      </c>
      <c r="B182" s="98">
        <f>IFERROR(__xludf.DUMMYFUNCTION("""COMPUTED_VALUE"""),44049.0)</f>
        <v>44049</v>
      </c>
      <c r="C182" s="96" t="str">
        <f>IFERROR(__xludf.DUMMYFUNCTION("""COMPUTED_VALUE"""),"CORNWELL")</f>
        <v>CORNWELL</v>
      </c>
      <c r="D182" s="96" t="str">
        <f>IFERROR(__xludf.DUMMYFUNCTION("""COMPUTED_VALUE"""),"CORNWELL8")</f>
        <v>CORNWELL8</v>
      </c>
      <c r="E182" s="96"/>
      <c r="F182" s="96"/>
      <c r="G182" s="96"/>
      <c r="H182" s="96"/>
      <c r="I182" s="96"/>
      <c r="J182" s="96"/>
      <c r="K182" s="96">
        <f>IFERROR(__xludf.DUMMYFUNCTION("""COMPUTED_VALUE"""),3.642825E7)</f>
        <v>36428250</v>
      </c>
      <c r="L182" s="99">
        <f>IFERROR(__xludf.DUMMYFUNCTION("""COMPUTED_VALUE"""),3.642825E7)</f>
        <v>36428250</v>
      </c>
      <c r="M182" s="96"/>
      <c r="N182" s="96">
        <f>IFERROR(__xludf.DUMMYFUNCTION("""COMPUTED_VALUE"""),0.0)</f>
        <v>0</v>
      </c>
      <c r="O182" s="96">
        <f>IFERROR(__xludf.DUMMYFUNCTION("""COMPUTED_VALUE"""),0.0)</f>
        <v>0</v>
      </c>
      <c r="P182" s="96">
        <f>IFERROR(__xludf.DUMMYFUNCTION("""COMPUTED_VALUE"""),0.0)</f>
        <v>0</v>
      </c>
      <c r="Q182" s="129">
        <f>IFERROR(__xludf.DUMMYFUNCTION("""COMPUTED_VALUE"""),0.0)</f>
        <v>0</v>
      </c>
      <c r="R182" s="99"/>
      <c r="S182" s="99">
        <f>IFERROR(__xludf.DUMMYFUNCTION("""COMPUTED_VALUE"""),3.818269E7)</f>
        <v>38182690</v>
      </c>
    </row>
    <row r="183">
      <c r="A183" s="96">
        <f>IFERROR(__xludf.DUMMYFUNCTION("""COMPUTED_VALUE"""),13.0)</f>
        <v>13</v>
      </c>
      <c r="B183" s="98">
        <f>IFERROR(__xludf.DUMMYFUNCTION("""COMPUTED_VALUE"""),44050.0)</f>
        <v>44050</v>
      </c>
      <c r="C183" s="96" t="str">
        <f>IFERROR(__xludf.DUMMYFUNCTION("""COMPUTED_VALUE"""),"RECTOR W.")</f>
        <v>RECTOR W.</v>
      </c>
      <c r="D183" s="96" t="str">
        <f>IFERROR(__xludf.DUMMYFUNCTION("""COMPUTED_VALUE"""),"RECTOR W.13")</f>
        <v>RECTOR W.13</v>
      </c>
      <c r="E183" s="96"/>
      <c r="F183" s="96"/>
      <c r="G183" s="96"/>
      <c r="H183" s="96"/>
      <c r="I183" s="96"/>
      <c r="J183" s="96"/>
      <c r="K183" s="96">
        <f>IFERROR(__xludf.DUMMYFUNCTION("""COMPUTED_VALUE"""),2500000.0)</f>
        <v>2500000</v>
      </c>
      <c r="L183" s="99">
        <f>IFERROR(__xludf.DUMMYFUNCTION("""COMPUTED_VALUE"""),2500000.0)</f>
        <v>2500000</v>
      </c>
      <c r="M183" s="96"/>
      <c r="N183" s="96">
        <f>IFERROR(__xludf.DUMMYFUNCTION("""COMPUTED_VALUE"""),0.0)</f>
        <v>0</v>
      </c>
      <c r="O183" s="96">
        <f>IFERROR(__xludf.DUMMYFUNCTION("""COMPUTED_VALUE"""),0.0)</f>
        <v>0</v>
      </c>
      <c r="P183" s="96">
        <f>IFERROR(__xludf.DUMMYFUNCTION("""COMPUTED_VALUE"""),0.0)</f>
        <v>0</v>
      </c>
      <c r="Q183" s="129">
        <f>IFERROR(__xludf.DUMMYFUNCTION("""COMPUTED_VALUE"""),0.0)</f>
        <v>0</v>
      </c>
      <c r="R183" s="99"/>
      <c r="S183" s="99">
        <f>IFERROR(__xludf.DUMMYFUNCTION("""COMPUTED_VALUE"""),3762780.0)</f>
        <v>3762780</v>
      </c>
    </row>
    <row r="184">
      <c r="A184" s="96">
        <f>IFERROR(__xludf.DUMMYFUNCTION("""COMPUTED_VALUE"""),4.0)</f>
        <v>4</v>
      </c>
      <c r="B184" s="98">
        <f>IFERROR(__xludf.DUMMYFUNCTION("""COMPUTED_VALUE"""),44050.0)</f>
        <v>44050</v>
      </c>
      <c r="C184" s="96" t="str">
        <f>IFERROR(__xludf.DUMMYFUNCTION("""COMPUTED_VALUE"""),"ZULU &amp; NDOMA")</f>
        <v>ZULU &amp; NDOMA</v>
      </c>
      <c r="D184" s="96" t="str">
        <f>IFERROR(__xludf.DUMMYFUNCTION("""COMPUTED_VALUE"""),"ZULU &amp; NDOMA4")</f>
        <v>ZULU &amp; NDOMA4</v>
      </c>
      <c r="E184" s="96"/>
      <c r="F184" s="96"/>
      <c r="G184" s="96"/>
      <c r="H184" s="96"/>
      <c r="I184" s="96"/>
      <c r="J184" s="96"/>
      <c r="K184" s="96">
        <f>IFERROR(__xludf.DUMMYFUNCTION("""COMPUTED_VALUE"""),5000.0)</f>
        <v>5000</v>
      </c>
      <c r="L184" s="99">
        <f>IFERROR(__xludf.DUMMYFUNCTION("""COMPUTED_VALUE"""),5000.0)</f>
        <v>5000</v>
      </c>
      <c r="M184" s="96"/>
      <c r="N184" s="96">
        <f>IFERROR(__xludf.DUMMYFUNCTION("""COMPUTED_VALUE"""),0.0)</f>
        <v>0</v>
      </c>
      <c r="O184" s="96">
        <f>IFERROR(__xludf.DUMMYFUNCTION("""COMPUTED_VALUE"""),0.0)</f>
        <v>0</v>
      </c>
      <c r="P184" s="96">
        <f>IFERROR(__xludf.DUMMYFUNCTION("""COMPUTED_VALUE"""),0.0)</f>
        <v>0</v>
      </c>
      <c r="Q184" s="129">
        <f>IFERROR(__xludf.DUMMYFUNCTION("""COMPUTED_VALUE"""),0.0)</f>
        <v>0</v>
      </c>
      <c r="R184" s="99"/>
      <c r="S184" s="99">
        <f>IFERROR(__xludf.DUMMYFUNCTION("""COMPUTED_VALUE"""),208400.0)</f>
        <v>208400</v>
      </c>
    </row>
    <row r="185">
      <c r="A185" s="96">
        <f>IFERROR(__xludf.DUMMYFUNCTION("""COMPUTED_VALUE"""),14.0)</f>
        <v>14</v>
      </c>
      <c r="B185" s="98">
        <f>IFERROR(__xludf.DUMMYFUNCTION("""COMPUTED_VALUE"""),44050.0)</f>
        <v>44050</v>
      </c>
      <c r="C185" s="96" t="str">
        <f>IFERROR(__xludf.DUMMYFUNCTION("""COMPUTED_VALUE"""),"RECTOR W.")</f>
        <v>RECTOR W.</v>
      </c>
      <c r="D185" s="96" t="str">
        <f>IFERROR(__xludf.DUMMYFUNCTION("""COMPUTED_VALUE"""),"RECTOR W.14")</f>
        <v>RECTOR W.14</v>
      </c>
      <c r="E185" s="96"/>
      <c r="F185" s="96"/>
      <c r="G185" s="96"/>
      <c r="H185" s="96"/>
      <c r="I185" s="96"/>
      <c r="J185" s="96"/>
      <c r="K185" s="96">
        <f>IFERROR(__xludf.DUMMYFUNCTION("""COMPUTED_VALUE"""),1530000.0)</f>
        <v>1530000</v>
      </c>
      <c r="L185" s="99">
        <f>IFERROR(__xludf.DUMMYFUNCTION("""COMPUTED_VALUE"""),1530000.0)</f>
        <v>1530000</v>
      </c>
      <c r="M185" s="96"/>
      <c r="N185" s="96">
        <f>IFERROR(__xludf.DUMMYFUNCTION("""COMPUTED_VALUE"""),0.0)</f>
        <v>0</v>
      </c>
      <c r="O185" s="96">
        <f>IFERROR(__xludf.DUMMYFUNCTION("""COMPUTED_VALUE"""),0.0)</f>
        <v>0</v>
      </c>
      <c r="P185" s="96">
        <f>IFERROR(__xludf.DUMMYFUNCTION("""COMPUTED_VALUE"""),0.0)</f>
        <v>0</v>
      </c>
      <c r="Q185" s="129">
        <f>IFERROR(__xludf.DUMMYFUNCTION("""COMPUTED_VALUE"""),0.0)</f>
        <v>0</v>
      </c>
      <c r="R185" s="99"/>
      <c r="S185" s="99">
        <f>IFERROR(__xludf.DUMMYFUNCTION("""COMPUTED_VALUE"""),5292780.0)</f>
        <v>5292780</v>
      </c>
    </row>
    <row r="186">
      <c r="A186" s="96">
        <f>IFERROR(__xludf.DUMMYFUNCTION("""COMPUTED_VALUE"""),6.0)</f>
        <v>6</v>
      </c>
      <c r="B186" s="98">
        <f>IFERROR(__xludf.DUMMYFUNCTION("""COMPUTED_VALUE"""),44051.0)</f>
        <v>44051</v>
      </c>
      <c r="C186" s="96" t="str">
        <f>IFERROR(__xludf.DUMMYFUNCTION("""COMPUTED_VALUE"""),"ETUK EFFI")</f>
        <v>ETUK EFFI</v>
      </c>
      <c r="D186" s="96" t="str">
        <f>IFERROR(__xludf.DUMMYFUNCTION("""COMPUTED_VALUE"""),"ETUK EFFI6")</f>
        <v>ETUK EFFI6</v>
      </c>
      <c r="E186" s="96"/>
      <c r="F186" s="96"/>
      <c r="G186" s="96"/>
      <c r="H186" s="96"/>
      <c r="I186" s="96"/>
      <c r="J186" s="96"/>
      <c r="K186" s="96">
        <f>IFERROR(__xludf.DUMMYFUNCTION("""COMPUTED_VALUE"""),1379140.0)</f>
        <v>1379140</v>
      </c>
      <c r="L186" s="99">
        <f>IFERROR(__xludf.DUMMYFUNCTION("""COMPUTED_VALUE"""),1379140.0)</f>
        <v>1379140</v>
      </c>
      <c r="M186" s="96"/>
      <c r="N186" s="96">
        <f>IFERROR(__xludf.DUMMYFUNCTION("""COMPUTED_VALUE"""),0.0)</f>
        <v>0</v>
      </c>
      <c r="O186" s="96">
        <f>IFERROR(__xludf.DUMMYFUNCTION("""COMPUTED_VALUE"""),0.0)</f>
        <v>0</v>
      </c>
      <c r="P186" s="96">
        <f>IFERROR(__xludf.DUMMYFUNCTION("""COMPUTED_VALUE"""),0.0)</f>
        <v>0</v>
      </c>
      <c r="Q186" s="129">
        <f>IFERROR(__xludf.DUMMYFUNCTION("""COMPUTED_VALUE"""),0.0)</f>
        <v>0</v>
      </c>
      <c r="R186" s="99"/>
      <c r="S186" s="99">
        <f>IFERROR(__xludf.DUMMYFUNCTION("""COMPUTED_VALUE"""),1436860.0)</f>
        <v>1436860</v>
      </c>
    </row>
    <row r="187">
      <c r="A187" s="96">
        <f>IFERROR(__xludf.DUMMYFUNCTION("""COMPUTED_VALUE"""),15.0)</f>
        <v>15</v>
      </c>
      <c r="B187" s="98">
        <f>IFERROR(__xludf.DUMMYFUNCTION("""COMPUTED_VALUE"""),44051.0)</f>
        <v>44051</v>
      </c>
      <c r="C187" s="96" t="str">
        <f>IFERROR(__xludf.DUMMYFUNCTION("""COMPUTED_VALUE"""),"RECTOR W.")</f>
        <v>RECTOR W.</v>
      </c>
      <c r="D187" s="96" t="str">
        <f>IFERROR(__xludf.DUMMYFUNCTION("""COMPUTED_VALUE"""),"RECTOR W.15")</f>
        <v>RECTOR W.15</v>
      </c>
      <c r="E187" s="96"/>
      <c r="F187" s="96"/>
      <c r="G187" s="96"/>
      <c r="H187" s="96"/>
      <c r="I187" s="96"/>
      <c r="J187" s="96"/>
      <c r="K187" s="96">
        <f>IFERROR(__xludf.DUMMYFUNCTION("""COMPUTED_VALUE"""),75000.0)</f>
        <v>75000</v>
      </c>
      <c r="L187" s="99">
        <f>IFERROR(__xludf.DUMMYFUNCTION("""COMPUTED_VALUE"""),75000.0)</f>
        <v>75000</v>
      </c>
      <c r="M187" s="96"/>
      <c r="N187" s="96">
        <f>IFERROR(__xludf.DUMMYFUNCTION("""COMPUTED_VALUE"""),0.0)</f>
        <v>0</v>
      </c>
      <c r="O187" s="96">
        <f>IFERROR(__xludf.DUMMYFUNCTION("""COMPUTED_VALUE"""),0.0)</f>
        <v>0</v>
      </c>
      <c r="P187" s="96">
        <f>IFERROR(__xludf.DUMMYFUNCTION("""COMPUTED_VALUE"""),0.0)</f>
        <v>0</v>
      </c>
      <c r="Q187" s="129">
        <f>IFERROR(__xludf.DUMMYFUNCTION("""COMPUTED_VALUE"""),0.0)</f>
        <v>0</v>
      </c>
      <c r="R187" s="99"/>
      <c r="S187" s="99">
        <f>IFERROR(__xludf.DUMMYFUNCTION("""COMPUTED_VALUE"""),5367780.0)</f>
        <v>5367780</v>
      </c>
    </row>
    <row r="188">
      <c r="A188" s="96">
        <f>IFERROR(__xludf.DUMMYFUNCTION("""COMPUTED_VALUE"""),4.0)</f>
        <v>4</v>
      </c>
      <c r="B188" s="98">
        <f>IFERROR(__xludf.DUMMYFUNCTION("""COMPUTED_VALUE"""),44051.0)</f>
        <v>44051</v>
      </c>
      <c r="C188" s="96" t="str">
        <f>IFERROR(__xludf.DUMMYFUNCTION("""COMPUTED_VALUE"""),"BOSURU  BOSURU")</f>
        <v>BOSURU  BOSURU</v>
      </c>
      <c r="D188" s="96" t="str">
        <f>IFERROR(__xludf.DUMMYFUNCTION("""COMPUTED_VALUE"""),"BOSURU  BOSURU4")</f>
        <v>BOSURU  BOSURU4</v>
      </c>
      <c r="E188" s="96"/>
      <c r="F188" s="96"/>
      <c r="G188" s="96"/>
      <c r="H188" s="96"/>
      <c r="I188" s="96"/>
      <c r="J188" s="96"/>
      <c r="K188" s="96">
        <f>IFERROR(__xludf.DUMMYFUNCTION("""COMPUTED_VALUE"""),200000.0)</f>
        <v>200000</v>
      </c>
      <c r="L188" s="99">
        <f>IFERROR(__xludf.DUMMYFUNCTION("""COMPUTED_VALUE"""),200000.0)</f>
        <v>200000</v>
      </c>
      <c r="M188" s="96"/>
      <c r="N188" s="96">
        <f>IFERROR(__xludf.DUMMYFUNCTION("""COMPUTED_VALUE"""),0.0)</f>
        <v>0</v>
      </c>
      <c r="O188" s="96">
        <f>IFERROR(__xludf.DUMMYFUNCTION("""COMPUTED_VALUE"""),0.0)</f>
        <v>0</v>
      </c>
      <c r="P188" s="96">
        <f>IFERROR(__xludf.DUMMYFUNCTION("""COMPUTED_VALUE"""),0.0)</f>
        <v>0</v>
      </c>
      <c r="Q188" s="129">
        <f>IFERROR(__xludf.DUMMYFUNCTION("""COMPUTED_VALUE"""),0.0)</f>
        <v>0</v>
      </c>
      <c r="R188" s="99"/>
      <c r="S188" s="99">
        <f>IFERROR(__xludf.DUMMYFUNCTION("""COMPUTED_VALUE"""),1229180.0)</f>
        <v>1229180</v>
      </c>
    </row>
    <row r="189">
      <c r="A189" s="96">
        <f>IFERROR(__xludf.DUMMYFUNCTION("""COMPUTED_VALUE"""),10.0)</f>
        <v>10</v>
      </c>
      <c r="B189" s="98">
        <f>IFERROR(__xludf.DUMMYFUNCTION("""COMPUTED_VALUE"""),44052.0)</f>
        <v>44052</v>
      </c>
      <c r="C189" s="96" t="str">
        <f>IFERROR(__xludf.DUMMYFUNCTION("""COMPUTED_VALUE"""),"NDOMA BODE I.D")</f>
        <v>NDOMA BODE I.D</v>
      </c>
      <c r="D189" s="96" t="str">
        <f>IFERROR(__xludf.DUMMYFUNCTION("""COMPUTED_VALUE"""),"NDOMA BODE I.D10")</f>
        <v>NDOMA BODE I.D10</v>
      </c>
      <c r="E189" s="96">
        <f>IFERROR(__xludf.DUMMYFUNCTION("""COMPUTED_VALUE"""),908.0)</f>
        <v>908</v>
      </c>
      <c r="F189" s="96">
        <f>IFERROR(__xludf.DUMMYFUNCTION("""COMPUTED_VALUE"""),129.0)</f>
        <v>129</v>
      </c>
      <c r="G189" s="96"/>
      <c r="H189" s="96">
        <f>IFERROR(__xludf.DUMMYFUNCTION("""COMPUTED_VALUE"""),14.0)</f>
        <v>14</v>
      </c>
      <c r="I189" s="96">
        <f>IFERROR(__xludf.DUMMYFUNCTION("""COMPUTED_VALUE"""),0.0)</f>
        <v>0</v>
      </c>
      <c r="J189" s="96">
        <f>IFERROR(__xludf.DUMMYFUNCTION("""COMPUTED_VALUE"""),647.43)</f>
        <v>647.43</v>
      </c>
      <c r="K189" s="96"/>
      <c r="L189" s="99">
        <f>IFERROR(__xludf.DUMMYFUNCTION("""COMPUTED_VALUE"""),-571680.0)</f>
        <v>-571680</v>
      </c>
      <c r="M189" s="96">
        <f>IFERROR(__xludf.DUMMYFUNCTION("""COMPUTED_VALUE"""),9.21)</f>
        <v>9.21</v>
      </c>
      <c r="N189" s="96">
        <f>IFERROR(__xludf.DUMMYFUNCTION("""COMPUTED_VALUE"""),11.0)</f>
        <v>11</v>
      </c>
      <c r="O189" s="96">
        <f>IFERROR(__xludf.DUMMYFUNCTION("""COMPUTED_VALUE"""),14.0)</f>
        <v>14</v>
      </c>
      <c r="P189" s="96">
        <f>IFERROR(__xludf.DUMMYFUNCTION("""COMPUTED_VALUE"""),0.0)</f>
        <v>0</v>
      </c>
      <c r="Q189" s="129">
        <f>IFERROR(__xludf.DUMMYFUNCTION("""COMPUTED_VALUE"""),883.0)</f>
        <v>883</v>
      </c>
      <c r="R189" s="99">
        <f>IFERROR(__xludf.DUMMYFUNCTION("""COMPUTED_VALUE"""),571680.0)</f>
        <v>571680</v>
      </c>
      <c r="S189" s="99">
        <f>IFERROR(__xludf.DUMMYFUNCTION("""COMPUTED_VALUE"""),-14400.0)</f>
        <v>-14400</v>
      </c>
    </row>
    <row r="190">
      <c r="A190" s="96">
        <f>IFERROR(__xludf.DUMMYFUNCTION("""COMPUTED_VALUE"""),3.0)</f>
        <v>3</v>
      </c>
      <c r="B190" s="98">
        <f>IFERROR(__xludf.DUMMYFUNCTION("""COMPUTED_VALUE"""),44053.0)</f>
        <v>44053</v>
      </c>
      <c r="C190" s="96" t="str">
        <f>IFERROR(__xludf.DUMMYFUNCTION("""COMPUTED_VALUE"""),"NDOMA PETER")</f>
        <v>NDOMA PETER</v>
      </c>
      <c r="D190" s="96" t="str">
        <f>IFERROR(__xludf.DUMMYFUNCTION("""COMPUTED_VALUE"""),"NDOMA PETER3")</f>
        <v>NDOMA PETER3</v>
      </c>
      <c r="E190" s="96">
        <f>IFERROR(__xludf.DUMMYFUNCTION("""COMPUTED_VALUE"""),1397.0)</f>
        <v>1397</v>
      </c>
      <c r="F190" s="96">
        <f>IFERROR(__xludf.DUMMYFUNCTION("""COMPUTED_VALUE"""),198.0)</f>
        <v>198</v>
      </c>
      <c r="G190" s="96"/>
      <c r="H190" s="96">
        <f>IFERROR(__xludf.DUMMYFUNCTION("""COMPUTED_VALUE"""),21.0)</f>
        <v>21</v>
      </c>
      <c r="I190" s="96"/>
      <c r="J190" s="96">
        <f>IFERROR(__xludf.DUMMYFUNCTION("""COMPUTED_VALUE"""),800.0)</f>
        <v>800</v>
      </c>
      <c r="K190" s="96"/>
      <c r="L190" s="99">
        <f>IFERROR(__xludf.DUMMYFUNCTION("""COMPUTED_VALUE"""),-1084800.0)</f>
        <v>-1084800</v>
      </c>
      <c r="M190" s="96">
        <f>IFERROR(__xludf.DUMMYFUNCTION("""COMPUTED_VALUE"""),9.43)</f>
        <v>9.43</v>
      </c>
      <c r="N190" s="96">
        <f>IFERROR(__xludf.DUMMYFUNCTION("""COMPUTED_VALUE"""),20.0)</f>
        <v>20</v>
      </c>
      <c r="O190" s="96">
        <f>IFERROR(__xludf.DUMMYFUNCTION("""COMPUTED_VALUE"""),21.0)</f>
        <v>21</v>
      </c>
      <c r="P190" s="96">
        <f>IFERROR(__xludf.DUMMYFUNCTION("""COMPUTED_VALUE"""),33.0)</f>
        <v>33</v>
      </c>
      <c r="Q190" s="129">
        <f>IFERROR(__xludf.DUMMYFUNCTION("""COMPUTED_VALUE"""),1356.0)</f>
        <v>1356</v>
      </c>
      <c r="R190" s="99">
        <f>IFERROR(__xludf.DUMMYFUNCTION("""COMPUTED_VALUE"""),1084800.0)</f>
        <v>1084800</v>
      </c>
      <c r="S190" s="99">
        <f>IFERROR(__xludf.DUMMYFUNCTION("""COMPUTED_VALUE"""),-484800.0)</f>
        <v>-484800</v>
      </c>
    </row>
    <row r="191">
      <c r="A191" s="96">
        <f>IFERROR(__xludf.DUMMYFUNCTION("""COMPUTED_VALUE"""),6.0)</f>
        <v>6</v>
      </c>
      <c r="B191" s="98">
        <f>IFERROR(__xludf.DUMMYFUNCTION("""COMPUTED_VALUE"""),44051.0)</f>
        <v>44051</v>
      </c>
      <c r="C191" s="96" t="str">
        <f>IFERROR(__xludf.DUMMYFUNCTION("""COMPUTED_VALUE"""),"EDWARD OKO")</f>
        <v>EDWARD OKO</v>
      </c>
      <c r="D191" s="96" t="str">
        <f>IFERROR(__xludf.DUMMYFUNCTION("""COMPUTED_VALUE"""),"EDWARD OKO6")</f>
        <v>EDWARD OKO6</v>
      </c>
      <c r="E191" s="96">
        <f>IFERROR(__xludf.DUMMYFUNCTION("""COMPUTED_VALUE"""),1596.0)</f>
        <v>1596</v>
      </c>
      <c r="F191" s="96">
        <f>IFERROR(__xludf.DUMMYFUNCTION("""COMPUTED_VALUE"""),211.5)</f>
        <v>211.5</v>
      </c>
      <c r="G191" s="96"/>
      <c r="H191" s="96">
        <f>IFERROR(__xludf.DUMMYFUNCTION("""COMPUTED_VALUE"""),24.0)</f>
        <v>24</v>
      </c>
      <c r="I191" s="96"/>
      <c r="J191" s="96">
        <f>IFERROR(__xludf.DUMMYFUNCTION("""COMPUTED_VALUE"""),820.0)</f>
        <v>820</v>
      </c>
      <c r="K191" s="96"/>
      <c r="L191" s="99">
        <f>IFERROR(__xludf.DUMMYFUNCTION("""COMPUTED_VALUE"""),-1278380.0)</f>
        <v>-1278380</v>
      </c>
      <c r="M191" s="96">
        <f>IFERROR(__xludf.DUMMYFUNCTION("""COMPUTED_VALUE"""),8.81)</f>
        <v>8.81</v>
      </c>
      <c r="N191" s="96">
        <f>IFERROR(__xludf.DUMMYFUNCTION("""COMPUTED_VALUE"""),13.0)</f>
        <v>13</v>
      </c>
      <c r="O191" s="96">
        <f>IFERROR(__xludf.DUMMYFUNCTION("""COMPUTED_VALUE"""),24.0)</f>
        <v>24</v>
      </c>
      <c r="P191" s="96">
        <f>IFERROR(__xludf.DUMMYFUNCTION("""COMPUTED_VALUE"""),47.0)</f>
        <v>47</v>
      </c>
      <c r="Q191" s="129">
        <f>IFERROR(__xludf.DUMMYFUNCTION("""COMPUTED_VALUE"""),1559.0)</f>
        <v>1559</v>
      </c>
      <c r="R191" s="99">
        <f>IFERROR(__xludf.DUMMYFUNCTION("""COMPUTED_VALUE"""),1278380.0)</f>
        <v>1278380</v>
      </c>
      <c r="S191" s="99">
        <f>IFERROR(__xludf.DUMMYFUNCTION("""COMPUTED_VALUE"""),372220.0)</f>
        <v>372220</v>
      </c>
    </row>
    <row r="192">
      <c r="A192" s="96">
        <f>IFERROR(__xludf.DUMMYFUNCTION("""COMPUTED_VALUE"""),5.0)</f>
        <v>5</v>
      </c>
      <c r="B192" s="98">
        <f>IFERROR(__xludf.DUMMYFUNCTION("""COMPUTED_VALUE"""),44048.0)</f>
        <v>44048</v>
      </c>
      <c r="C192" s="96" t="str">
        <f>IFERROR(__xludf.DUMMYFUNCTION("""COMPUTED_VALUE"""),"ALFRED ALABI")</f>
        <v>ALFRED ALABI</v>
      </c>
      <c r="D192" s="96" t="str">
        <f>IFERROR(__xludf.DUMMYFUNCTION("""COMPUTED_VALUE"""),"ALFRED ALABI5")</f>
        <v>ALFRED ALABI5</v>
      </c>
      <c r="E192" s="96">
        <f>IFERROR(__xludf.DUMMYFUNCTION("""COMPUTED_VALUE"""),1040.0)</f>
        <v>1040</v>
      </c>
      <c r="F192" s="96">
        <f>IFERROR(__xludf.DUMMYFUNCTION("""COMPUTED_VALUE"""),120.0)</f>
        <v>120</v>
      </c>
      <c r="G192" s="96"/>
      <c r="H192" s="96">
        <f>IFERROR(__xludf.DUMMYFUNCTION("""COMPUTED_VALUE"""),15.0)</f>
        <v>15</v>
      </c>
      <c r="I192" s="96"/>
      <c r="J192" s="96">
        <f>IFERROR(__xludf.DUMMYFUNCTION("""COMPUTED_VALUE"""),790.0)</f>
        <v>790</v>
      </c>
      <c r="K192" s="96"/>
      <c r="L192" s="99">
        <f>IFERROR(__xludf.DUMMYFUNCTION("""COMPUTED_VALUE"""),-809750.0)</f>
        <v>-809750</v>
      </c>
      <c r="M192" s="96">
        <f>IFERROR(__xludf.DUMMYFUNCTION("""COMPUTED_VALUE"""),8.0)</f>
        <v>8</v>
      </c>
      <c r="N192" s="96">
        <f>IFERROR(__xludf.DUMMYFUNCTION("""COMPUTED_VALUE"""),0.0)</f>
        <v>0</v>
      </c>
      <c r="O192" s="96">
        <f>IFERROR(__xludf.DUMMYFUNCTION("""COMPUTED_VALUE"""),16.0)</f>
        <v>16</v>
      </c>
      <c r="P192" s="96">
        <f>IFERROR(__xludf.DUMMYFUNCTION("""COMPUTED_VALUE"""),16.0)</f>
        <v>16</v>
      </c>
      <c r="Q192" s="129">
        <f>IFERROR(__xludf.DUMMYFUNCTION("""COMPUTED_VALUE"""),1025.0)</f>
        <v>1025</v>
      </c>
      <c r="R192" s="99">
        <f>IFERROR(__xludf.DUMMYFUNCTION("""COMPUTED_VALUE"""),809750.0)</f>
        <v>809750</v>
      </c>
      <c r="S192" s="99">
        <f>IFERROR(__xludf.DUMMYFUNCTION("""COMPUTED_VALUE"""),680250.0)</f>
        <v>680250</v>
      </c>
    </row>
    <row r="193">
      <c r="A193" s="96">
        <f>IFERROR(__xludf.DUMMYFUNCTION("""COMPUTED_VALUE"""),16.0)</f>
        <v>16</v>
      </c>
      <c r="B193" s="98">
        <f>IFERROR(__xludf.DUMMYFUNCTION("""COMPUTED_VALUE"""),44053.0)</f>
        <v>44053</v>
      </c>
      <c r="C193" s="96" t="str">
        <f>IFERROR(__xludf.DUMMYFUNCTION("""COMPUTED_VALUE"""),"RECTOR W.")</f>
        <v>RECTOR W.</v>
      </c>
      <c r="D193" s="96" t="str">
        <f>IFERROR(__xludf.DUMMYFUNCTION("""COMPUTED_VALUE"""),"RECTOR W.16")</f>
        <v>RECTOR W.16</v>
      </c>
      <c r="E193" s="96">
        <f>IFERROR(__xludf.DUMMYFUNCTION("""COMPUTED_VALUE"""),1420.0)</f>
        <v>1420</v>
      </c>
      <c r="F193" s="96">
        <f>IFERROR(__xludf.DUMMYFUNCTION("""COMPUTED_VALUE"""),176.0)</f>
        <v>176</v>
      </c>
      <c r="G193" s="96"/>
      <c r="H193" s="96">
        <f>IFERROR(__xludf.DUMMYFUNCTION("""COMPUTED_VALUE"""),22.0)</f>
        <v>22</v>
      </c>
      <c r="I193" s="96"/>
      <c r="J193" s="96">
        <f>IFERROR(__xludf.DUMMYFUNCTION("""COMPUTED_VALUE"""),780.0)</f>
        <v>780</v>
      </c>
      <c r="K193" s="96"/>
      <c r="L193" s="99">
        <f>IFERROR(__xludf.DUMMYFUNCTION("""COMPUTED_VALUE"""),-1090440.0)</f>
        <v>-1090440</v>
      </c>
      <c r="M193" s="96">
        <f>IFERROR(__xludf.DUMMYFUNCTION("""COMPUTED_VALUE"""),8.0)</f>
        <v>8</v>
      </c>
      <c r="N193" s="96">
        <f>IFERROR(__xludf.DUMMYFUNCTION("""COMPUTED_VALUE"""),0.0)</f>
        <v>0</v>
      </c>
      <c r="O193" s="96">
        <f>IFERROR(__xludf.DUMMYFUNCTION("""COMPUTED_VALUE"""),22.0)</f>
        <v>22</v>
      </c>
      <c r="P193" s="96">
        <f>IFERROR(__xludf.DUMMYFUNCTION("""COMPUTED_VALUE"""),12.0)</f>
        <v>12</v>
      </c>
      <c r="Q193" s="129">
        <f>IFERROR(__xludf.DUMMYFUNCTION("""COMPUTED_VALUE"""),1398.0)</f>
        <v>1398</v>
      </c>
      <c r="R193" s="99">
        <f>IFERROR(__xludf.DUMMYFUNCTION("""COMPUTED_VALUE"""),1090440.0)</f>
        <v>1090440</v>
      </c>
      <c r="S193" s="99">
        <f>IFERROR(__xludf.DUMMYFUNCTION("""COMPUTED_VALUE"""),4277340.0)</f>
        <v>4277340</v>
      </c>
    </row>
    <row r="194">
      <c r="A194" s="96">
        <f>IFERROR(__xludf.DUMMYFUNCTION("""COMPUTED_VALUE"""),5.0)</f>
        <v>5</v>
      </c>
      <c r="B194" s="98">
        <f>IFERROR(__xludf.DUMMYFUNCTION("""COMPUTED_VALUE"""),44053.0)</f>
        <v>44053</v>
      </c>
      <c r="C194" s="96" t="str">
        <f>IFERROR(__xludf.DUMMYFUNCTION("""COMPUTED_VALUE"""),"ZULU &amp; NDOMA")</f>
        <v>ZULU &amp; NDOMA</v>
      </c>
      <c r="D194" s="96" t="str">
        <f>IFERROR(__xludf.DUMMYFUNCTION("""COMPUTED_VALUE"""),"ZULU &amp; NDOMA5")</f>
        <v>ZULU &amp; NDOMA5</v>
      </c>
      <c r="E194" s="96">
        <f>IFERROR(__xludf.DUMMYFUNCTION("""COMPUTED_VALUE"""),129.0)</f>
        <v>129</v>
      </c>
      <c r="F194" s="96">
        <f>IFERROR(__xludf.DUMMYFUNCTION("""COMPUTED_VALUE"""),16.0)</f>
        <v>16</v>
      </c>
      <c r="G194" s="96"/>
      <c r="H194" s="96">
        <f>IFERROR(__xludf.DUMMYFUNCTION("""COMPUTED_VALUE"""),2.0)</f>
        <v>2</v>
      </c>
      <c r="I194" s="96"/>
      <c r="J194" s="96">
        <f>IFERROR(__xludf.DUMMYFUNCTION("""COMPUTED_VALUE"""),800.0)</f>
        <v>800</v>
      </c>
      <c r="K194" s="96"/>
      <c r="L194" s="99">
        <f>IFERROR(__xludf.DUMMYFUNCTION("""COMPUTED_VALUE"""),-101600.0)</f>
        <v>-101600</v>
      </c>
      <c r="M194" s="96">
        <f>IFERROR(__xludf.DUMMYFUNCTION("""COMPUTED_VALUE"""),8.0)</f>
        <v>8</v>
      </c>
      <c r="N194" s="96">
        <f>IFERROR(__xludf.DUMMYFUNCTION("""COMPUTED_VALUE"""),0.0)</f>
        <v>0</v>
      </c>
      <c r="O194" s="96">
        <f>IFERROR(__xludf.DUMMYFUNCTION("""COMPUTED_VALUE"""),2.0)</f>
        <v>2</v>
      </c>
      <c r="P194" s="96">
        <f>IFERROR(__xludf.DUMMYFUNCTION("""COMPUTED_VALUE"""),0.0)</f>
        <v>0</v>
      </c>
      <c r="Q194" s="129">
        <f>IFERROR(__xludf.DUMMYFUNCTION("""COMPUTED_VALUE"""),127.0)</f>
        <v>127</v>
      </c>
      <c r="R194" s="99">
        <f>IFERROR(__xludf.DUMMYFUNCTION("""COMPUTED_VALUE"""),101600.0)</f>
        <v>101600</v>
      </c>
      <c r="S194" s="99">
        <f>IFERROR(__xludf.DUMMYFUNCTION("""COMPUTED_VALUE"""),106800.0)</f>
        <v>106800</v>
      </c>
    </row>
    <row r="195">
      <c r="A195" s="96">
        <f>IFERROR(__xludf.DUMMYFUNCTION("""COMPUTED_VALUE"""),5.0)</f>
        <v>5</v>
      </c>
      <c r="B195" s="98">
        <f>IFERROR(__xludf.DUMMYFUNCTION("""COMPUTED_VALUE"""),44051.0)</f>
        <v>44051</v>
      </c>
      <c r="C195" s="96" t="str">
        <f>IFERROR(__xludf.DUMMYFUNCTION("""COMPUTED_VALUE"""),"BOSURU  BOSURU")</f>
        <v>BOSURU  BOSURU</v>
      </c>
      <c r="D195" s="96" t="str">
        <f>IFERROR(__xludf.DUMMYFUNCTION("""COMPUTED_VALUE"""),"BOSURU  BOSURU5")</f>
        <v>BOSURU  BOSURU5</v>
      </c>
      <c r="E195" s="96">
        <f>IFERROR(__xludf.DUMMYFUNCTION("""COMPUTED_VALUE"""),232.0)</f>
        <v>232</v>
      </c>
      <c r="F195" s="96">
        <f>IFERROR(__xludf.DUMMYFUNCTION("""COMPUTED_VALUE"""),23.66)</f>
        <v>23.66</v>
      </c>
      <c r="G195" s="96"/>
      <c r="H195" s="96">
        <f>IFERROR(__xludf.DUMMYFUNCTION("""COMPUTED_VALUE"""),2.0)</f>
        <v>2</v>
      </c>
      <c r="I195" s="96"/>
      <c r="J195" s="96">
        <f>IFERROR(__xludf.DUMMYFUNCTION("""COMPUTED_VALUE"""),800.0)</f>
        <v>800</v>
      </c>
      <c r="K195" s="96"/>
      <c r="L195" s="99">
        <f>IFERROR(__xludf.DUMMYFUNCTION("""COMPUTED_VALUE"""),-176800.0)</f>
        <v>-176800</v>
      </c>
      <c r="M195" s="96">
        <f>IFERROR(__xludf.DUMMYFUNCTION("""COMPUTED_VALUE"""),11.83)</f>
        <v>11.83</v>
      </c>
      <c r="N195" s="96">
        <f>IFERROR(__xludf.DUMMYFUNCTION("""COMPUTED_VALUE"""),9.0)</f>
        <v>9</v>
      </c>
      <c r="O195" s="96">
        <f>IFERROR(__xludf.DUMMYFUNCTION("""COMPUTED_VALUE"""),3.0)</f>
        <v>3</v>
      </c>
      <c r="P195" s="96">
        <f>IFERROR(__xludf.DUMMYFUNCTION("""COMPUTED_VALUE"""),32.0)</f>
        <v>32</v>
      </c>
      <c r="Q195" s="129">
        <f>IFERROR(__xludf.DUMMYFUNCTION("""COMPUTED_VALUE"""),221.0)</f>
        <v>221</v>
      </c>
      <c r="R195" s="99">
        <f>IFERROR(__xludf.DUMMYFUNCTION("""COMPUTED_VALUE"""),176800.0)</f>
        <v>176800</v>
      </c>
      <c r="S195" s="99">
        <f>IFERROR(__xludf.DUMMYFUNCTION("""COMPUTED_VALUE"""),1052380.0)</f>
        <v>1052380</v>
      </c>
    </row>
    <row r="196">
      <c r="A196" s="96">
        <f>IFERROR(__xludf.DUMMYFUNCTION("""COMPUTED_VALUE"""),3.0)</f>
        <v>3</v>
      </c>
      <c r="B196" s="98">
        <f>IFERROR(__xludf.DUMMYFUNCTION("""COMPUTED_VALUE"""),44052.0)</f>
        <v>44052</v>
      </c>
      <c r="C196" s="96" t="str">
        <f>IFERROR(__xludf.DUMMYFUNCTION("""COMPUTED_VALUE"""),"EUGENE")</f>
        <v>EUGENE</v>
      </c>
      <c r="D196" s="96" t="str">
        <f>IFERROR(__xludf.DUMMYFUNCTION("""COMPUTED_VALUE"""),"EUGENE3")</f>
        <v>EUGENE3</v>
      </c>
      <c r="E196" s="96">
        <f>IFERROR(__xludf.DUMMYFUNCTION("""COMPUTED_VALUE"""),212.0)</f>
        <v>212</v>
      </c>
      <c r="F196" s="96">
        <f>IFERROR(__xludf.DUMMYFUNCTION("""COMPUTED_VALUE"""),25.5)</f>
        <v>25.5</v>
      </c>
      <c r="G196" s="96"/>
      <c r="H196" s="96">
        <f>IFERROR(__xludf.DUMMYFUNCTION("""COMPUTED_VALUE"""),3.0)</f>
        <v>3</v>
      </c>
      <c r="I196" s="96"/>
      <c r="J196" s="96">
        <f>IFERROR(__xludf.DUMMYFUNCTION("""COMPUTED_VALUE"""),800.0)</f>
        <v>800</v>
      </c>
      <c r="K196" s="96"/>
      <c r="L196" s="99">
        <f>IFERROR(__xludf.DUMMYFUNCTION("""COMPUTED_VALUE"""),-166400.0)</f>
        <v>-166400</v>
      </c>
      <c r="M196" s="96">
        <f>IFERROR(__xludf.DUMMYFUNCTION("""COMPUTED_VALUE"""),8.5)</f>
        <v>8.5</v>
      </c>
      <c r="N196" s="96">
        <f>IFERROR(__xludf.DUMMYFUNCTION("""COMPUTED_VALUE"""),1.0)</f>
        <v>1</v>
      </c>
      <c r="O196" s="96">
        <f>IFERROR(__xludf.DUMMYFUNCTION("""COMPUTED_VALUE"""),3.0)</f>
        <v>3</v>
      </c>
      <c r="P196" s="96">
        <f>IFERROR(__xludf.DUMMYFUNCTION("""COMPUTED_VALUE"""),19.0)</f>
        <v>19</v>
      </c>
      <c r="Q196" s="129">
        <f>IFERROR(__xludf.DUMMYFUNCTION("""COMPUTED_VALUE"""),208.0)</f>
        <v>208</v>
      </c>
      <c r="R196" s="99">
        <f>IFERROR(__xludf.DUMMYFUNCTION("""COMPUTED_VALUE"""),166400.0)</f>
        <v>166400</v>
      </c>
      <c r="S196" s="99">
        <f>IFERROR(__xludf.DUMMYFUNCTION("""COMPUTED_VALUE"""),31200.0)</f>
        <v>31200</v>
      </c>
    </row>
    <row r="197">
      <c r="A197" s="96">
        <f>IFERROR(__xludf.DUMMYFUNCTION("""COMPUTED_VALUE"""),4.0)</f>
        <v>4</v>
      </c>
      <c r="B197" s="98">
        <f>IFERROR(__xludf.DUMMYFUNCTION("""COMPUTED_VALUE"""),44054.0)</f>
        <v>44054</v>
      </c>
      <c r="C197" s="96" t="str">
        <f>IFERROR(__xludf.DUMMYFUNCTION("""COMPUTED_VALUE"""),"EMMANUEL OKO ")</f>
        <v>EMMANUEL OKO </v>
      </c>
      <c r="D197" s="96" t="str">
        <f>IFERROR(__xludf.DUMMYFUNCTION("""COMPUTED_VALUE"""),"EMMANUEL OKO 4")</f>
        <v>EMMANUEL OKO 4</v>
      </c>
      <c r="E197" s="96">
        <f>IFERROR(__xludf.DUMMYFUNCTION("""COMPUTED_VALUE"""),133.0)</f>
        <v>133</v>
      </c>
      <c r="F197" s="96">
        <f>IFERROR(__xludf.DUMMYFUNCTION("""COMPUTED_VALUE"""),24.0)</f>
        <v>24</v>
      </c>
      <c r="G197" s="96"/>
      <c r="H197" s="96">
        <f>IFERROR(__xludf.DUMMYFUNCTION("""COMPUTED_VALUE"""),3.0)</f>
        <v>3</v>
      </c>
      <c r="I197" s="96"/>
      <c r="J197" s="96">
        <f>IFERROR(__xludf.DUMMYFUNCTION("""COMPUTED_VALUE"""),750.0)</f>
        <v>750</v>
      </c>
      <c r="K197" s="96"/>
      <c r="L197" s="99">
        <f>IFERROR(__xludf.DUMMYFUNCTION("""COMPUTED_VALUE"""),-97500.0)</f>
        <v>-97500</v>
      </c>
      <c r="M197" s="96">
        <f>IFERROR(__xludf.DUMMYFUNCTION("""COMPUTED_VALUE"""),8.0)</f>
        <v>8</v>
      </c>
      <c r="N197" s="96">
        <f>IFERROR(__xludf.DUMMYFUNCTION("""COMPUTED_VALUE"""),0.0)</f>
        <v>0</v>
      </c>
      <c r="O197" s="96">
        <f>IFERROR(__xludf.DUMMYFUNCTION("""COMPUTED_VALUE"""),2.0)</f>
        <v>2</v>
      </c>
      <c r="P197" s="96">
        <f>IFERROR(__xludf.DUMMYFUNCTION("""COMPUTED_VALUE"""),4.0)</f>
        <v>4</v>
      </c>
      <c r="Q197" s="129">
        <f>IFERROR(__xludf.DUMMYFUNCTION("""COMPUTED_VALUE"""),130.0)</f>
        <v>130</v>
      </c>
      <c r="R197" s="99">
        <f>IFERROR(__xludf.DUMMYFUNCTION("""COMPUTED_VALUE"""),97500.0)</f>
        <v>97500</v>
      </c>
      <c r="S197" s="99">
        <f>IFERROR(__xludf.DUMMYFUNCTION("""COMPUTED_VALUE"""),240750.0)</f>
        <v>240750</v>
      </c>
    </row>
    <row r="198">
      <c r="A198" s="96">
        <f>IFERROR(__xludf.DUMMYFUNCTION("""COMPUTED_VALUE"""),4.0)</f>
        <v>4</v>
      </c>
      <c r="B198" s="98">
        <f>IFERROR(__xludf.DUMMYFUNCTION("""COMPUTED_VALUE"""),44054.0)</f>
        <v>44054</v>
      </c>
      <c r="C198" s="96" t="str">
        <f>IFERROR(__xludf.DUMMYFUNCTION("""COMPUTED_VALUE"""),"NDOMA PETER")</f>
        <v>NDOMA PETER</v>
      </c>
      <c r="D198" s="96" t="str">
        <f>IFERROR(__xludf.DUMMYFUNCTION("""COMPUTED_VALUE"""),"NDOMA PETER4")</f>
        <v>NDOMA PETER4</v>
      </c>
      <c r="E198" s="96"/>
      <c r="F198" s="96"/>
      <c r="G198" s="96"/>
      <c r="H198" s="96"/>
      <c r="I198" s="96"/>
      <c r="J198" s="96"/>
      <c r="K198" s="96">
        <f>IFERROR(__xludf.DUMMYFUNCTION("""COMPUTED_VALUE"""),484800.0)</f>
        <v>484800</v>
      </c>
      <c r="L198" s="99">
        <f>IFERROR(__xludf.DUMMYFUNCTION("""COMPUTED_VALUE"""),484800.0)</f>
        <v>484800</v>
      </c>
      <c r="M198" s="96"/>
      <c r="N198" s="96">
        <f>IFERROR(__xludf.DUMMYFUNCTION("""COMPUTED_VALUE"""),0.0)</f>
        <v>0</v>
      </c>
      <c r="O198" s="96">
        <f>IFERROR(__xludf.DUMMYFUNCTION("""COMPUTED_VALUE"""),0.0)</f>
        <v>0</v>
      </c>
      <c r="P198" s="96">
        <f>IFERROR(__xludf.DUMMYFUNCTION("""COMPUTED_VALUE"""),0.0)</f>
        <v>0</v>
      </c>
      <c r="Q198" s="129">
        <f>IFERROR(__xludf.DUMMYFUNCTION("""COMPUTED_VALUE"""),0.0)</f>
        <v>0</v>
      </c>
      <c r="R198" s="99"/>
      <c r="S198" s="99">
        <f>IFERROR(__xludf.DUMMYFUNCTION("""COMPUTED_VALUE"""),0.0)</f>
        <v>0</v>
      </c>
    </row>
    <row r="199">
      <c r="A199" s="96">
        <f>IFERROR(__xludf.DUMMYFUNCTION("""COMPUTED_VALUE"""),11.0)</f>
        <v>11</v>
      </c>
      <c r="B199" s="98">
        <f>IFERROR(__xludf.DUMMYFUNCTION("""COMPUTED_VALUE"""),44054.0)</f>
        <v>44054</v>
      </c>
      <c r="C199" s="96" t="str">
        <f>IFERROR(__xludf.DUMMYFUNCTION("""COMPUTED_VALUE"""),"NDOMA BODE I.D")</f>
        <v>NDOMA BODE I.D</v>
      </c>
      <c r="D199" s="96" t="str">
        <f>IFERROR(__xludf.DUMMYFUNCTION("""COMPUTED_VALUE"""),"NDOMA BODE I.D11")</f>
        <v>NDOMA BODE I.D11</v>
      </c>
      <c r="E199" s="96"/>
      <c r="F199" s="96"/>
      <c r="G199" s="96"/>
      <c r="H199" s="96"/>
      <c r="I199" s="96"/>
      <c r="J199" s="96"/>
      <c r="K199" s="96">
        <f>IFERROR(__xludf.DUMMYFUNCTION("""COMPUTED_VALUE"""),14400.0)</f>
        <v>14400</v>
      </c>
      <c r="L199" s="99">
        <f>IFERROR(__xludf.DUMMYFUNCTION("""COMPUTED_VALUE"""),14400.0)</f>
        <v>14400</v>
      </c>
      <c r="M199" s="96"/>
      <c r="N199" s="96">
        <f>IFERROR(__xludf.DUMMYFUNCTION("""COMPUTED_VALUE"""),0.0)</f>
        <v>0</v>
      </c>
      <c r="O199" s="96">
        <f>IFERROR(__xludf.DUMMYFUNCTION("""COMPUTED_VALUE"""),0.0)</f>
        <v>0</v>
      </c>
      <c r="P199" s="96">
        <f>IFERROR(__xludf.DUMMYFUNCTION("""COMPUTED_VALUE"""),0.0)</f>
        <v>0</v>
      </c>
      <c r="Q199" s="129">
        <f>IFERROR(__xludf.DUMMYFUNCTION("""COMPUTED_VALUE"""),0.0)</f>
        <v>0</v>
      </c>
      <c r="R199" s="99"/>
      <c r="S199" s="99">
        <f>IFERROR(__xludf.DUMMYFUNCTION("""COMPUTED_VALUE"""),0.0)</f>
        <v>0</v>
      </c>
    </row>
    <row r="200">
      <c r="A200" s="96">
        <f>IFERROR(__xludf.DUMMYFUNCTION("""COMPUTED_VALUE"""),13.0)</f>
        <v>13</v>
      </c>
      <c r="B200" s="98">
        <f>IFERROR(__xludf.DUMMYFUNCTION("""COMPUTED_VALUE"""),44054.0)</f>
        <v>44054</v>
      </c>
      <c r="C200" s="96" t="str">
        <f>IFERROR(__xludf.DUMMYFUNCTION("""COMPUTED_VALUE"""),"CONNECT")</f>
        <v>CONNECT</v>
      </c>
      <c r="D200" s="96" t="str">
        <f>IFERROR(__xludf.DUMMYFUNCTION("""COMPUTED_VALUE"""),"CONNECT13")</f>
        <v>CONNECT13</v>
      </c>
      <c r="E200" s="96"/>
      <c r="F200" s="96"/>
      <c r="G200" s="96"/>
      <c r="H200" s="96"/>
      <c r="I200" s="96"/>
      <c r="J200" s="96"/>
      <c r="K200" s="96">
        <f>IFERROR(__xludf.DUMMYFUNCTION("""COMPUTED_VALUE"""),3000000.0)</f>
        <v>3000000</v>
      </c>
      <c r="L200" s="99">
        <f>IFERROR(__xludf.DUMMYFUNCTION("""COMPUTED_VALUE"""),3000000.0)</f>
        <v>3000000</v>
      </c>
      <c r="M200" s="96"/>
      <c r="N200" s="96">
        <f>IFERROR(__xludf.DUMMYFUNCTION("""COMPUTED_VALUE"""),0.0)</f>
        <v>0</v>
      </c>
      <c r="O200" s="96">
        <f>IFERROR(__xludf.DUMMYFUNCTION("""COMPUTED_VALUE"""),0.0)</f>
        <v>0</v>
      </c>
      <c r="P200" s="96">
        <f>IFERROR(__xludf.DUMMYFUNCTION("""COMPUTED_VALUE"""),0.0)</f>
        <v>0</v>
      </c>
      <c r="Q200" s="129">
        <f>IFERROR(__xludf.DUMMYFUNCTION("""COMPUTED_VALUE"""),0.0)</f>
        <v>0</v>
      </c>
      <c r="R200" s="99"/>
      <c r="S200" s="99">
        <f>IFERROR(__xludf.DUMMYFUNCTION("""COMPUTED_VALUE"""),5167400.0)</f>
        <v>5167400</v>
      </c>
    </row>
    <row r="201">
      <c r="A201" s="96">
        <f>IFERROR(__xludf.DUMMYFUNCTION("""COMPUTED_VALUE"""),14.0)</f>
        <v>14</v>
      </c>
      <c r="B201" s="98">
        <f>IFERROR(__xludf.DUMMYFUNCTION("""COMPUTED_VALUE"""),44054.0)</f>
        <v>44054</v>
      </c>
      <c r="C201" s="96" t="str">
        <f>IFERROR(__xludf.DUMMYFUNCTION("""COMPUTED_VALUE"""),"CONNECT")</f>
        <v>CONNECT</v>
      </c>
      <c r="D201" s="96" t="str">
        <f>IFERROR(__xludf.DUMMYFUNCTION("""COMPUTED_VALUE"""),"CONNECT14")</f>
        <v>CONNECT14</v>
      </c>
      <c r="E201" s="96"/>
      <c r="F201" s="96"/>
      <c r="G201" s="96"/>
      <c r="H201" s="96"/>
      <c r="I201" s="96"/>
      <c r="J201" s="96"/>
      <c r="K201" s="96">
        <f>IFERROR(__xludf.DUMMYFUNCTION("""COMPUTED_VALUE"""),100000.0)</f>
        <v>100000</v>
      </c>
      <c r="L201" s="99">
        <f>IFERROR(__xludf.DUMMYFUNCTION("""COMPUTED_VALUE"""),100000.0)</f>
        <v>100000</v>
      </c>
      <c r="M201" s="96"/>
      <c r="N201" s="96">
        <f>IFERROR(__xludf.DUMMYFUNCTION("""COMPUTED_VALUE"""),0.0)</f>
        <v>0</v>
      </c>
      <c r="O201" s="96">
        <f>IFERROR(__xludf.DUMMYFUNCTION("""COMPUTED_VALUE"""),0.0)</f>
        <v>0</v>
      </c>
      <c r="P201" s="96">
        <f>IFERROR(__xludf.DUMMYFUNCTION("""COMPUTED_VALUE"""),0.0)</f>
        <v>0</v>
      </c>
      <c r="Q201" s="129">
        <f>IFERROR(__xludf.DUMMYFUNCTION("""COMPUTED_VALUE"""),0.0)</f>
        <v>0</v>
      </c>
      <c r="R201" s="99"/>
      <c r="S201" s="99">
        <f>IFERROR(__xludf.DUMMYFUNCTION("""COMPUTED_VALUE"""),5267400.0)</f>
        <v>5267400</v>
      </c>
    </row>
    <row r="202">
      <c r="A202" s="96">
        <f>IFERROR(__xludf.DUMMYFUNCTION("""COMPUTED_VALUE"""),12.0)</f>
        <v>12</v>
      </c>
      <c r="B202" s="98">
        <f>IFERROR(__xludf.DUMMYFUNCTION("""COMPUTED_VALUE"""),44054.0)</f>
        <v>44054</v>
      </c>
      <c r="C202" s="96" t="str">
        <f>IFERROR(__xludf.DUMMYFUNCTION("""COMPUTED_VALUE"""),"NDOMA BODE I.D")</f>
        <v>NDOMA BODE I.D</v>
      </c>
      <c r="D202" s="96" t="str">
        <f>IFERROR(__xludf.DUMMYFUNCTION("""COMPUTED_VALUE"""),"NDOMA BODE I.D12")</f>
        <v>NDOMA BODE I.D12</v>
      </c>
      <c r="E202" s="96"/>
      <c r="F202" s="96"/>
      <c r="G202" s="96"/>
      <c r="H202" s="96"/>
      <c r="I202" s="96"/>
      <c r="J202" s="96"/>
      <c r="K202" s="96">
        <f>IFERROR(__xludf.DUMMYFUNCTION("""COMPUTED_VALUE"""),1000000.0)</f>
        <v>1000000</v>
      </c>
      <c r="L202" s="99">
        <f>IFERROR(__xludf.DUMMYFUNCTION("""COMPUTED_VALUE"""),1000000.0)</f>
        <v>1000000</v>
      </c>
      <c r="M202" s="96"/>
      <c r="N202" s="96">
        <f>IFERROR(__xludf.DUMMYFUNCTION("""COMPUTED_VALUE"""),0.0)</f>
        <v>0</v>
      </c>
      <c r="O202" s="96">
        <f>IFERROR(__xludf.DUMMYFUNCTION("""COMPUTED_VALUE"""),0.0)</f>
        <v>0</v>
      </c>
      <c r="P202" s="96">
        <f>IFERROR(__xludf.DUMMYFUNCTION("""COMPUTED_VALUE"""),0.0)</f>
        <v>0</v>
      </c>
      <c r="Q202" s="129">
        <f>IFERROR(__xludf.DUMMYFUNCTION("""COMPUTED_VALUE"""),0.0)</f>
        <v>0</v>
      </c>
      <c r="R202" s="99"/>
      <c r="S202" s="99">
        <f>IFERROR(__xludf.DUMMYFUNCTION("""COMPUTED_VALUE"""),1000000.0)</f>
        <v>1000000</v>
      </c>
    </row>
    <row r="203">
      <c r="A203" s="96">
        <f>IFERROR(__xludf.DUMMYFUNCTION("""COMPUTED_VALUE"""),11.0)</f>
        <v>11</v>
      </c>
      <c r="B203" s="98">
        <f>IFERROR(__xludf.DUMMYFUNCTION("""COMPUTED_VALUE"""),44054.0)</f>
        <v>44054</v>
      </c>
      <c r="C203" s="96" t="str">
        <f>IFERROR(__xludf.DUMMYFUNCTION("""COMPUTED_VALUE"""),"LIVINUS")</f>
        <v>LIVINUS</v>
      </c>
      <c r="D203" s="96" t="str">
        <f>IFERROR(__xludf.DUMMYFUNCTION("""COMPUTED_VALUE"""),"LIVINUS11")</f>
        <v>LIVINUS11</v>
      </c>
      <c r="E203" s="96"/>
      <c r="F203" s="96"/>
      <c r="G203" s="96"/>
      <c r="H203" s="96"/>
      <c r="I203" s="96"/>
      <c r="J203" s="96"/>
      <c r="K203" s="96">
        <f>IFERROR(__xludf.DUMMYFUNCTION("""COMPUTED_VALUE"""),512000.0)</f>
        <v>512000</v>
      </c>
      <c r="L203" s="99">
        <f>IFERROR(__xludf.DUMMYFUNCTION("""COMPUTED_VALUE"""),512000.0)</f>
        <v>512000</v>
      </c>
      <c r="M203" s="96"/>
      <c r="N203" s="96">
        <f>IFERROR(__xludf.DUMMYFUNCTION("""COMPUTED_VALUE"""),0.0)</f>
        <v>0</v>
      </c>
      <c r="O203" s="96">
        <f>IFERROR(__xludf.DUMMYFUNCTION("""COMPUTED_VALUE"""),0.0)</f>
        <v>0</v>
      </c>
      <c r="P203" s="96">
        <f>IFERROR(__xludf.DUMMYFUNCTION("""COMPUTED_VALUE"""),0.0)</f>
        <v>0</v>
      </c>
      <c r="Q203" s="129">
        <f>IFERROR(__xludf.DUMMYFUNCTION("""COMPUTED_VALUE"""),0.0)</f>
        <v>0</v>
      </c>
      <c r="R203" s="99"/>
      <c r="S203" s="99">
        <f>IFERROR(__xludf.DUMMYFUNCTION("""COMPUTED_VALUE"""),4427000.0)</f>
        <v>4427000</v>
      </c>
    </row>
    <row r="204">
      <c r="A204" s="96">
        <f>IFERROR(__xludf.DUMMYFUNCTION("""COMPUTED_VALUE"""),7.0)</f>
        <v>7</v>
      </c>
      <c r="B204" s="98">
        <f>IFERROR(__xludf.DUMMYFUNCTION("""COMPUTED_VALUE"""),44054.0)</f>
        <v>44054</v>
      </c>
      <c r="C204" s="96" t="str">
        <f>IFERROR(__xludf.DUMMYFUNCTION("""COMPUTED_VALUE"""),"ETUK EFFI")</f>
        <v>ETUK EFFI</v>
      </c>
      <c r="D204" s="96" t="str">
        <f>IFERROR(__xludf.DUMMYFUNCTION("""COMPUTED_VALUE"""),"ETUK EFFI7")</f>
        <v>ETUK EFFI7</v>
      </c>
      <c r="E204" s="96"/>
      <c r="F204" s="96"/>
      <c r="G204" s="96"/>
      <c r="H204" s="96"/>
      <c r="I204" s="96"/>
      <c r="J204" s="96"/>
      <c r="K204" s="96">
        <f>IFERROR(__xludf.DUMMYFUNCTION("""COMPUTED_VALUE"""),1500000.0)</f>
        <v>1500000</v>
      </c>
      <c r="L204" s="99">
        <f>IFERROR(__xludf.DUMMYFUNCTION("""COMPUTED_VALUE"""),1500000.0)</f>
        <v>1500000</v>
      </c>
      <c r="M204" s="96"/>
      <c r="N204" s="96">
        <f>IFERROR(__xludf.DUMMYFUNCTION("""COMPUTED_VALUE"""),0.0)</f>
        <v>0</v>
      </c>
      <c r="O204" s="96">
        <f>IFERROR(__xludf.DUMMYFUNCTION("""COMPUTED_VALUE"""),0.0)</f>
        <v>0</v>
      </c>
      <c r="P204" s="96">
        <f>IFERROR(__xludf.DUMMYFUNCTION("""COMPUTED_VALUE"""),0.0)</f>
        <v>0</v>
      </c>
      <c r="Q204" s="129">
        <f>IFERROR(__xludf.DUMMYFUNCTION("""COMPUTED_VALUE"""),0.0)</f>
        <v>0</v>
      </c>
      <c r="R204" s="99"/>
      <c r="S204" s="99">
        <f>IFERROR(__xludf.DUMMYFUNCTION("""COMPUTED_VALUE"""),2936860.0)</f>
        <v>2936860</v>
      </c>
    </row>
    <row r="205">
      <c r="A205" s="96">
        <f>IFERROR(__xludf.DUMMYFUNCTION("""COMPUTED_VALUE"""),2.0)</f>
        <v>2</v>
      </c>
      <c r="B205" s="98">
        <f>IFERROR(__xludf.DUMMYFUNCTION("""COMPUTED_VALUE"""),44054.0)</f>
        <v>44054</v>
      </c>
      <c r="C205" s="96" t="str">
        <f>IFERROR(__xludf.DUMMYFUNCTION("""COMPUTED_VALUE"""),"NAOMI")</f>
        <v>NAOMI</v>
      </c>
      <c r="D205" s="96" t="str">
        <f>IFERROR(__xludf.DUMMYFUNCTION("""COMPUTED_VALUE"""),"NAOMI2")</f>
        <v>NAOMI2</v>
      </c>
      <c r="E205" s="96"/>
      <c r="F205" s="96"/>
      <c r="G205" s="96"/>
      <c r="H205" s="96"/>
      <c r="I205" s="96"/>
      <c r="J205" s="96"/>
      <c r="K205" s="96">
        <f>IFERROR(__xludf.DUMMYFUNCTION("""COMPUTED_VALUE"""),10000.0)</f>
        <v>10000</v>
      </c>
      <c r="L205" s="99">
        <f>IFERROR(__xludf.DUMMYFUNCTION("""COMPUTED_VALUE"""),10000.0)</f>
        <v>10000</v>
      </c>
      <c r="M205" s="96"/>
      <c r="N205" s="96">
        <f>IFERROR(__xludf.DUMMYFUNCTION("""COMPUTED_VALUE"""),0.0)</f>
        <v>0</v>
      </c>
      <c r="O205" s="96">
        <f>IFERROR(__xludf.DUMMYFUNCTION("""COMPUTED_VALUE"""),0.0)</f>
        <v>0</v>
      </c>
      <c r="P205" s="96">
        <f>IFERROR(__xludf.DUMMYFUNCTION("""COMPUTED_VALUE"""),0.0)</f>
        <v>0</v>
      </c>
      <c r="Q205" s="129">
        <f>IFERROR(__xludf.DUMMYFUNCTION("""COMPUTED_VALUE"""),0.0)</f>
        <v>0</v>
      </c>
      <c r="R205" s="99"/>
      <c r="S205" s="99">
        <f>IFERROR(__xludf.DUMMYFUNCTION("""COMPUTED_VALUE"""),1.3100265E7)</f>
        <v>13100265</v>
      </c>
    </row>
    <row r="206">
      <c r="A206" s="96">
        <f>IFERROR(__xludf.DUMMYFUNCTION("""COMPUTED_VALUE"""),2.0)</f>
        <v>2</v>
      </c>
      <c r="B206" s="98">
        <f>IFERROR(__xludf.DUMMYFUNCTION("""COMPUTED_VALUE"""),44054.0)</f>
        <v>44054</v>
      </c>
      <c r="C206" s="96" t="str">
        <f>IFERROR(__xludf.DUMMYFUNCTION("""COMPUTED_VALUE"""),"RI SAMP")</f>
        <v>RI SAMP</v>
      </c>
      <c r="D206" s="96" t="str">
        <f>IFERROR(__xludf.DUMMYFUNCTION("""COMPUTED_VALUE"""),"RI SAMP2")</f>
        <v>RI SAMP2</v>
      </c>
      <c r="E206" s="96"/>
      <c r="F206" s="96"/>
      <c r="G206" s="96"/>
      <c r="H206" s="96"/>
      <c r="I206" s="96"/>
      <c r="J206" s="96"/>
      <c r="K206" s="96">
        <f>IFERROR(__xludf.DUMMYFUNCTION("""COMPUTED_VALUE"""),429600.0)</f>
        <v>429600</v>
      </c>
      <c r="L206" s="99">
        <f>IFERROR(__xludf.DUMMYFUNCTION("""COMPUTED_VALUE"""),429600.0)</f>
        <v>429600</v>
      </c>
      <c r="M206" s="96"/>
      <c r="N206" s="96">
        <f>IFERROR(__xludf.DUMMYFUNCTION("""COMPUTED_VALUE"""),0.0)</f>
        <v>0</v>
      </c>
      <c r="O206" s="96">
        <f>IFERROR(__xludf.DUMMYFUNCTION("""COMPUTED_VALUE"""),0.0)</f>
        <v>0</v>
      </c>
      <c r="P206" s="96">
        <f>IFERROR(__xludf.DUMMYFUNCTION("""COMPUTED_VALUE"""),0.0)</f>
        <v>0</v>
      </c>
      <c r="Q206" s="129">
        <f>IFERROR(__xludf.DUMMYFUNCTION("""COMPUTED_VALUE"""),0.0)</f>
        <v>0</v>
      </c>
      <c r="R206" s="99"/>
      <c r="S206" s="99">
        <f>IFERROR(__xludf.DUMMYFUNCTION("""COMPUTED_VALUE"""),1429600.0)</f>
        <v>1429600</v>
      </c>
    </row>
    <row r="207">
      <c r="A207" s="96">
        <f>IFERROR(__xludf.DUMMYFUNCTION("""COMPUTED_VALUE"""),8.0)</f>
        <v>8</v>
      </c>
      <c r="B207" s="98">
        <f>IFERROR(__xludf.DUMMYFUNCTION("""COMPUTED_VALUE"""),44054.0)</f>
        <v>44054</v>
      </c>
      <c r="C207" s="96" t="str">
        <f>IFERROR(__xludf.DUMMYFUNCTION("""COMPUTED_VALUE"""),"JAMES AKAN")</f>
        <v>JAMES AKAN</v>
      </c>
      <c r="D207" s="96" t="str">
        <f>IFERROR(__xludf.DUMMYFUNCTION("""COMPUTED_VALUE"""),"JAMES AKAN8")</f>
        <v>JAMES AKAN8</v>
      </c>
      <c r="E207" s="96"/>
      <c r="F207" s="96"/>
      <c r="G207" s="96"/>
      <c r="H207" s="96"/>
      <c r="I207" s="96"/>
      <c r="J207" s="96"/>
      <c r="K207" s="96">
        <f>IFERROR(__xludf.DUMMYFUNCTION("""COMPUTED_VALUE"""),670000.0)</f>
        <v>670000</v>
      </c>
      <c r="L207" s="99">
        <f>IFERROR(__xludf.DUMMYFUNCTION("""COMPUTED_VALUE"""),670000.0)</f>
        <v>670000</v>
      </c>
      <c r="M207" s="96"/>
      <c r="N207" s="96">
        <f>IFERROR(__xludf.DUMMYFUNCTION("""COMPUTED_VALUE"""),0.0)</f>
        <v>0</v>
      </c>
      <c r="O207" s="96">
        <f>IFERROR(__xludf.DUMMYFUNCTION("""COMPUTED_VALUE"""),0.0)</f>
        <v>0</v>
      </c>
      <c r="P207" s="96">
        <f>IFERROR(__xludf.DUMMYFUNCTION("""COMPUTED_VALUE"""),0.0)</f>
        <v>0</v>
      </c>
      <c r="Q207" s="129">
        <f>IFERROR(__xludf.DUMMYFUNCTION("""COMPUTED_VALUE"""),0.0)</f>
        <v>0</v>
      </c>
      <c r="R207" s="99"/>
      <c r="S207" s="99">
        <f>IFERROR(__xludf.DUMMYFUNCTION("""COMPUTED_VALUE"""),848500.0)</f>
        <v>848500</v>
      </c>
    </row>
    <row r="208">
      <c r="A208" s="96">
        <f>IFERROR(__xludf.DUMMYFUNCTION("""COMPUTED_VALUE"""),5.0)</f>
        <v>5</v>
      </c>
      <c r="B208" s="98">
        <f>IFERROR(__xludf.DUMMYFUNCTION("""COMPUTED_VALUE"""),44054.0)</f>
        <v>44054</v>
      </c>
      <c r="C208" s="96" t="str">
        <f>IFERROR(__xludf.DUMMYFUNCTION("""COMPUTED_VALUE"""),"EMMANUEL OKO ")</f>
        <v>EMMANUEL OKO </v>
      </c>
      <c r="D208" s="96" t="str">
        <f>IFERROR(__xludf.DUMMYFUNCTION("""COMPUTED_VALUE"""),"EMMANUEL OKO 5")</f>
        <v>EMMANUEL OKO 5</v>
      </c>
      <c r="E208" s="96"/>
      <c r="F208" s="96"/>
      <c r="G208" s="96"/>
      <c r="H208" s="96"/>
      <c r="I208" s="96"/>
      <c r="J208" s="96"/>
      <c r="K208" s="96">
        <f>IFERROR(__xludf.DUMMYFUNCTION("""COMPUTED_VALUE"""),500000.0)</f>
        <v>500000</v>
      </c>
      <c r="L208" s="99">
        <f>IFERROR(__xludf.DUMMYFUNCTION("""COMPUTED_VALUE"""),500000.0)</f>
        <v>500000</v>
      </c>
      <c r="M208" s="96"/>
      <c r="N208" s="96">
        <f>IFERROR(__xludf.DUMMYFUNCTION("""COMPUTED_VALUE"""),0.0)</f>
        <v>0</v>
      </c>
      <c r="O208" s="96">
        <f>IFERROR(__xludf.DUMMYFUNCTION("""COMPUTED_VALUE"""),0.0)</f>
        <v>0</v>
      </c>
      <c r="P208" s="96">
        <f>IFERROR(__xludf.DUMMYFUNCTION("""COMPUTED_VALUE"""),0.0)</f>
        <v>0</v>
      </c>
      <c r="Q208" s="129">
        <f>IFERROR(__xludf.DUMMYFUNCTION("""COMPUTED_VALUE"""),0.0)</f>
        <v>0</v>
      </c>
      <c r="R208" s="99"/>
      <c r="S208" s="99">
        <f>IFERROR(__xludf.DUMMYFUNCTION("""COMPUTED_VALUE"""),740750.0)</f>
        <v>740750</v>
      </c>
    </row>
    <row r="209">
      <c r="A209" s="96">
        <f>IFERROR(__xludf.DUMMYFUNCTION("""COMPUTED_VALUE"""),4.0)</f>
        <v>4</v>
      </c>
      <c r="B209" s="98">
        <f>IFERROR(__xludf.DUMMYFUNCTION("""COMPUTED_VALUE"""),44054.0)</f>
        <v>44054</v>
      </c>
      <c r="C209" s="96" t="str">
        <f>IFERROR(__xludf.DUMMYFUNCTION("""COMPUTED_VALUE"""),"EUGENE")</f>
        <v>EUGENE</v>
      </c>
      <c r="D209" s="96" t="str">
        <f>IFERROR(__xludf.DUMMYFUNCTION("""COMPUTED_VALUE"""),"EUGENE4")</f>
        <v>EUGENE4</v>
      </c>
      <c r="E209" s="96"/>
      <c r="F209" s="96"/>
      <c r="G209" s="96"/>
      <c r="H209" s="96"/>
      <c r="I209" s="96"/>
      <c r="J209" s="96"/>
      <c r="K209" s="96">
        <f>IFERROR(__xludf.DUMMYFUNCTION("""COMPUTED_VALUE"""),300000.0)</f>
        <v>300000</v>
      </c>
      <c r="L209" s="99">
        <f>IFERROR(__xludf.DUMMYFUNCTION("""COMPUTED_VALUE"""),300000.0)</f>
        <v>300000</v>
      </c>
      <c r="M209" s="96"/>
      <c r="N209" s="96">
        <f>IFERROR(__xludf.DUMMYFUNCTION("""COMPUTED_VALUE"""),0.0)</f>
        <v>0</v>
      </c>
      <c r="O209" s="96">
        <f>IFERROR(__xludf.DUMMYFUNCTION("""COMPUTED_VALUE"""),0.0)</f>
        <v>0</v>
      </c>
      <c r="P209" s="96">
        <f>IFERROR(__xludf.DUMMYFUNCTION("""COMPUTED_VALUE"""),0.0)</f>
        <v>0</v>
      </c>
      <c r="Q209" s="129">
        <f>IFERROR(__xludf.DUMMYFUNCTION("""COMPUTED_VALUE"""),0.0)</f>
        <v>0</v>
      </c>
      <c r="R209" s="99"/>
      <c r="S209" s="99">
        <f>IFERROR(__xludf.DUMMYFUNCTION("""COMPUTED_VALUE"""),331200.0)</f>
        <v>331200</v>
      </c>
    </row>
    <row r="210">
      <c r="A210" s="96">
        <f>IFERROR(__xludf.DUMMYFUNCTION("""COMPUTED_VALUE"""),6.0)</f>
        <v>6</v>
      </c>
      <c r="B210" s="98">
        <f>IFERROR(__xludf.DUMMYFUNCTION("""COMPUTED_VALUE"""),44054.0)</f>
        <v>44054</v>
      </c>
      <c r="C210" s="96" t="str">
        <f>IFERROR(__xludf.DUMMYFUNCTION("""COMPUTED_VALUE"""),"BOSURU  BOSURU")</f>
        <v>BOSURU  BOSURU</v>
      </c>
      <c r="D210" s="96" t="str">
        <f>IFERROR(__xludf.DUMMYFUNCTION("""COMPUTED_VALUE"""),"BOSURU  BOSURU6")</f>
        <v>BOSURU  BOSURU6</v>
      </c>
      <c r="E210" s="96"/>
      <c r="F210" s="96"/>
      <c r="G210" s="96"/>
      <c r="H210" s="96"/>
      <c r="I210" s="96"/>
      <c r="J210" s="96"/>
      <c r="K210" s="96">
        <f>IFERROR(__xludf.DUMMYFUNCTION("""COMPUTED_VALUE"""),200000.0)</f>
        <v>200000</v>
      </c>
      <c r="L210" s="99">
        <f>IFERROR(__xludf.DUMMYFUNCTION("""COMPUTED_VALUE"""),200000.0)</f>
        <v>200000</v>
      </c>
      <c r="M210" s="96"/>
      <c r="N210" s="96">
        <f>IFERROR(__xludf.DUMMYFUNCTION("""COMPUTED_VALUE"""),0.0)</f>
        <v>0</v>
      </c>
      <c r="O210" s="96">
        <f>IFERROR(__xludf.DUMMYFUNCTION("""COMPUTED_VALUE"""),0.0)</f>
        <v>0</v>
      </c>
      <c r="P210" s="96">
        <f>IFERROR(__xludf.DUMMYFUNCTION("""COMPUTED_VALUE"""),0.0)</f>
        <v>0</v>
      </c>
      <c r="Q210" s="129">
        <f>IFERROR(__xludf.DUMMYFUNCTION("""COMPUTED_VALUE"""),0.0)</f>
        <v>0</v>
      </c>
      <c r="R210" s="99"/>
      <c r="S210" s="99">
        <f>IFERROR(__xludf.DUMMYFUNCTION("""COMPUTED_VALUE"""),1252380.0)</f>
        <v>1252380</v>
      </c>
    </row>
    <row r="211">
      <c r="A211" s="96">
        <f>IFERROR(__xludf.DUMMYFUNCTION("""COMPUTED_VALUE"""),2.0)</f>
        <v>2</v>
      </c>
      <c r="B211" s="98">
        <f>IFERROR(__xludf.DUMMYFUNCTION("""COMPUTED_VALUE"""),44054.0)</f>
        <v>44054</v>
      </c>
      <c r="C211" s="96" t="str">
        <f>IFERROR(__xludf.DUMMYFUNCTION("""COMPUTED_VALUE"""),"A. D. FREDERICK")</f>
        <v>A. D. FREDERICK</v>
      </c>
      <c r="D211" s="96" t="str">
        <f>IFERROR(__xludf.DUMMYFUNCTION("""COMPUTED_VALUE"""),"A. D. FREDERICK2")</f>
        <v>A. D. FREDERICK2</v>
      </c>
      <c r="E211" s="96"/>
      <c r="F211" s="96"/>
      <c r="G211" s="96"/>
      <c r="H211" s="96"/>
      <c r="I211" s="96"/>
      <c r="J211" s="96"/>
      <c r="K211" s="96">
        <f>IFERROR(__xludf.DUMMYFUNCTION("""COMPUTED_VALUE"""),200000.0)</f>
        <v>200000</v>
      </c>
      <c r="L211" s="99">
        <f>IFERROR(__xludf.DUMMYFUNCTION("""COMPUTED_VALUE"""),200000.0)</f>
        <v>200000</v>
      </c>
      <c r="M211" s="96"/>
      <c r="N211" s="96">
        <f>IFERROR(__xludf.DUMMYFUNCTION("""COMPUTED_VALUE"""),0.0)</f>
        <v>0</v>
      </c>
      <c r="O211" s="96">
        <f>IFERROR(__xludf.DUMMYFUNCTION("""COMPUTED_VALUE"""),0.0)</f>
        <v>0</v>
      </c>
      <c r="P211" s="96">
        <f>IFERROR(__xludf.DUMMYFUNCTION("""COMPUTED_VALUE"""),0.0)</f>
        <v>0</v>
      </c>
      <c r="Q211" s="129">
        <f>IFERROR(__xludf.DUMMYFUNCTION("""COMPUTED_VALUE"""),0.0)</f>
        <v>0</v>
      </c>
      <c r="R211" s="99"/>
      <c r="S211" s="99">
        <f>IFERROR(__xludf.DUMMYFUNCTION("""COMPUTED_VALUE"""),450000.0)</f>
        <v>450000</v>
      </c>
    </row>
    <row r="212">
      <c r="A212" s="96">
        <f>IFERROR(__xludf.DUMMYFUNCTION("""COMPUTED_VALUE"""),3.0)</f>
        <v>3</v>
      </c>
      <c r="B212" s="98">
        <f>IFERROR(__xludf.DUMMYFUNCTION("""COMPUTED_VALUE"""),44054.0)</f>
        <v>44054</v>
      </c>
      <c r="C212" s="96" t="str">
        <f>IFERROR(__xludf.DUMMYFUNCTION("""COMPUTED_VALUE"""),"A. D. FREDERICK")</f>
        <v>A. D. FREDERICK</v>
      </c>
      <c r="D212" s="96" t="str">
        <f>IFERROR(__xludf.DUMMYFUNCTION("""COMPUTED_VALUE"""),"A. D. FREDERICK3")</f>
        <v>A. D. FREDERICK3</v>
      </c>
      <c r="E212" s="96"/>
      <c r="F212" s="96"/>
      <c r="G212" s="96"/>
      <c r="H212" s="96"/>
      <c r="I212" s="96"/>
      <c r="J212" s="96"/>
      <c r="K212" s="96">
        <f>IFERROR(__xludf.DUMMYFUNCTION("""COMPUTED_VALUE"""),300000.0)</f>
        <v>300000</v>
      </c>
      <c r="L212" s="99">
        <f>IFERROR(__xludf.DUMMYFUNCTION("""COMPUTED_VALUE"""),300000.0)</f>
        <v>300000</v>
      </c>
      <c r="M212" s="96"/>
      <c r="N212" s="96">
        <f>IFERROR(__xludf.DUMMYFUNCTION("""COMPUTED_VALUE"""),0.0)</f>
        <v>0</v>
      </c>
      <c r="O212" s="96">
        <f>IFERROR(__xludf.DUMMYFUNCTION("""COMPUTED_VALUE"""),0.0)</f>
        <v>0</v>
      </c>
      <c r="P212" s="96">
        <f>IFERROR(__xludf.DUMMYFUNCTION("""COMPUTED_VALUE"""),0.0)</f>
        <v>0</v>
      </c>
      <c r="Q212" s="129">
        <f>IFERROR(__xludf.DUMMYFUNCTION("""COMPUTED_VALUE"""),0.0)</f>
        <v>0</v>
      </c>
      <c r="R212" s="99"/>
      <c r="S212" s="99">
        <f>IFERROR(__xludf.DUMMYFUNCTION("""COMPUTED_VALUE"""),750000.0)</f>
        <v>750000</v>
      </c>
    </row>
    <row r="213">
      <c r="A213" s="96">
        <f>IFERROR(__xludf.DUMMYFUNCTION("""COMPUTED_VALUE"""),5.0)</f>
        <v>5</v>
      </c>
      <c r="B213" s="98">
        <f>IFERROR(__xludf.DUMMYFUNCTION("""COMPUTED_VALUE"""),44054.0)</f>
        <v>44054</v>
      </c>
      <c r="C213" s="96" t="str">
        <f>IFERROR(__xludf.DUMMYFUNCTION("""COMPUTED_VALUE"""),"NDOMA PETER")</f>
        <v>NDOMA PETER</v>
      </c>
      <c r="D213" s="96" t="str">
        <f>IFERROR(__xludf.DUMMYFUNCTION("""COMPUTED_VALUE"""),"NDOMA PETER5")</f>
        <v>NDOMA PETER5</v>
      </c>
      <c r="E213" s="96"/>
      <c r="F213" s="96"/>
      <c r="G213" s="96"/>
      <c r="H213" s="96"/>
      <c r="I213" s="96"/>
      <c r="J213" s="96"/>
      <c r="K213" s="96">
        <f>IFERROR(__xludf.DUMMYFUNCTION("""COMPUTED_VALUE"""),600000.0)</f>
        <v>600000</v>
      </c>
      <c r="L213" s="99">
        <f>IFERROR(__xludf.DUMMYFUNCTION("""COMPUTED_VALUE"""),600000.0)</f>
        <v>600000</v>
      </c>
      <c r="M213" s="96"/>
      <c r="N213" s="96">
        <f>IFERROR(__xludf.DUMMYFUNCTION("""COMPUTED_VALUE"""),0.0)</f>
        <v>0</v>
      </c>
      <c r="O213" s="96">
        <f>IFERROR(__xludf.DUMMYFUNCTION("""COMPUTED_VALUE"""),0.0)</f>
        <v>0</v>
      </c>
      <c r="P213" s="96">
        <f>IFERROR(__xludf.DUMMYFUNCTION("""COMPUTED_VALUE"""),0.0)</f>
        <v>0</v>
      </c>
      <c r="Q213" s="129">
        <f>IFERROR(__xludf.DUMMYFUNCTION("""COMPUTED_VALUE"""),0.0)</f>
        <v>0</v>
      </c>
      <c r="R213" s="99"/>
      <c r="S213" s="99">
        <f>IFERROR(__xludf.DUMMYFUNCTION("""COMPUTED_VALUE"""),600000.0)</f>
        <v>600000</v>
      </c>
    </row>
    <row r="214">
      <c r="A214" s="96">
        <f>IFERROR(__xludf.DUMMYFUNCTION("""COMPUTED_VALUE"""),1.0)</f>
        <v>1</v>
      </c>
      <c r="B214" s="98">
        <f>IFERROR(__xludf.DUMMYFUNCTION("""COMPUTED_VALUE"""),44054.0)</f>
        <v>44054</v>
      </c>
      <c r="C214" s="96" t="str">
        <f>IFERROR(__xludf.DUMMYFUNCTION("""COMPUTED_VALUE"""),"NDOMA NDOMA")</f>
        <v>NDOMA NDOMA</v>
      </c>
      <c r="D214" s="96" t="str">
        <f>IFERROR(__xludf.DUMMYFUNCTION("""COMPUTED_VALUE"""),"NDOMA NDOMA1")</f>
        <v>NDOMA NDOMA1</v>
      </c>
      <c r="E214" s="96"/>
      <c r="F214" s="96"/>
      <c r="G214" s="96"/>
      <c r="H214" s="96"/>
      <c r="I214" s="96"/>
      <c r="J214" s="96"/>
      <c r="K214" s="96">
        <f>IFERROR(__xludf.DUMMYFUNCTION("""COMPUTED_VALUE"""),200000.0)</f>
        <v>200000</v>
      </c>
      <c r="L214" s="99">
        <f>IFERROR(__xludf.DUMMYFUNCTION("""COMPUTED_VALUE"""),200000.0)</f>
        <v>200000</v>
      </c>
      <c r="M214" s="96"/>
      <c r="N214" s="96">
        <f>IFERROR(__xludf.DUMMYFUNCTION("""COMPUTED_VALUE"""),0.0)</f>
        <v>0</v>
      </c>
      <c r="O214" s="96">
        <f>IFERROR(__xludf.DUMMYFUNCTION("""COMPUTED_VALUE"""),0.0)</f>
        <v>0</v>
      </c>
      <c r="P214" s="96">
        <f>IFERROR(__xludf.DUMMYFUNCTION("""COMPUTED_VALUE"""),0.0)</f>
        <v>0</v>
      </c>
      <c r="Q214" s="129">
        <f>IFERROR(__xludf.DUMMYFUNCTION("""COMPUTED_VALUE"""),0.0)</f>
        <v>0</v>
      </c>
      <c r="R214" s="99"/>
      <c r="S214" s="99">
        <f>IFERROR(__xludf.DUMMYFUNCTION("""COMPUTED_VALUE"""),200000.0)</f>
        <v>200000</v>
      </c>
    </row>
    <row r="215">
      <c r="A215" s="96">
        <f>IFERROR(__xludf.DUMMYFUNCTION("""COMPUTED_VALUE"""),5.0)</f>
        <v>5</v>
      </c>
      <c r="B215" s="98">
        <f>IFERROR(__xludf.DUMMYFUNCTION("""COMPUTED_VALUE"""),44054.0)</f>
        <v>44054</v>
      </c>
      <c r="C215" s="96" t="str">
        <f>IFERROR(__xludf.DUMMYFUNCTION("""COMPUTED_VALUE"""),"REMMY BODES")</f>
        <v>REMMY BODES</v>
      </c>
      <c r="D215" s="96" t="str">
        <f>IFERROR(__xludf.DUMMYFUNCTION("""COMPUTED_VALUE"""),"REMMY BODES5")</f>
        <v>REMMY BODES5</v>
      </c>
      <c r="E215" s="96"/>
      <c r="F215" s="96"/>
      <c r="G215" s="96"/>
      <c r="H215" s="96"/>
      <c r="I215" s="96"/>
      <c r="J215" s="96"/>
      <c r="K215" s="96">
        <f>IFERROR(__xludf.DUMMYFUNCTION("""COMPUTED_VALUE"""),500000.0)</f>
        <v>500000</v>
      </c>
      <c r="L215" s="99">
        <f>IFERROR(__xludf.DUMMYFUNCTION("""COMPUTED_VALUE"""),500000.0)</f>
        <v>500000</v>
      </c>
      <c r="M215" s="96"/>
      <c r="N215" s="96">
        <f>IFERROR(__xludf.DUMMYFUNCTION("""COMPUTED_VALUE"""),0.0)</f>
        <v>0</v>
      </c>
      <c r="O215" s="96">
        <f>IFERROR(__xludf.DUMMYFUNCTION("""COMPUTED_VALUE"""),0.0)</f>
        <v>0</v>
      </c>
      <c r="P215" s="96">
        <f>IFERROR(__xludf.DUMMYFUNCTION("""COMPUTED_VALUE"""),0.0)</f>
        <v>0</v>
      </c>
      <c r="Q215" s="129">
        <f>IFERROR(__xludf.DUMMYFUNCTION("""COMPUTED_VALUE"""),0.0)</f>
        <v>0</v>
      </c>
      <c r="R215" s="99"/>
      <c r="S215" s="99">
        <f>IFERROR(__xludf.DUMMYFUNCTION("""COMPUTED_VALUE"""),1424060.0)</f>
        <v>1424060</v>
      </c>
    </row>
    <row r="216">
      <c r="A216" s="96">
        <f>IFERROR(__xludf.DUMMYFUNCTION("""COMPUTED_VALUE"""),6.0)</f>
        <v>6</v>
      </c>
      <c r="B216" s="98">
        <f>IFERROR(__xludf.DUMMYFUNCTION("""COMPUTED_VALUE"""),44055.0)</f>
        <v>44055</v>
      </c>
      <c r="C216" s="96" t="str">
        <f>IFERROR(__xludf.DUMMYFUNCTION("""COMPUTED_VALUE"""),"ZULU &amp; NDOMA")</f>
        <v>ZULU &amp; NDOMA</v>
      </c>
      <c r="D216" s="96" t="str">
        <f>IFERROR(__xludf.DUMMYFUNCTION("""COMPUTED_VALUE"""),"ZULU &amp; NDOMA6")</f>
        <v>ZULU &amp; NDOMA6</v>
      </c>
      <c r="E216" s="96"/>
      <c r="F216" s="96"/>
      <c r="G216" s="96"/>
      <c r="H216" s="96"/>
      <c r="I216" s="96"/>
      <c r="J216" s="96"/>
      <c r="K216" s="96">
        <f>IFERROR(__xludf.DUMMYFUNCTION("""COMPUTED_VALUE"""),100000.0)</f>
        <v>100000</v>
      </c>
      <c r="L216" s="99">
        <f>IFERROR(__xludf.DUMMYFUNCTION("""COMPUTED_VALUE"""),100000.0)</f>
        <v>100000</v>
      </c>
      <c r="M216" s="96"/>
      <c r="N216" s="96">
        <f>IFERROR(__xludf.DUMMYFUNCTION("""COMPUTED_VALUE"""),0.0)</f>
        <v>0</v>
      </c>
      <c r="O216" s="96">
        <f>IFERROR(__xludf.DUMMYFUNCTION("""COMPUTED_VALUE"""),0.0)</f>
        <v>0</v>
      </c>
      <c r="P216" s="96">
        <f>IFERROR(__xludf.DUMMYFUNCTION("""COMPUTED_VALUE"""),0.0)</f>
        <v>0</v>
      </c>
      <c r="Q216" s="129">
        <f>IFERROR(__xludf.DUMMYFUNCTION("""COMPUTED_VALUE"""),0.0)</f>
        <v>0</v>
      </c>
      <c r="R216" s="99"/>
      <c r="S216" s="99">
        <f>IFERROR(__xludf.DUMMYFUNCTION("""COMPUTED_VALUE"""),206800.0)</f>
        <v>206800</v>
      </c>
    </row>
    <row r="217">
      <c r="A217" s="96">
        <f>IFERROR(__xludf.DUMMYFUNCTION("""COMPUTED_VALUE"""),12.0)</f>
        <v>12</v>
      </c>
      <c r="B217" s="98">
        <f>IFERROR(__xludf.DUMMYFUNCTION("""COMPUTED_VALUE"""),44055.0)</f>
        <v>44055</v>
      </c>
      <c r="C217" s="96" t="str">
        <f>IFERROR(__xludf.DUMMYFUNCTION("""COMPUTED_VALUE"""),"LIVINUS")</f>
        <v>LIVINUS</v>
      </c>
      <c r="D217" s="96" t="str">
        <f>IFERROR(__xludf.DUMMYFUNCTION("""COMPUTED_VALUE"""),"LIVINUS12")</f>
        <v>LIVINUS12</v>
      </c>
      <c r="E217" s="96"/>
      <c r="F217" s="96"/>
      <c r="G217" s="96"/>
      <c r="H217" s="96"/>
      <c r="I217" s="96"/>
      <c r="J217" s="96"/>
      <c r="K217" s="96">
        <f>IFERROR(__xludf.DUMMYFUNCTION("""COMPUTED_VALUE"""),1250000.0)</f>
        <v>1250000</v>
      </c>
      <c r="L217" s="99">
        <f>IFERROR(__xludf.DUMMYFUNCTION("""COMPUTED_VALUE"""),1250000.0)</f>
        <v>1250000</v>
      </c>
      <c r="M217" s="96"/>
      <c r="N217" s="96">
        <f>IFERROR(__xludf.DUMMYFUNCTION("""COMPUTED_VALUE"""),0.0)</f>
        <v>0</v>
      </c>
      <c r="O217" s="96">
        <f>IFERROR(__xludf.DUMMYFUNCTION("""COMPUTED_VALUE"""),0.0)</f>
        <v>0</v>
      </c>
      <c r="P217" s="96">
        <f>IFERROR(__xludf.DUMMYFUNCTION("""COMPUTED_VALUE"""),0.0)</f>
        <v>0</v>
      </c>
      <c r="Q217" s="129">
        <f>IFERROR(__xludf.DUMMYFUNCTION("""COMPUTED_VALUE"""),0.0)</f>
        <v>0</v>
      </c>
      <c r="R217" s="99"/>
      <c r="S217" s="99">
        <f>IFERROR(__xludf.DUMMYFUNCTION("""COMPUTED_VALUE"""),5677000.0)</f>
        <v>5677000</v>
      </c>
    </row>
    <row r="218">
      <c r="A218" s="96">
        <f>IFERROR(__xludf.DUMMYFUNCTION("""COMPUTED_VALUE"""),1.0)</f>
        <v>1</v>
      </c>
      <c r="B218" s="98">
        <f>IFERROR(__xludf.DUMMYFUNCTION("""COMPUTED_VALUE"""),44055.0)</f>
        <v>44055</v>
      </c>
      <c r="C218" s="96" t="str">
        <f>IFERROR(__xludf.DUMMYFUNCTION("""COMPUTED_VALUE"""),"OMODION")</f>
        <v>OMODION</v>
      </c>
      <c r="D218" s="96" t="str">
        <f>IFERROR(__xludf.DUMMYFUNCTION("""COMPUTED_VALUE"""),"OMODION1")</f>
        <v>OMODION1</v>
      </c>
      <c r="E218" s="96"/>
      <c r="F218" s="96"/>
      <c r="G218" s="96"/>
      <c r="H218" s="96"/>
      <c r="I218" s="96"/>
      <c r="J218" s="96"/>
      <c r="K218" s="96">
        <f>IFERROR(__xludf.DUMMYFUNCTION("""COMPUTED_VALUE"""),500000.0)</f>
        <v>500000</v>
      </c>
      <c r="L218" s="99">
        <f>IFERROR(__xludf.DUMMYFUNCTION("""COMPUTED_VALUE"""),500000.0)</f>
        <v>500000</v>
      </c>
      <c r="M218" s="96"/>
      <c r="N218" s="96">
        <f>IFERROR(__xludf.DUMMYFUNCTION("""COMPUTED_VALUE"""),0.0)</f>
        <v>0</v>
      </c>
      <c r="O218" s="96">
        <f>IFERROR(__xludf.DUMMYFUNCTION("""COMPUTED_VALUE"""),0.0)</f>
        <v>0</v>
      </c>
      <c r="P218" s="96">
        <f>IFERROR(__xludf.DUMMYFUNCTION("""COMPUTED_VALUE"""),0.0)</f>
        <v>0</v>
      </c>
      <c r="Q218" s="129">
        <f>IFERROR(__xludf.DUMMYFUNCTION("""COMPUTED_VALUE"""),0.0)</f>
        <v>0</v>
      </c>
      <c r="R218" s="99"/>
      <c r="S218" s="99">
        <f>IFERROR(__xludf.DUMMYFUNCTION("""COMPUTED_VALUE"""),500000.0)</f>
        <v>500000</v>
      </c>
    </row>
    <row r="219">
      <c r="A219" s="96">
        <f>IFERROR(__xludf.DUMMYFUNCTION("""COMPUTED_VALUE"""),2.0)</f>
        <v>2</v>
      </c>
      <c r="B219" s="98">
        <f>IFERROR(__xludf.DUMMYFUNCTION("""COMPUTED_VALUE"""),44056.0)</f>
        <v>44056</v>
      </c>
      <c r="C219" s="96" t="str">
        <f>IFERROR(__xludf.DUMMYFUNCTION("""COMPUTED_VALUE"""),"AUGUSTINE IGBA")</f>
        <v>AUGUSTINE IGBA</v>
      </c>
      <c r="D219" s="96" t="str">
        <f>IFERROR(__xludf.DUMMYFUNCTION("""COMPUTED_VALUE"""),"AUGUSTINE IGBA2")</f>
        <v>AUGUSTINE IGBA2</v>
      </c>
      <c r="E219" s="96"/>
      <c r="F219" s="96"/>
      <c r="G219" s="96"/>
      <c r="H219" s="96"/>
      <c r="I219" s="96"/>
      <c r="J219" s="96"/>
      <c r="K219" s="96">
        <f>IFERROR(__xludf.DUMMYFUNCTION("""COMPUTED_VALUE"""),1000000.0)</f>
        <v>1000000</v>
      </c>
      <c r="L219" s="99">
        <f>IFERROR(__xludf.DUMMYFUNCTION("""COMPUTED_VALUE"""),1000000.0)</f>
        <v>1000000</v>
      </c>
      <c r="M219" s="96"/>
      <c r="N219" s="96">
        <f>IFERROR(__xludf.DUMMYFUNCTION("""COMPUTED_VALUE"""),0.0)</f>
        <v>0</v>
      </c>
      <c r="O219" s="96">
        <f>IFERROR(__xludf.DUMMYFUNCTION("""COMPUTED_VALUE"""),0.0)</f>
        <v>0</v>
      </c>
      <c r="P219" s="96">
        <f>IFERROR(__xludf.DUMMYFUNCTION("""COMPUTED_VALUE"""),0.0)</f>
        <v>0</v>
      </c>
      <c r="Q219" s="129">
        <f>IFERROR(__xludf.DUMMYFUNCTION("""COMPUTED_VALUE"""),0.0)</f>
        <v>0</v>
      </c>
      <c r="R219" s="99"/>
      <c r="S219" s="99">
        <f>IFERROR(__xludf.DUMMYFUNCTION("""COMPUTED_VALUE"""),2.125962E7)</f>
        <v>21259620</v>
      </c>
    </row>
    <row r="220">
      <c r="A220" s="96">
        <f>IFERROR(__xludf.DUMMYFUNCTION("""COMPUTED_VALUE"""),8.0)</f>
        <v>8</v>
      </c>
      <c r="B220" s="98">
        <f>IFERROR(__xludf.DUMMYFUNCTION("""COMPUTED_VALUE"""),44056.0)</f>
        <v>44056</v>
      </c>
      <c r="C220" s="96" t="str">
        <f>IFERROR(__xludf.DUMMYFUNCTION("""COMPUTED_VALUE"""),"ETUK EFFI")</f>
        <v>ETUK EFFI</v>
      </c>
      <c r="D220" s="96" t="str">
        <f>IFERROR(__xludf.DUMMYFUNCTION("""COMPUTED_VALUE"""),"ETUK EFFI8")</f>
        <v>ETUK EFFI8</v>
      </c>
      <c r="E220" s="96"/>
      <c r="F220" s="96"/>
      <c r="G220" s="96"/>
      <c r="H220" s="96"/>
      <c r="I220" s="96"/>
      <c r="J220" s="96"/>
      <c r="K220" s="96">
        <f>IFERROR(__xludf.DUMMYFUNCTION("""COMPUTED_VALUE"""),500000.0)</f>
        <v>500000</v>
      </c>
      <c r="L220" s="99">
        <f>IFERROR(__xludf.DUMMYFUNCTION("""COMPUTED_VALUE"""),500000.0)</f>
        <v>500000</v>
      </c>
      <c r="M220" s="96"/>
      <c r="N220" s="96">
        <f>IFERROR(__xludf.DUMMYFUNCTION("""COMPUTED_VALUE"""),0.0)</f>
        <v>0</v>
      </c>
      <c r="O220" s="96">
        <f>IFERROR(__xludf.DUMMYFUNCTION("""COMPUTED_VALUE"""),0.0)</f>
        <v>0</v>
      </c>
      <c r="P220" s="96">
        <f>IFERROR(__xludf.DUMMYFUNCTION("""COMPUTED_VALUE"""),0.0)</f>
        <v>0</v>
      </c>
      <c r="Q220" s="129">
        <f>IFERROR(__xludf.DUMMYFUNCTION("""COMPUTED_VALUE"""),0.0)</f>
        <v>0</v>
      </c>
      <c r="R220" s="99"/>
      <c r="S220" s="99">
        <f>IFERROR(__xludf.DUMMYFUNCTION("""COMPUTED_VALUE"""),3436860.0)</f>
        <v>3436860</v>
      </c>
    </row>
    <row r="221">
      <c r="A221" s="96">
        <f>IFERROR(__xludf.DUMMYFUNCTION("""COMPUTED_VALUE"""),14.0)</f>
        <v>14</v>
      </c>
      <c r="B221" s="98">
        <f>IFERROR(__xludf.DUMMYFUNCTION("""COMPUTED_VALUE"""),44055.0)</f>
        <v>44055</v>
      </c>
      <c r="C221" s="96" t="str">
        <f>IFERROR(__xludf.DUMMYFUNCTION("""COMPUTED_VALUE"""),"LYDIA HNSON ")</f>
        <v>LYDIA HNSON </v>
      </c>
      <c r="D221" s="96" t="str">
        <f>IFERROR(__xludf.DUMMYFUNCTION("""COMPUTED_VALUE"""),"LYDIA HNSON 14")</f>
        <v>LYDIA HNSON 14</v>
      </c>
      <c r="E221" s="96">
        <f>IFERROR(__xludf.DUMMYFUNCTION("""COMPUTED_VALUE"""),798.0)</f>
        <v>798</v>
      </c>
      <c r="F221" s="96">
        <f>IFERROR(__xludf.DUMMYFUNCTION("""COMPUTED_VALUE"""),104.0)</f>
        <v>104</v>
      </c>
      <c r="G221" s="96"/>
      <c r="H221" s="96">
        <f>IFERROR(__xludf.DUMMYFUNCTION("""COMPUTED_VALUE"""),13.0)</f>
        <v>13</v>
      </c>
      <c r="I221" s="96"/>
      <c r="J221" s="96">
        <f>IFERROR(__xludf.DUMMYFUNCTION("""COMPUTED_VALUE"""),800.0)</f>
        <v>800</v>
      </c>
      <c r="K221" s="96">
        <f>IFERROR(__xludf.DUMMYFUNCTION("""COMPUTED_VALUE"""),1000000.0)</f>
        <v>1000000</v>
      </c>
      <c r="L221" s="99">
        <f>IFERROR(__xludf.DUMMYFUNCTION("""COMPUTED_VALUE"""),372000.0)</f>
        <v>372000</v>
      </c>
      <c r="M221" s="96">
        <f>IFERROR(__xludf.DUMMYFUNCTION("""COMPUTED_VALUE"""),8.0)</f>
        <v>8</v>
      </c>
      <c r="N221" s="96">
        <f>IFERROR(__xludf.DUMMYFUNCTION("""COMPUTED_VALUE"""),0.0)</f>
        <v>0</v>
      </c>
      <c r="O221" s="96">
        <f>IFERROR(__xludf.DUMMYFUNCTION("""COMPUTED_VALUE"""),12.0)</f>
        <v>12</v>
      </c>
      <c r="P221" s="96">
        <f>IFERROR(__xludf.DUMMYFUNCTION("""COMPUTED_VALUE"""),29.0)</f>
        <v>29</v>
      </c>
      <c r="Q221" s="129">
        <f>IFERROR(__xludf.DUMMYFUNCTION("""COMPUTED_VALUE"""),785.0)</f>
        <v>785</v>
      </c>
      <c r="R221" s="99">
        <f>IFERROR(__xludf.DUMMYFUNCTION("""COMPUTED_VALUE"""),628000.0)</f>
        <v>628000</v>
      </c>
      <c r="S221" s="99">
        <f>IFERROR(__xludf.DUMMYFUNCTION("""COMPUTED_VALUE"""),3466560.0)</f>
        <v>3466560</v>
      </c>
    </row>
    <row r="222">
      <c r="A222" s="96">
        <f>IFERROR(__xludf.DUMMYFUNCTION("""COMPUTED_VALUE"""),13.0)</f>
        <v>13</v>
      </c>
      <c r="B222" s="98">
        <f>IFERROR(__xludf.DUMMYFUNCTION("""COMPUTED_VALUE"""),44055.0)</f>
        <v>44055</v>
      </c>
      <c r="C222" s="96" t="str">
        <f>IFERROR(__xludf.DUMMYFUNCTION("""COMPUTED_VALUE"""),"LIVINUS")</f>
        <v>LIVINUS</v>
      </c>
      <c r="D222" s="96" t="str">
        <f>IFERROR(__xludf.DUMMYFUNCTION("""COMPUTED_VALUE"""),"LIVINUS13")</f>
        <v>LIVINUS13</v>
      </c>
      <c r="E222" s="96"/>
      <c r="F222" s="96"/>
      <c r="G222" s="96"/>
      <c r="H222" s="96"/>
      <c r="I222" s="96"/>
      <c r="J222" s="96"/>
      <c r="K222" s="96">
        <f>IFERROR(__xludf.DUMMYFUNCTION("""COMPUTED_VALUE"""),-1000000.0)</f>
        <v>-1000000</v>
      </c>
      <c r="L222" s="99">
        <f>IFERROR(__xludf.DUMMYFUNCTION("""COMPUTED_VALUE"""),-1000000.0)</f>
        <v>-1000000</v>
      </c>
      <c r="M222" s="96"/>
      <c r="N222" s="96">
        <f>IFERROR(__xludf.DUMMYFUNCTION("""COMPUTED_VALUE"""),0.0)</f>
        <v>0</v>
      </c>
      <c r="O222" s="96">
        <f>IFERROR(__xludf.DUMMYFUNCTION("""COMPUTED_VALUE"""),0.0)</f>
        <v>0</v>
      </c>
      <c r="P222" s="96">
        <f>IFERROR(__xludf.DUMMYFUNCTION("""COMPUTED_VALUE"""),0.0)</f>
        <v>0</v>
      </c>
      <c r="Q222" s="129">
        <f>IFERROR(__xludf.DUMMYFUNCTION("""COMPUTED_VALUE"""),0.0)</f>
        <v>0</v>
      </c>
      <c r="R222" s="99"/>
      <c r="S222" s="99">
        <f>IFERROR(__xludf.DUMMYFUNCTION("""COMPUTED_VALUE"""),4677000.0)</f>
        <v>4677000</v>
      </c>
    </row>
    <row r="223">
      <c r="A223" s="96">
        <f>IFERROR(__xludf.DUMMYFUNCTION("""COMPUTED_VALUE"""),5.0)</f>
        <v>5</v>
      </c>
      <c r="B223" s="98">
        <f>IFERROR(__xludf.DUMMYFUNCTION("""COMPUTED_VALUE"""),44057.0)</f>
        <v>44057</v>
      </c>
      <c r="C223" s="96" t="str">
        <f>IFERROR(__xludf.DUMMYFUNCTION("""COMPUTED_VALUE"""),"ANDRDEW GREAT")</f>
        <v>ANDRDEW GREAT</v>
      </c>
      <c r="D223" s="96" t="str">
        <f>IFERROR(__xludf.DUMMYFUNCTION("""COMPUTED_VALUE"""),"ANDRDEW GREAT5")</f>
        <v>ANDRDEW GREAT5</v>
      </c>
      <c r="E223" s="96"/>
      <c r="F223" s="96"/>
      <c r="G223" s="96"/>
      <c r="H223" s="96"/>
      <c r="I223" s="96"/>
      <c r="J223" s="96"/>
      <c r="K223" s="96">
        <f>IFERROR(__xludf.DUMMYFUNCTION("""COMPUTED_VALUE"""),30000.0)</f>
        <v>30000</v>
      </c>
      <c r="L223" s="99">
        <f>IFERROR(__xludf.DUMMYFUNCTION("""COMPUTED_VALUE"""),30000.0)</f>
        <v>30000</v>
      </c>
      <c r="M223" s="96"/>
      <c r="N223" s="96">
        <f>IFERROR(__xludf.DUMMYFUNCTION("""COMPUTED_VALUE"""),0.0)</f>
        <v>0</v>
      </c>
      <c r="O223" s="96">
        <f>IFERROR(__xludf.DUMMYFUNCTION("""COMPUTED_VALUE"""),0.0)</f>
        <v>0</v>
      </c>
      <c r="P223" s="96">
        <f>IFERROR(__xludf.DUMMYFUNCTION("""COMPUTED_VALUE"""),0.0)</f>
        <v>0</v>
      </c>
      <c r="Q223" s="129">
        <f>IFERROR(__xludf.DUMMYFUNCTION("""COMPUTED_VALUE"""),0.0)</f>
        <v>0</v>
      </c>
      <c r="R223" s="99"/>
      <c r="S223" s="99">
        <f>IFERROR(__xludf.DUMMYFUNCTION("""COMPUTED_VALUE"""),1556950.0)</f>
        <v>1556950</v>
      </c>
    </row>
    <row r="224">
      <c r="A224" s="96">
        <f>IFERROR(__xludf.DUMMYFUNCTION("""COMPUTED_VALUE"""),2.0)</f>
        <v>2</v>
      </c>
      <c r="B224" s="98">
        <f>IFERROR(__xludf.DUMMYFUNCTION("""COMPUTED_VALUE"""),44057.0)</f>
        <v>44057</v>
      </c>
      <c r="C224" s="96" t="str">
        <f>IFERROR(__xludf.DUMMYFUNCTION("""COMPUTED_VALUE"""),"OMODION")</f>
        <v>OMODION</v>
      </c>
      <c r="D224" s="96" t="str">
        <f>IFERROR(__xludf.DUMMYFUNCTION("""COMPUTED_VALUE"""),"OMODION2")</f>
        <v>OMODION2</v>
      </c>
      <c r="E224" s="96"/>
      <c r="F224" s="96"/>
      <c r="G224" s="96"/>
      <c r="H224" s="96"/>
      <c r="I224" s="96"/>
      <c r="J224" s="96"/>
      <c r="K224" s="96">
        <f>IFERROR(__xludf.DUMMYFUNCTION("""COMPUTED_VALUE"""),330000.0)</f>
        <v>330000</v>
      </c>
      <c r="L224" s="99">
        <f>IFERROR(__xludf.DUMMYFUNCTION("""COMPUTED_VALUE"""),330000.0)</f>
        <v>330000</v>
      </c>
      <c r="M224" s="96"/>
      <c r="N224" s="96">
        <f>IFERROR(__xludf.DUMMYFUNCTION("""COMPUTED_VALUE"""),0.0)</f>
        <v>0</v>
      </c>
      <c r="O224" s="96">
        <f>IFERROR(__xludf.DUMMYFUNCTION("""COMPUTED_VALUE"""),0.0)</f>
        <v>0</v>
      </c>
      <c r="P224" s="96">
        <f>IFERROR(__xludf.DUMMYFUNCTION("""COMPUTED_VALUE"""),0.0)</f>
        <v>0</v>
      </c>
      <c r="Q224" s="129">
        <f>IFERROR(__xludf.DUMMYFUNCTION("""COMPUTED_VALUE"""),0.0)</f>
        <v>0</v>
      </c>
      <c r="R224" s="99"/>
      <c r="S224" s="99">
        <f>IFERROR(__xludf.DUMMYFUNCTION("""COMPUTED_VALUE"""),830000.0)</f>
        <v>830000</v>
      </c>
    </row>
    <row r="225">
      <c r="A225" s="96">
        <f>IFERROR(__xludf.DUMMYFUNCTION("""COMPUTED_VALUE"""),2.0)</f>
        <v>2</v>
      </c>
      <c r="B225" s="98">
        <f>IFERROR(__xludf.DUMMYFUNCTION("""COMPUTED_VALUE"""),44057.0)</f>
        <v>44057</v>
      </c>
      <c r="C225" s="96" t="str">
        <f>IFERROR(__xludf.DUMMYFUNCTION("""COMPUTED_VALUE"""),"OBIM TIWA HNSON")</f>
        <v>OBIM TIWA HNSON</v>
      </c>
      <c r="D225" s="96" t="str">
        <f>IFERROR(__xludf.DUMMYFUNCTION("""COMPUTED_VALUE"""),"OBIM TIWA HNSON2")</f>
        <v>OBIM TIWA HNSON2</v>
      </c>
      <c r="E225" s="96"/>
      <c r="F225" s="96"/>
      <c r="G225" s="96"/>
      <c r="H225" s="96"/>
      <c r="I225" s="96"/>
      <c r="J225" s="96"/>
      <c r="K225" s="96">
        <f>IFERROR(__xludf.DUMMYFUNCTION("""COMPUTED_VALUE"""),500000.0)</f>
        <v>500000</v>
      </c>
      <c r="L225" s="99">
        <f>IFERROR(__xludf.DUMMYFUNCTION("""COMPUTED_VALUE"""),500000.0)</f>
        <v>500000</v>
      </c>
      <c r="M225" s="96"/>
      <c r="N225" s="96">
        <f>IFERROR(__xludf.DUMMYFUNCTION("""COMPUTED_VALUE"""),0.0)</f>
        <v>0</v>
      </c>
      <c r="O225" s="96">
        <f>IFERROR(__xludf.DUMMYFUNCTION("""COMPUTED_VALUE"""),0.0)</f>
        <v>0</v>
      </c>
      <c r="P225" s="96">
        <f>IFERROR(__xludf.DUMMYFUNCTION("""COMPUTED_VALUE"""),0.0)</f>
        <v>0</v>
      </c>
      <c r="Q225" s="129">
        <f>IFERROR(__xludf.DUMMYFUNCTION("""COMPUTED_VALUE"""),0.0)</f>
        <v>0</v>
      </c>
      <c r="R225" s="99"/>
      <c r="S225" s="99">
        <f>IFERROR(__xludf.DUMMYFUNCTION("""COMPUTED_VALUE"""),590000.0)</f>
        <v>590000</v>
      </c>
    </row>
    <row r="226">
      <c r="A226" s="96">
        <f>IFERROR(__xludf.DUMMYFUNCTION("""COMPUTED_VALUE"""),3.0)</f>
        <v>3</v>
      </c>
      <c r="B226" s="98">
        <f>IFERROR(__xludf.DUMMYFUNCTION("""COMPUTED_VALUE"""),44057.0)</f>
        <v>44057</v>
      </c>
      <c r="C226" s="96" t="str">
        <f>IFERROR(__xludf.DUMMYFUNCTION("""COMPUTED_VALUE"""),"OBIM TIWA HNSON")</f>
        <v>OBIM TIWA HNSON</v>
      </c>
      <c r="D226" s="96" t="str">
        <f>IFERROR(__xludf.DUMMYFUNCTION("""COMPUTED_VALUE"""),"OBIM TIWA HNSON3")</f>
        <v>OBIM TIWA HNSON3</v>
      </c>
      <c r="E226" s="96"/>
      <c r="F226" s="96"/>
      <c r="G226" s="96"/>
      <c r="H226" s="96"/>
      <c r="I226" s="96"/>
      <c r="J226" s="96"/>
      <c r="K226" s="96">
        <f>IFERROR(__xludf.DUMMYFUNCTION("""COMPUTED_VALUE"""),20000.0)</f>
        <v>20000</v>
      </c>
      <c r="L226" s="99">
        <f>IFERROR(__xludf.DUMMYFUNCTION("""COMPUTED_VALUE"""),20000.0)</f>
        <v>20000</v>
      </c>
      <c r="M226" s="96"/>
      <c r="N226" s="96">
        <f>IFERROR(__xludf.DUMMYFUNCTION("""COMPUTED_VALUE"""),0.0)</f>
        <v>0</v>
      </c>
      <c r="O226" s="96">
        <f>IFERROR(__xludf.DUMMYFUNCTION("""COMPUTED_VALUE"""),0.0)</f>
        <v>0</v>
      </c>
      <c r="P226" s="96">
        <f>IFERROR(__xludf.DUMMYFUNCTION("""COMPUTED_VALUE"""),0.0)</f>
        <v>0</v>
      </c>
      <c r="Q226" s="129">
        <f>IFERROR(__xludf.DUMMYFUNCTION("""COMPUTED_VALUE"""),0.0)</f>
        <v>0</v>
      </c>
      <c r="R226" s="99"/>
      <c r="S226" s="99">
        <f>IFERROR(__xludf.DUMMYFUNCTION("""COMPUTED_VALUE"""),610000.0)</f>
        <v>610000</v>
      </c>
    </row>
    <row r="227">
      <c r="A227" s="96">
        <f>IFERROR(__xludf.DUMMYFUNCTION("""COMPUTED_VALUE"""),7.0)</f>
        <v>7</v>
      </c>
      <c r="B227" s="98">
        <f>IFERROR(__xludf.DUMMYFUNCTION("""COMPUTED_VALUE"""),44041.0)</f>
        <v>44041</v>
      </c>
      <c r="C227" s="96" t="str">
        <f>IFERROR(__xludf.DUMMYFUNCTION("""COMPUTED_VALUE"""),"EDWARD OKO")</f>
        <v>EDWARD OKO</v>
      </c>
      <c r="D227" s="96" t="str">
        <f>IFERROR(__xludf.DUMMYFUNCTION("""COMPUTED_VALUE"""),"EDWARD OKO7")</f>
        <v>EDWARD OKO7</v>
      </c>
      <c r="E227" s="96">
        <f>IFERROR(__xludf.DUMMYFUNCTION("""COMPUTED_VALUE"""),93.0)</f>
        <v>93</v>
      </c>
      <c r="F227" s="96">
        <f>IFERROR(__xludf.DUMMYFUNCTION("""COMPUTED_VALUE"""),8.0)</f>
        <v>8</v>
      </c>
      <c r="G227" s="96"/>
      <c r="H227" s="96">
        <f>IFERROR(__xludf.DUMMYFUNCTION("""COMPUTED_VALUE"""),1.0)</f>
        <v>1</v>
      </c>
      <c r="I227" s="96"/>
      <c r="J227" s="96">
        <f>IFERROR(__xludf.DUMMYFUNCTION("""COMPUTED_VALUE"""),552.07)</f>
        <v>552.07</v>
      </c>
      <c r="K227" s="96"/>
      <c r="L227" s="99">
        <f>IFERROR(__xludf.DUMMYFUNCTION("""COMPUTED_VALUE"""),-50790.0)</f>
        <v>-50790</v>
      </c>
      <c r="M227" s="96">
        <f>IFERROR(__xludf.DUMMYFUNCTION("""COMPUTED_VALUE"""),8.0)</f>
        <v>8</v>
      </c>
      <c r="N227" s="96">
        <f>IFERROR(__xludf.DUMMYFUNCTION("""COMPUTED_VALUE"""),0.0)</f>
        <v>0</v>
      </c>
      <c r="O227" s="96">
        <f>IFERROR(__xludf.DUMMYFUNCTION("""COMPUTED_VALUE"""),1.0)</f>
        <v>1</v>
      </c>
      <c r="P227" s="96">
        <f>IFERROR(__xludf.DUMMYFUNCTION("""COMPUTED_VALUE"""),29.0)</f>
        <v>29</v>
      </c>
      <c r="Q227" s="129">
        <f>IFERROR(__xludf.DUMMYFUNCTION("""COMPUTED_VALUE"""),92.0)</f>
        <v>92</v>
      </c>
      <c r="R227" s="99">
        <f>IFERROR(__xludf.DUMMYFUNCTION("""COMPUTED_VALUE"""),50790.0)</f>
        <v>50790</v>
      </c>
      <c r="S227" s="99">
        <f>IFERROR(__xludf.DUMMYFUNCTION("""COMPUTED_VALUE"""),321430.0)</f>
        <v>321430</v>
      </c>
    </row>
    <row r="228">
      <c r="A228" s="96">
        <f>IFERROR(__xludf.DUMMYFUNCTION("""COMPUTED_VALUE"""),4.0)</f>
        <v>4</v>
      </c>
      <c r="B228" s="98">
        <f>IFERROR(__xludf.DUMMYFUNCTION("""COMPUTED_VALUE"""),44054.0)</f>
        <v>44054</v>
      </c>
      <c r="C228" s="96" t="str">
        <f>IFERROR(__xludf.DUMMYFUNCTION("""COMPUTED_VALUE"""),"A. D. FREDERICK")</f>
        <v>A. D. FREDERICK</v>
      </c>
      <c r="D228" s="96" t="str">
        <f>IFERROR(__xludf.DUMMYFUNCTION("""COMPUTED_VALUE"""),"A. D. FREDERICK4")</f>
        <v>A. D. FREDERICK4</v>
      </c>
      <c r="E228" s="96">
        <f>IFERROR(__xludf.DUMMYFUNCTION("""COMPUTED_VALUE"""),321.0)</f>
        <v>321</v>
      </c>
      <c r="F228" s="96">
        <f>IFERROR(__xludf.DUMMYFUNCTION("""COMPUTED_VALUE"""),40.0)</f>
        <v>40</v>
      </c>
      <c r="G228" s="96"/>
      <c r="H228" s="96">
        <f>IFERROR(__xludf.DUMMYFUNCTION("""COMPUTED_VALUE"""),5.0)</f>
        <v>5</v>
      </c>
      <c r="I228" s="96"/>
      <c r="J228" s="96">
        <f>IFERROR(__xludf.DUMMYFUNCTION("""COMPUTED_VALUE"""),800.0)</f>
        <v>800</v>
      </c>
      <c r="K228" s="96"/>
      <c r="L228" s="99">
        <f>IFERROR(__xludf.DUMMYFUNCTION("""COMPUTED_VALUE"""),-252800.0)</f>
        <v>-252800</v>
      </c>
      <c r="M228" s="96">
        <f>IFERROR(__xludf.DUMMYFUNCTION("""COMPUTED_VALUE"""),8.0)</f>
        <v>8</v>
      </c>
      <c r="N228" s="96">
        <f>IFERROR(__xludf.DUMMYFUNCTION("""COMPUTED_VALUE"""),0.0)</f>
        <v>0</v>
      </c>
      <c r="O228" s="96">
        <f>IFERROR(__xludf.DUMMYFUNCTION("""COMPUTED_VALUE"""),5.0)</f>
        <v>5</v>
      </c>
      <c r="P228" s="96">
        <f>IFERROR(__xludf.DUMMYFUNCTION("""COMPUTED_VALUE"""),0.0)</f>
        <v>0</v>
      </c>
      <c r="Q228" s="129">
        <f>IFERROR(__xludf.DUMMYFUNCTION("""COMPUTED_VALUE"""),316.0)</f>
        <v>316</v>
      </c>
      <c r="R228" s="99">
        <f>IFERROR(__xludf.DUMMYFUNCTION("""COMPUTED_VALUE"""),252800.0)</f>
        <v>252800</v>
      </c>
      <c r="S228" s="99">
        <f>IFERROR(__xludf.DUMMYFUNCTION("""COMPUTED_VALUE"""),497200.0)</f>
        <v>497200</v>
      </c>
    </row>
    <row r="229">
      <c r="A229" s="96">
        <f>IFERROR(__xludf.DUMMYFUNCTION("""COMPUTED_VALUE"""),6.0)</f>
        <v>6</v>
      </c>
      <c r="B229" s="98">
        <f>IFERROR(__xludf.DUMMYFUNCTION("""COMPUTED_VALUE"""),44057.0)</f>
        <v>44057</v>
      </c>
      <c r="C229" s="96" t="str">
        <f>IFERROR(__xludf.DUMMYFUNCTION("""COMPUTED_VALUE"""),"ANDRDEW GREAT")</f>
        <v>ANDRDEW GREAT</v>
      </c>
      <c r="D229" s="96" t="str">
        <f>IFERROR(__xludf.DUMMYFUNCTION("""COMPUTED_VALUE"""),"ANDRDEW GREAT6")</f>
        <v>ANDRDEW GREAT6</v>
      </c>
      <c r="E229" s="96">
        <f>IFERROR(__xludf.DUMMYFUNCTION("""COMPUTED_VALUE"""),447.0)</f>
        <v>447</v>
      </c>
      <c r="F229" s="96">
        <f>IFERROR(__xludf.DUMMYFUNCTION("""COMPUTED_VALUE"""),67.5)</f>
        <v>67.5</v>
      </c>
      <c r="G229" s="96"/>
      <c r="H229" s="96">
        <f>IFERROR(__xludf.DUMMYFUNCTION("""COMPUTED_VALUE"""),7.0)</f>
        <v>7</v>
      </c>
      <c r="I229" s="96">
        <f>IFERROR(__xludf.DUMMYFUNCTION("""COMPUTED_VALUE"""),1.0)</f>
        <v>1</v>
      </c>
      <c r="J229" s="96">
        <f>IFERROR(__xludf.DUMMYFUNCTION("""COMPUTED_VALUE"""),820.0)</f>
        <v>820</v>
      </c>
      <c r="K229" s="96"/>
      <c r="L229" s="99">
        <f>IFERROR(__xludf.DUMMYFUNCTION("""COMPUTED_VALUE"""),-355880.0)</f>
        <v>-355880</v>
      </c>
      <c r="M229" s="96">
        <f>IFERROR(__xludf.DUMMYFUNCTION("""COMPUTED_VALUE"""),9.64)</f>
        <v>9.64</v>
      </c>
      <c r="N229" s="96">
        <f>IFERROR(__xludf.DUMMYFUNCTION("""COMPUTED_VALUE"""),7.0)</f>
        <v>7</v>
      </c>
      <c r="O229" s="96">
        <f>IFERROR(__xludf.DUMMYFUNCTION("""COMPUTED_VALUE"""),6.0)</f>
        <v>6</v>
      </c>
      <c r="P229" s="96">
        <f>IFERROR(__xludf.DUMMYFUNCTION("""COMPUTED_VALUE"""),56.0)</f>
        <v>56</v>
      </c>
      <c r="Q229" s="129">
        <f>IFERROR(__xludf.DUMMYFUNCTION("""COMPUTED_VALUE"""),434.0)</f>
        <v>434</v>
      </c>
      <c r="R229" s="99">
        <f>IFERROR(__xludf.DUMMYFUNCTION("""COMPUTED_VALUE"""),355880.0)</f>
        <v>355880</v>
      </c>
      <c r="S229" s="99">
        <f>IFERROR(__xludf.DUMMYFUNCTION("""COMPUTED_VALUE"""),1201070.0)</f>
        <v>1201070</v>
      </c>
    </row>
    <row r="230">
      <c r="A230" s="96">
        <f>IFERROR(__xludf.DUMMYFUNCTION("""COMPUTED_VALUE"""),15.0)</f>
        <v>15</v>
      </c>
      <c r="B230" s="98">
        <f>IFERROR(__xludf.DUMMYFUNCTION("""COMPUTED_VALUE"""),44056.0)</f>
        <v>44056</v>
      </c>
      <c r="C230" s="96" t="str">
        <f>IFERROR(__xludf.DUMMYFUNCTION("""COMPUTED_VALUE"""),"CONNECT")</f>
        <v>CONNECT</v>
      </c>
      <c r="D230" s="96" t="str">
        <f>IFERROR(__xludf.DUMMYFUNCTION("""COMPUTED_VALUE"""),"CONNECT15")</f>
        <v>CONNECT15</v>
      </c>
      <c r="E230" s="96">
        <f>IFERROR(__xludf.DUMMYFUNCTION("""COMPUTED_VALUE"""),2652.0)</f>
        <v>2652</v>
      </c>
      <c r="F230" s="96">
        <f>IFERROR(__xludf.DUMMYFUNCTION("""COMPUTED_VALUE"""),328.0)</f>
        <v>328</v>
      </c>
      <c r="G230" s="96"/>
      <c r="H230" s="96">
        <f>IFERROR(__xludf.DUMMYFUNCTION("""COMPUTED_VALUE"""),41.0)</f>
        <v>41</v>
      </c>
      <c r="I230" s="96">
        <f>IFERROR(__xludf.DUMMYFUNCTION("""COMPUTED_VALUE"""),4.0)</f>
        <v>4</v>
      </c>
      <c r="J230" s="96">
        <f>IFERROR(__xludf.DUMMYFUNCTION("""COMPUTED_VALUE"""),820.0)</f>
        <v>820</v>
      </c>
      <c r="K230" s="96"/>
      <c r="L230" s="99">
        <f>IFERROR(__xludf.DUMMYFUNCTION("""COMPUTED_VALUE"""),-2144300.0)</f>
        <v>-2144300</v>
      </c>
      <c r="M230" s="96">
        <f>IFERROR(__xludf.DUMMYFUNCTION("""COMPUTED_VALUE"""),8.0)</f>
        <v>8</v>
      </c>
      <c r="N230" s="96">
        <f>IFERROR(__xludf.DUMMYFUNCTION("""COMPUTED_VALUE"""),0.0)</f>
        <v>0</v>
      </c>
      <c r="O230" s="96">
        <f>IFERROR(__xludf.DUMMYFUNCTION("""COMPUTED_VALUE"""),41.0)</f>
        <v>41</v>
      </c>
      <c r="P230" s="96">
        <f>IFERROR(__xludf.DUMMYFUNCTION("""COMPUTED_VALUE"""),31.0)</f>
        <v>31</v>
      </c>
      <c r="Q230" s="129">
        <f>IFERROR(__xludf.DUMMYFUNCTION("""COMPUTED_VALUE"""),2615.0)</f>
        <v>2615</v>
      </c>
      <c r="R230" s="99">
        <f>IFERROR(__xludf.DUMMYFUNCTION("""COMPUTED_VALUE"""),2144300.0)</f>
        <v>2144300</v>
      </c>
      <c r="S230" s="99">
        <f>IFERROR(__xludf.DUMMYFUNCTION("""COMPUTED_VALUE"""),3123100.0)</f>
        <v>3123100</v>
      </c>
    </row>
    <row r="231">
      <c r="A231" s="96">
        <f>IFERROR(__xludf.DUMMYFUNCTION("""COMPUTED_VALUE"""),9.0)</f>
        <v>9</v>
      </c>
      <c r="B231" s="98">
        <f>IFERROR(__xludf.DUMMYFUNCTION("""COMPUTED_VALUE"""),44055.0)</f>
        <v>44055</v>
      </c>
      <c r="C231" s="96" t="str">
        <f>IFERROR(__xludf.DUMMYFUNCTION("""COMPUTED_VALUE"""),"ETUK EFFI")</f>
        <v>ETUK EFFI</v>
      </c>
      <c r="D231" s="96" t="str">
        <f>IFERROR(__xludf.DUMMYFUNCTION("""COMPUTED_VALUE"""),"ETUK EFFI9")</f>
        <v>ETUK EFFI9</v>
      </c>
      <c r="E231" s="96">
        <f>IFERROR(__xludf.DUMMYFUNCTION("""COMPUTED_VALUE"""),1686.0)</f>
        <v>1686</v>
      </c>
      <c r="F231" s="96">
        <f>IFERROR(__xludf.DUMMYFUNCTION("""COMPUTED_VALUE"""),208.0)</f>
        <v>208</v>
      </c>
      <c r="G231" s="96"/>
      <c r="H231" s="96">
        <f>IFERROR(__xludf.DUMMYFUNCTION("""COMPUTED_VALUE"""),26.0)</f>
        <v>26</v>
      </c>
      <c r="I231" s="96"/>
      <c r="J231" s="96">
        <f>IFERROR(__xludf.DUMMYFUNCTION("""COMPUTED_VALUE"""),810.0)</f>
        <v>810</v>
      </c>
      <c r="K231" s="96"/>
      <c r="L231" s="99">
        <f>IFERROR(__xludf.DUMMYFUNCTION("""COMPUTED_VALUE"""),-1344600.0)</f>
        <v>-1344600</v>
      </c>
      <c r="M231" s="96">
        <f>IFERROR(__xludf.DUMMYFUNCTION("""COMPUTED_VALUE"""),8.0)</f>
        <v>8</v>
      </c>
      <c r="N231" s="96">
        <f>IFERROR(__xludf.DUMMYFUNCTION("""COMPUTED_VALUE"""),0.0)</f>
        <v>0</v>
      </c>
      <c r="O231" s="96">
        <f>IFERROR(__xludf.DUMMYFUNCTION("""COMPUTED_VALUE"""),26.0)</f>
        <v>26</v>
      </c>
      <c r="P231" s="96">
        <f>IFERROR(__xludf.DUMMYFUNCTION("""COMPUTED_VALUE"""),21.0)</f>
        <v>21</v>
      </c>
      <c r="Q231" s="129">
        <f>IFERROR(__xludf.DUMMYFUNCTION("""COMPUTED_VALUE"""),1660.0)</f>
        <v>1660</v>
      </c>
      <c r="R231" s="99">
        <f>IFERROR(__xludf.DUMMYFUNCTION("""COMPUTED_VALUE"""),1344600.0)</f>
        <v>1344600</v>
      </c>
      <c r="S231" s="99">
        <f>IFERROR(__xludf.DUMMYFUNCTION("""COMPUTED_VALUE"""),2092260.0)</f>
        <v>2092260</v>
      </c>
    </row>
    <row r="232">
      <c r="A232" s="96">
        <f>IFERROR(__xludf.DUMMYFUNCTION("""COMPUTED_VALUE"""),7.0)</f>
        <v>7</v>
      </c>
      <c r="B232" s="98">
        <f>IFERROR(__xludf.DUMMYFUNCTION("""COMPUTED_VALUE"""),44058.0)</f>
        <v>44058</v>
      </c>
      <c r="C232" s="96" t="str">
        <f>IFERROR(__xludf.DUMMYFUNCTION("""COMPUTED_VALUE"""),"ANDRDEW GREAT")</f>
        <v>ANDRDEW GREAT</v>
      </c>
      <c r="D232" s="96" t="str">
        <f>IFERROR(__xludf.DUMMYFUNCTION("""COMPUTED_VALUE"""),"ANDRDEW GREAT7")</f>
        <v>ANDRDEW GREAT7</v>
      </c>
      <c r="E232" s="96"/>
      <c r="F232" s="96"/>
      <c r="G232" s="96"/>
      <c r="H232" s="96"/>
      <c r="I232" s="96"/>
      <c r="J232" s="96"/>
      <c r="K232" s="96">
        <f>IFERROR(__xludf.DUMMYFUNCTION("""COMPUTED_VALUE"""),355880.0)</f>
        <v>355880</v>
      </c>
      <c r="L232" s="99">
        <f>IFERROR(__xludf.DUMMYFUNCTION("""COMPUTED_VALUE"""),355880.0)</f>
        <v>355880</v>
      </c>
      <c r="M232" s="96"/>
      <c r="N232" s="96">
        <f>IFERROR(__xludf.DUMMYFUNCTION("""COMPUTED_VALUE"""),0.0)</f>
        <v>0</v>
      </c>
      <c r="O232" s="96">
        <f>IFERROR(__xludf.DUMMYFUNCTION("""COMPUTED_VALUE"""),0.0)</f>
        <v>0</v>
      </c>
      <c r="P232" s="96">
        <f>IFERROR(__xludf.DUMMYFUNCTION("""COMPUTED_VALUE"""),0.0)</f>
        <v>0</v>
      </c>
      <c r="Q232" s="129">
        <f>IFERROR(__xludf.DUMMYFUNCTION("""COMPUTED_VALUE"""),0.0)</f>
        <v>0</v>
      </c>
      <c r="R232" s="99"/>
      <c r="S232" s="99">
        <f>IFERROR(__xludf.DUMMYFUNCTION("""COMPUTED_VALUE"""),1556950.0)</f>
        <v>1556950</v>
      </c>
    </row>
    <row r="233">
      <c r="A233" s="96">
        <f>IFERROR(__xludf.DUMMYFUNCTION("""COMPUTED_VALUE"""),17.0)</f>
        <v>17</v>
      </c>
      <c r="B233" s="98">
        <f>IFERROR(__xludf.DUMMYFUNCTION("""COMPUTED_VALUE"""),44058.0)</f>
        <v>44058</v>
      </c>
      <c r="C233" s="96" t="str">
        <f>IFERROR(__xludf.DUMMYFUNCTION("""COMPUTED_VALUE"""),"RECTOR W.")</f>
        <v>RECTOR W.</v>
      </c>
      <c r="D233" s="96" t="str">
        <f>IFERROR(__xludf.DUMMYFUNCTION("""COMPUTED_VALUE"""),"RECTOR W.17")</f>
        <v>RECTOR W.17</v>
      </c>
      <c r="E233" s="96"/>
      <c r="F233" s="96"/>
      <c r="G233" s="96"/>
      <c r="H233" s="96"/>
      <c r="I233" s="96"/>
      <c r="J233" s="96"/>
      <c r="K233" s="96">
        <f>IFERROR(__xludf.DUMMYFUNCTION("""COMPUTED_VALUE"""),250000.0)</f>
        <v>250000</v>
      </c>
      <c r="L233" s="99">
        <f>IFERROR(__xludf.DUMMYFUNCTION("""COMPUTED_VALUE"""),250000.0)</f>
        <v>250000</v>
      </c>
      <c r="M233" s="96"/>
      <c r="N233" s="96">
        <f>IFERROR(__xludf.DUMMYFUNCTION("""COMPUTED_VALUE"""),0.0)</f>
        <v>0</v>
      </c>
      <c r="O233" s="96">
        <f>IFERROR(__xludf.DUMMYFUNCTION("""COMPUTED_VALUE"""),0.0)</f>
        <v>0</v>
      </c>
      <c r="P233" s="96">
        <f>IFERROR(__xludf.DUMMYFUNCTION("""COMPUTED_VALUE"""),0.0)</f>
        <v>0</v>
      </c>
      <c r="Q233" s="129">
        <f>IFERROR(__xludf.DUMMYFUNCTION("""COMPUTED_VALUE"""),0.0)</f>
        <v>0</v>
      </c>
      <c r="R233" s="99"/>
      <c r="S233" s="99">
        <f>IFERROR(__xludf.DUMMYFUNCTION("""COMPUTED_VALUE"""),4527340.0)</f>
        <v>4527340</v>
      </c>
    </row>
    <row r="234">
      <c r="A234" s="96">
        <f>IFERROR(__xludf.DUMMYFUNCTION("""COMPUTED_VALUE"""),7.0)</f>
        <v>7</v>
      </c>
      <c r="B234" s="98">
        <f>IFERROR(__xludf.DUMMYFUNCTION("""COMPUTED_VALUE"""),44058.0)</f>
        <v>44058</v>
      </c>
      <c r="C234" s="96" t="str">
        <f>IFERROR(__xludf.DUMMYFUNCTION("""COMPUTED_VALUE"""),"ZULU &amp; NDOMA")</f>
        <v>ZULU &amp; NDOMA</v>
      </c>
      <c r="D234" s="96" t="str">
        <f>IFERROR(__xludf.DUMMYFUNCTION("""COMPUTED_VALUE"""),"ZULU &amp; NDOMA7")</f>
        <v>ZULU &amp; NDOMA7</v>
      </c>
      <c r="E234" s="96"/>
      <c r="F234" s="96"/>
      <c r="G234" s="96"/>
      <c r="H234" s="96"/>
      <c r="I234" s="96"/>
      <c r="J234" s="96"/>
      <c r="K234" s="96">
        <f>IFERROR(__xludf.DUMMYFUNCTION("""COMPUTED_VALUE"""),200000.0)</f>
        <v>200000</v>
      </c>
      <c r="L234" s="99">
        <f>IFERROR(__xludf.DUMMYFUNCTION("""COMPUTED_VALUE"""),200000.0)</f>
        <v>200000</v>
      </c>
      <c r="M234" s="96"/>
      <c r="N234" s="96">
        <f>IFERROR(__xludf.DUMMYFUNCTION("""COMPUTED_VALUE"""),0.0)</f>
        <v>0</v>
      </c>
      <c r="O234" s="96">
        <f>IFERROR(__xludf.DUMMYFUNCTION("""COMPUTED_VALUE"""),0.0)</f>
        <v>0</v>
      </c>
      <c r="P234" s="96">
        <f>IFERROR(__xludf.DUMMYFUNCTION("""COMPUTED_VALUE"""),0.0)</f>
        <v>0</v>
      </c>
      <c r="Q234" s="129">
        <f>IFERROR(__xludf.DUMMYFUNCTION("""COMPUTED_VALUE"""),0.0)</f>
        <v>0</v>
      </c>
      <c r="R234" s="99"/>
      <c r="S234" s="99">
        <f>IFERROR(__xludf.DUMMYFUNCTION("""COMPUTED_VALUE"""),406800.0)</f>
        <v>406800</v>
      </c>
    </row>
    <row r="235">
      <c r="A235" s="96">
        <f>IFERROR(__xludf.DUMMYFUNCTION("""COMPUTED_VALUE"""),2.0)</f>
        <v>2</v>
      </c>
      <c r="B235" s="98">
        <f>IFERROR(__xludf.DUMMYFUNCTION("""COMPUTED_VALUE"""),44060.0)</f>
        <v>44060</v>
      </c>
      <c r="C235" s="96" t="str">
        <f>IFERROR(__xludf.DUMMYFUNCTION("""COMPUTED_VALUE"""),"MATIAT LOVE")</f>
        <v>MATIAT LOVE</v>
      </c>
      <c r="D235" s="96" t="str">
        <f>IFERROR(__xludf.DUMMYFUNCTION("""COMPUTED_VALUE"""),"MATIAT LOVE2")</f>
        <v>MATIAT LOVE2</v>
      </c>
      <c r="E235" s="96">
        <f>IFERROR(__xludf.DUMMYFUNCTION("""COMPUTED_VALUE"""),120.0)</f>
        <v>120</v>
      </c>
      <c r="F235" s="96">
        <f>IFERROR(__xludf.DUMMYFUNCTION("""COMPUTED_VALUE"""),16.0)</f>
        <v>16</v>
      </c>
      <c r="G235" s="96"/>
      <c r="H235" s="96">
        <f>IFERROR(__xludf.DUMMYFUNCTION("""COMPUTED_VALUE"""),2.0)</f>
        <v>2</v>
      </c>
      <c r="I235" s="96"/>
      <c r="J235" s="96">
        <f>IFERROR(__xludf.DUMMYFUNCTION("""COMPUTED_VALUE"""),810.0)</f>
        <v>810</v>
      </c>
      <c r="K235" s="96"/>
      <c r="L235" s="99">
        <f>IFERROR(__xludf.DUMMYFUNCTION("""COMPUTED_VALUE"""),-95580.0)</f>
        <v>-95580</v>
      </c>
      <c r="M235" s="96">
        <f>IFERROR(__xludf.DUMMYFUNCTION("""COMPUTED_VALUE"""),8.0)</f>
        <v>8</v>
      </c>
      <c r="N235" s="96">
        <f>IFERROR(__xludf.DUMMYFUNCTION("""COMPUTED_VALUE"""),0.0)</f>
        <v>0</v>
      </c>
      <c r="O235" s="96">
        <f>IFERROR(__xludf.DUMMYFUNCTION("""COMPUTED_VALUE"""),1.0)</f>
        <v>1</v>
      </c>
      <c r="P235" s="96">
        <f>IFERROR(__xludf.DUMMYFUNCTION("""COMPUTED_VALUE"""),55.0)</f>
        <v>55</v>
      </c>
      <c r="Q235" s="129">
        <f>IFERROR(__xludf.DUMMYFUNCTION("""COMPUTED_VALUE"""),118.0)</f>
        <v>118</v>
      </c>
      <c r="R235" s="99">
        <f>IFERROR(__xludf.DUMMYFUNCTION("""COMPUTED_VALUE"""),95580.0)</f>
        <v>95580</v>
      </c>
      <c r="S235" s="99">
        <f>IFERROR(__xludf.DUMMYFUNCTION("""COMPUTED_VALUE"""),-45580.0)</f>
        <v>-45580</v>
      </c>
    </row>
    <row r="236">
      <c r="A236" s="96">
        <f>IFERROR(__xludf.DUMMYFUNCTION("""COMPUTED_VALUE"""),4.0)</f>
        <v>4</v>
      </c>
      <c r="B236" s="98">
        <f>IFERROR(__xludf.DUMMYFUNCTION("""COMPUTED_VALUE"""),44060.0)</f>
        <v>44060</v>
      </c>
      <c r="C236" s="96" t="str">
        <f>IFERROR(__xludf.DUMMYFUNCTION("""COMPUTED_VALUE"""),"KARIEN EBAN")</f>
        <v>KARIEN EBAN</v>
      </c>
      <c r="D236" s="96" t="str">
        <f>IFERROR(__xludf.DUMMYFUNCTION("""COMPUTED_VALUE"""),"KARIEN EBAN4")</f>
        <v>KARIEN EBAN4</v>
      </c>
      <c r="E236" s="96">
        <f>IFERROR(__xludf.DUMMYFUNCTION("""COMPUTED_VALUE"""),1643.0)</f>
        <v>1643</v>
      </c>
      <c r="F236" s="96">
        <f>IFERROR(__xludf.DUMMYFUNCTION("""COMPUTED_VALUE"""),246.5)</f>
        <v>246.5</v>
      </c>
      <c r="G236" s="96"/>
      <c r="H236" s="96">
        <f>IFERROR(__xludf.DUMMYFUNCTION("""COMPUTED_VALUE"""),26.0)</f>
        <v>26</v>
      </c>
      <c r="I236" s="96"/>
      <c r="J236" s="96">
        <f>IFERROR(__xludf.DUMMYFUNCTION("""COMPUTED_VALUE"""),830.0)</f>
        <v>830</v>
      </c>
      <c r="K236" s="96"/>
      <c r="L236" s="99">
        <f>IFERROR(__xludf.DUMMYFUNCTION("""COMPUTED_VALUE"""),-1322190.0)</f>
        <v>-1322190</v>
      </c>
      <c r="M236" s="96">
        <f>IFERROR(__xludf.DUMMYFUNCTION("""COMPUTED_VALUE"""),9.48)</f>
        <v>9.48</v>
      </c>
      <c r="N236" s="96">
        <f>IFERROR(__xludf.DUMMYFUNCTION("""COMPUTED_VALUE"""),24.0)</f>
        <v>24</v>
      </c>
      <c r="O236" s="96">
        <f>IFERROR(__xludf.DUMMYFUNCTION("""COMPUTED_VALUE"""),25.0)</f>
        <v>25</v>
      </c>
      <c r="P236" s="96">
        <f>IFERROR(__xludf.DUMMYFUNCTION("""COMPUTED_VALUE"""),17.0)</f>
        <v>17</v>
      </c>
      <c r="Q236" s="129">
        <f>IFERROR(__xludf.DUMMYFUNCTION("""COMPUTED_VALUE"""),1593.0)</f>
        <v>1593</v>
      </c>
      <c r="R236" s="99">
        <f>IFERROR(__xludf.DUMMYFUNCTION("""COMPUTED_VALUE"""),1322190.0)</f>
        <v>1322190</v>
      </c>
      <c r="S236" s="99">
        <f>IFERROR(__xludf.DUMMYFUNCTION("""COMPUTED_VALUE"""),777810.0)</f>
        <v>777810</v>
      </c>
    </row>
    <row r="237">
      <c r="A237" s="96">
        <f>IFERROR(__xludf.DUMMYFUNCTION("""COMPUTED_VALUE"""),5.0)</f>
        <v>5</v>
      </c>
      <c r="B237" s="98">
        <f>IFERROR(__xludf.DUMMYFUNCTION("""COMPUTED_VALUE"""),44060.0)</f>
        <v>44060</v>
      </c>
      <c r="C237" s="96" t="str">
        <f>IFERROR(__xludf.DUMMYFUNCTION("""COMPUTED_VALUE"""),"A. D. FREDERICK")</f>
        <v>A. D. FREDERICK</v>
      </c>
      <c r="D237" s="96" t="str">
        <f>IFERROR(__xludf.DUMMYFUNCTION("""COMPUTED_VALUE"""),"A. D. FREDERICK5")</f>
        <v>A. D. FREDERICK5</v>
      </c>
      <c r="E237" s="96"/>
      <c r="F237" s="96"/>
      <c r="G237" s="96"/>
      <c r="H237" s="96"/>
      <c r="I237" s="96"/>
      <c r="J237" s="96"/>
      <c r="K237" s="96">
        <f>IFERROR(__xludf.DUMMYFUNCTION("""COMPUTED_VALUE"""),150000.0)</f>
        <v>150000</v>
      </c>
      <c r="L237" s="99">
        <f>IFERROR(__xludf.DUMMYFUNCTION("""COMPUTED_VALUE"""),150000.0)</f>
        <v>150000</v>
      </c>
      <c r="M237" s="96"/>
      <c r="N237" s="96">
        <f>IFERROR(__xludf.DUMMYFUNCTION("""COMPUTED_VALUE"""),0.0)</f>
        <v>0</v>
      </c>
      <c r="O237" s="96">
        <f>IFERROR(__xludf.DUMMYFUNCTION("""COMPUTED_VALUE"""),0.0)</f>
        <v>0</v>
      </c>
      <c r="P237" s="96">
        <f>IFERROR(__xludf.DUMMYFUNCTION("""COMPUTED_VALUE"""),0.0)</f>
        <v>0</v>
      </c>
      <c r="Q237" s="129">
        <f>IFERROR(__xludf.DUMMYFUNCTION("""COMPUTED_VALUE"""),0.0)</f>
        <v>0</v>
      </c>
      <c r="R237" s="99"/>
      <c r="S237" s="99">
        <f>IFERROR(__xludf.DUMMYFUNCTION("""COMPUTED_VALUE"""),647200.0)</f>
        <v>647200</v>
      </c>
    </row>
    <row r="238">
      <c r="A238" s="96">
        <f>IFERROR(__xludf.DUMMYFUNCTION("""COMPUTED_VALUE"""),14.0)</f>
        <v>14</v>
      </c>
      <c r="B238" s="98">
        <f>IFERROR(__xludf.DUMMYFUNCTION("""COMPUTED_VALUE"""),44060.0)</f>
        <v>44060</v>
      </c>
      <c r="C238" s="96" t="str">
        <f>IFERROR(__xludf.DUMMYFUNCTION("""COMPUTED_VALUE"""),"LIVINUS")</f>
        <v>LIVINUS</v>
      </c>
      <c r="D238" s="96" t="str">
        <f>IFERROR(__xludf.DUMMYFUNCTION("""COMPUTED_VALUE"""),"LIVINUS14")</f>
        <v>LIVINUS14</v>
      </c>
      <c r="E238" s="96"/>
      <c r="F238" s="96"/>
      <c r="G238" s="96"/>
      <c r="H238" s="96"/>
      <c r="I238" s="96"/>
      <c r="J238" s="96"/>
      <c r="K238" s="96">
        <f>IFERROR(__xludf.DUMMYFUNCTION("""COMPUTED_VALUE"""),1427500.0)</f>
        <v>1427500</v>
      </c>
      <c r="L238" s="99">
        <f>IFERROR(__xludf.DUMMYFUNCTION("""COMPUTED_VALUE"""),1427500.0)</f>
        <v>1427500</v>
      </c>
      <c r="M238" s="96"/>
      <c r="N238" s="96">
        <f>IFERROR(__xludf.DUMMYFUNCTION("""COMPUTED_VALUE"""),0.0)</f>
        <v>0</v>
      </c>
      <c r="O238" s="96">
        <f>IFERROR(__xludf.DUMMYFUNCTION("""COMPUTED_VALUE"""),0.0)</f>
        <v>0</v>
      </c>
      <c r="P238" s="96">
        <f>IFERROR(__xludf.DUMMYFUNCTION("""COMPUTED_VALUE"""),0.0)</f>
        <v>0</v>
      </c>
      <c r="Q238" s="129">
        <f>IFERROR(__xludf.DUMMYFUNCTION("""COMPUTED_VALUE"""),0.0)</f>
        <v>0</v>
      </c>
      <c r="R238" s="99"/>
      <c r="S238" s="99">
        <f>IFERROR(__xludf.DUMMYFUNCTION("""COMPUTED_VALUE"""),6104500.0)</f>
        <v>6104500</v>
      </c>
    </row>
    <row r="239">
      <c r="A239" s="96">
        <f>IFERROR(__xludf.DUMMYFUNCTION("""COMPUTED_VALUE"""),5.0)</f>
        <v>5</v>
      </c>
      <c r="B239" s="98">
        <f>IFERROR(__xludf.DUMMYFUNCTION("""COMPUTED_VALUE"""),44060.0)</f>
        <v>44060</v>
      </c>
      <c r="C239" s="96" t="str">
        <f>IFERROR(__xludf.DUMMYFUNCTION("""COMPUTED_VALUE"""),"KARIEN EBAN")</f>
        <v>KARIEN EBAN</v>
      </c>
      <c r="D239" s="96" t="str">
        <f>IFERROR(__xludf.DUMMYFUNCTION("""COMPUTED_VALUE"""),"KARIEN EBAN5")</f>
        <v>KARIEN EBAN5</v>
      </c>
      <c r="E239" s="96"/>
      <c r="F239" s="96"/>
      <c r="G239" s="96"/>
      <c r="H239" s="96"/>
      <c r="I239" s="96"/>
      <c r="J239" s="96"/>
      <c r="K239" s="96">
        <f>IFERROR(__xludf.DUMMYFUNCTION("""COMPUTED_VALUE"""),2000000.0)</f>
        <v>2000000</v>
      </c>
      <c r="L239" s="99">
        <f>IFERROR(__xludf.DUMMYFUNCTION("""COMPUTED_VALUE"""),2000000.0)</f>
        <v>2000000</v>
      </c>
      <c r="M239" s="96"/>
      <c r="N239" s="96">
        <f>IFERROR(__xludf.DUMMYFUNCTION("""COMPUTED_VALUE"""),0.0)</f>
        <v>0</v>
      </c>
      <c r="O239" s="96">
        <f>IFERROR(__xludf.DUMMYFUNCTION("""COMPUTED_VALUE"""),0.0)</f>
        <v>0</v>
      </c>
      <c r="P239" s="96">
        <f>IFERROR(__xludf.DUMMYFUNCTION("""COMPUTED_VALUE"""),0.0)</f>
        <v>0</v>
      </c>
      <c r="Q239" s="129">
        <f>IFERROR(__xludf.DUMMYFUNCTION("""COMPUTED_VALUE"""),0.0)</f>
        <v>0</v>
      </c>
      <c r="R239" s="99"/>
      <c r="S239" s="99">
        <f>IFERROR(__xludf.DUMMYFUNCTION("""COMPUTED_VALUE"""),2777810.0)</f>
        <v>2777810</v>
      </c>
    </row>
    <row r="240">
      <c r="A240" s="96">
        <f>IFERROR(__xludf.DUMMYFUNCTION("""COMPUTED_VALUE"""),3.0)</f>
        <v>3</v>
      </c>
      <c r="B240" s="98">
        <f>IFERROR(__xludf.DUMMYFUNCTION("""COMPUTED_VALUE"""),44060.0)</f>
        <v>44060</v>
      </c>
      <c r="C240" s="96" t="str">
        <f>IFERROR(__xludf.DUMMYFUNCTION("""COMPUTED_VALUE"""),"MATIAT LOVE")</f>
        <v>MATIAT LOVE</v>
      </c>
      <c r="D240" s="96" t="str">
        <f>IFERROR(__xludf.DUMMYFUNCTION("""COMPUTED_VALUE"""),"MATIAT LOVE3")</f>
        <v>MATIAT LOVE3</v>
      </c>
      <c r="E240" s="96"/>
      <c r="F240" s="96"/>
      <c r="G240" s="96"/>
      <c r="H240" s="96"/>
      <c r="I240" s="96"/>
      <c r="J240" s="96"/>
      <c r="K240" s="96">
        <f>IFERROR(__xludf.DUMMYFUNCTION("""COMPUTED_VALUE"""),5000.0)</f>
        <v>5000</v>
      </c>
      <c r="L240" s="99">
        <f>IFERROR(__xludf.DUMMYFUNCTION("""COMPUTED_VALUE"""),5000.0)</f>
        <v>5000</v>
      </c>
      <c r="M240" s="96"/>
      <c r="N240" s="96">
        <f>IFERROR(__xludf.DUMMYFUNCTION("""COMPUTED_VALUE"""),0.0)</f>
        <v>0</v>
      </c>
      <c r="O240" s="96">
        <f>IFERROR(__xludf.DUMMYFUNCTION("""COMPUTED_VALUE"""),0.0)</f>
        <v>0</v>
      </c>
      <c r="P240" s="96">
        <f>IFERROR(__xludf.DUMMYFUNCTION("""COMPUTED_VALUE"""),0.0)</f>
        <v>0</v>
      </c>
      <c r="Q240" s="129">
        <f>IFERROR(__xludf.DUMMYFUNCTION("""COMPUTED_VALUE"""),0.0)</f>
        <v>0</v>
      </c>
      <c r="R240" s="99"/>
      <c r="S240" s="99">
        <f>IFERROR(__xludf.DUMMYFUNCTION("""COMPUTED_VALUE"""),-40580.0)</f>
        <v>-40580</v>
      </c>
    </row>
    <row r="241">
      <c r="A241" s="96">
        <f>IFERROR(__xludf.DUMMYFUNCTION("""COMPUTED_VALUE"""),4.0)</f>
        <v>4</v>
      </c>
      <c r="B241" s="98">
        <f>IFERROR(__xludf.DUMMYFUNCTION("""COMPUTED_VALUE"""),44061.0)</f>
        <v>44061</v>
      </c>
      <c r="C241" s="96" t="str">
        <f>IFERROR(__xludf.DUMMYFUNCTION("""COMPUTED_VALUE"""),"MATIAT LOVE")</f>
        <v>MATIAT LOVE</v>
      </c>
      <c r="D241" s="96" t="str">
        <f>IFERROR(__xludf.DUMMYFUNCTION("""COMPUTED_VALUE"""),"MATIAT LOVE4")</f>
        <v>MATIAT LOVE4</v>
      </c>
      <c r="E241" s="96"/>
      <c r="F241" s="96"/>
      <c r="G241" s="96"/>
      <c r="H241" s="96"/>
      <c r="I241" s="96"/>
      <c r="J241" s="96"/>
      <c r="K241" s="96">
        <f>IFERROR(__xludf.DUMMYFUNCTION("""COMPUTED_VALUE"""),90500.0)</f>
        <v>90500</v>
      </c>
      <c r="L241" s="99">
        <f>IFERROR(__xludf.DUMMYFUNCTION("""COMPUTED_VALUE"""),90500.0)</f>
        <v>90500</v>
      </c>
      <c r="M241" s="96"/>
      <c r="N241" s="96">
        <f>IFERROR(__xludf.DUMMYFUNCTION("""COMPUTED_VALUE"""),0.0)</f>
        <v>0</v>
      </c>
      <c r="O241" s="96">
        <f>IFERROR(__xludf.DUMMYFUNCTION("""COMPUTED_VALUE"""),0.0)</f>
        <v>0</v>
      </c>
      <c r="P241" s="96">
        <f>IFERROR(__xludf.DUMMYFUNCTION("""COMPUTED_VALUE"""),0.0)</f>
        <v>0</v>
      </c>
      <c r="Q241" s="129">
        <f>IFERROR(__xludf.DUMMYFUNCTION("""COMPUTED_VALUE"""),0.0)</f>
        <v>0</v>
      </c>
      <c r="R241" s="99"/>
      <c r="S241" s="99">
        <f>IFERROR(__xludf.DUMMYFUNCTION("""COMPUTED_VALUE"""),49920.0)</f>
        <v>49920</v>
      </c>
    </row>
    <row r="242">
      <c r="A242" s="96">
        <f>IFERROR(__xludf.DUMMYFUNCTION("""COMPUTED_VALUE"""),3.0)</f>
        <v>3</v>
      </c>
      <c r="B242" s="98">
        <f>IFERROR(__xludf.DUMMYFUNCTION("""COMPUTED_VALUE"""),44060.0)</f>
        <v>44060</v>
      </c>
      <c r="C242" s="96" t="str">
        <f>IFERROR(__xludf.DUMMYFUNCTION("""COMPUTED_VALUE"""),"AUGUSTINE IGBA")</f>
        <v>AUGUSTINE IGBA</v>
      </c>
      <c r="D242" s="96" t="str">
        <f>IFERROR(__xludf.DUMMYFUNCTION("""COMPUTED_VALUE"""),"AUGUSTINE IGBA3")</f>
        <v>AUGUSTINE IGBA3</v>
      </c>
      <c r="E242" s="96">
        <f>IFERROR(__xludf.DUMMYFUNCTION("""COMPUTED_VALUE"""),1396.0)</f>
        <v>1396</v>
      </c>
      <c r="F242" s="96">
        <f>IFERROR(__xludf.DUMMYFUNCTION("""COMPUTED_VALUE"""),194.5)</f>
        <v>194.5</v>
      </c>
      <c r="G242" s="96"/>
      <c r="H242" s="96">
        <f>IFERROR(__xludf.DUMMYFUNCTION("""COMPUTED_VALUE"""),20.0)</f>
        <v>20</v>
      </c>
      <c r="I242" s="96">
        <f>IFERROR(__xludf.DUMMYFUNCTION("""COMPUTED_VALUE"""),4.0)</f>
        <v>4</v>
      </c>
      <c r="J242" s="96">
        <f>IFERROR(__xludf.DUMMYFUNCTION("""COMPUTED_VALUE"""),830.0)</f>
        <v>830</v>
      </c>
      <c r="K242" s="96"/>
      <c r="L242" s="99">
        <f>IFERROR(__xludf.DUMMYFUNCTION("""COMPUTED_VALUE"""),-1125480.0)</f>
        <v>-1125480</v>
      </c>
      <c r="M242" s="96">
        <f>IFERROR(__xludf.DUMMYFUNCTION("""COMPUTED_VALUE"""),9.73)</f>
        <v>9.73</v>
      </c>
      <c r="N242" s="96">
        <f>IFERROR(__xludf.DUMMYFUNCTION("""COMPUTED_VALUE"""),24.0)</f>
        <v>24</v>
      </c>
      <c r="O242" s="96">
        <f>IFERROR(__xludf.DUMMYFUNCTION("""COMPUTED_VALUE"""),21.0)</f>
        <v>21</v>
      </c>
      <c r="P242" s="96">
        <f>IFERROR(__xludf.DUMMYFUNCTION("""COMPUTED_VALUE"""),33.0)</f>
        <v>33</v>
      </c>
      <c r="Q242" s="129">
        <f>IFERROR(__xludf.DUMMYFUNCTION("""COMPUTED_VALUE"""),1356.0)</f>
        <v>1356</v>
      </c>
      <c r="R242" s="99">
        <f>IFERROR(__xludf.DUMMYFUNCTION("""COMPUTED_VALUE"""),1125480.0)</f>
        <v>1125480</v>
      </c>
      <c r="S242" s="99">
        <f>IFERROR(__xludf.DUMMYFUNCTION("""COMPUTED_VALUE"""),2.013414E7)</f>
        <v>20134140</v>
      </c>
    </row>
    <row r="243">
      <c r="A243" s="96">
        <f>IFERROR(__xludf.DUMMYFUNCTION("""COMPUTED_VALUE"""),8.0)</f>
        <v>8</v>
      </c>
      <c r="B243" s="98">
        <f>IFERROR(__xludf.DUMMYFUNCTION("""COMPUTED_VALUE"""),44060.0)</f>
        <v>44060</v>
      </c>
      <c r="C243" s="96" t="str">
        <f>IFERROR(__xludf.DUMMYFUNCTION("""COMPUTED_VALUE"""),"EDWARD OKO")</f>
        <v>EDWARD OKO</v>
      </c>
      <c r="D243" s="96" t="str">
        <f>IFERROR(__xludf.DUMMYFUNCTION("""COMPUTED_VALUE"""),"EDWARD OKO8")</f>
        <v>EDWARD OKO8</v>
      </c>
      <c r="E243" s="96">
        <f>IFERROR(__xludf.DUMMYFUNCTION("""COMPUTED_VALUE"""),390.0)</f>
        <v>390</v>
      </c>
      <c r="F243" s="96">
        <f>IFERROR(__xludf.DUMMYFUNCTION("""COMPUTED_VALUE"""),57.5)</f>
        <v>57.5</v>
      </c>
      <c r="G243" s="96"/>
      <c r="H243" s="96">
        <f>IFERROR(__xludf.DUMMYFUNCTION("""COMPUTED_VALUE"""),6.0)</f>
        <v>6</v>
      </c>
      <c r="I243" s="96"/>
      <c r="J243" s="96">
        <f>IFERROR(__xludf.DUMMYFUNCTION("""COMPUTED_VALUE"""),830.0)</f>
        <v>830</v>
      </c>
      <c r="K243" s="96"/>
      <c r="L243" s="99">
        <f>IFERROR(__xludf.DUMMYFUNCTION("""COMPUTED_VALUE"""),-313740.0)</f>
        <v>-313740</v>
      </c>
      <c r="M243" s="96">
        <f>IFERROR(__xludf.DUMMYFUNCTION("""COMPUTED_VALUE"""),9.58)</f>
        <v>9.58</v>
      </c>
      <c r="N243" s="96">
        <f>IFERROR(__xludf.DUMMYFUNCTION("""COMPUTED_VALUE"""),6.0)</f>
        <v>6</v>
      </c>
      <c r="O243" s="96">
        <f>IFERROR(__xludf.DUMMYFUNCTION("""COMPUTED_VALUE"""),6.0)</f>
        <v>6</v>
      </c>
      <c r="P243" s="96">
        <f>IFERROR(__xludf.DUMMYFUNCTION("""COMPUTED_VALUE"""),0.0)</f>
        <v>0</v>
      </c>
      <c r="Q243" s="129">
        <f>IFERROR(__xludf.DUMMYFUNCTION("""COMPUTED_VALUE"""),378.0)</f>
        <v>378</v>
      </c>
      <c r="R243" s="99">
        <f>IFERROR(__xludf.DUMMYFUNCTION("""COMPUTED_VALUE"""),313740.0)</f>
        <v>313740</v>
      </c>
      <c r="S243" s="99">
        <f>IFERROR(__xludf.DUMMYFUNCTION("""COMPUTED_VALUE"""),7690.0)</f>
        <v>7690</v>
      </c>
    </row>
    <row r="244">
      <c r="A244" s="96">
        <f>IFERROR(__xludf.DUMMYFUNCTION("""COMPUTED_VALUE"""),6.0)</f>
        <v>6</v>
      </c>
      <c r="B244" s="98">
        <f>IFERROR(__xludf.DUMMYFUNCTION("""COMPUTED_VALUE"""),44063.0)</f>
        <v>44063</v>
      </c>
      <c r="C244" s="96" t="str">
        <f>IFERROR(__xludf.DUMMYFUNCTION("""COMPUTED_VALUE"""),"ALFRED ALABI")</f>
        <v>ALFRED ALABI</v>
      </c>
      <c r="D244" s="96" t="str">
        <f>IFERROR(__xludf.DUMMYFUNCTION("""COMPUTED_VALUE"""),"ALFRED ALABI6")</f>
        <v>ALFRED ALABI6</v>
      </c>
      <c r="E244" s="96">
        <f>IFERROR(__xludf.DUMMYFUNCTION("""COMPUTED_VALUE"""),1764.0)</f>
        <v>1764</v>
      </c>
      <c r="F244" s="96">
        <f>IFERROR(__xludf.DUMMYFUNCTION("""COMPUTED_VALUE"""),256.0)</f>
        <v>256</v>
      </c>
      <c r="G244" s="96"/>
      <c r="H244" s="96">
        <f>IFERROR(__xludf.DUMMYFUNCTION("""COMPUTED_VALUE"""),26.0)</f>
        <v>26</v>
      </c>
      <c r="I244" s="96"/>
      <c r="J244" s="96">
        <f>IFERROR(__xludf.DUMMYFUNCTION("""COMPUTED_VALUE"""),537.65)</f>
        <v>537.65</v>
      </c>
      <c r="K244" s="96"/>
      <c r="L244" s="99">
        <f>IFERROR(__xludf.DUMMYFUNCTION("""COMPUTED_VALUE"""),-917230.0)</f>
        <v>-917230</v>
      </c>
      <c r="M244" s="96">
        <f>IFERROR(__xludf.DUMMYFUNCTION("""COMPUTED_VALUE"""),9.85)</f>
        <v>9.85</v>
      </c>
      <c r="N244" s="96">
        <f>IFERROR(__xludf.DUMMYFUNCTION("""COMPUTED_VALUE"""),32.0)</f>
        <v>32</v>
      </c>
      <c r="O244" s="96">
        <f>IFERROR(__xludf.DUMMYFUNCTION("""COMPUTED_VALUE"""),27.0)</f>
        <v>27</v>
      </c>
      <c r="P244" s="96">
        <f>IFERROR(__xludf.DUMMYFUNCTION("""COMPUTED_VALUE"""),4.0)</f>
        <v>4</v>
      </c>
      <c r="Q244" s="129">
        <f>IFERROR(__xludf.DUMMYFUNCTION("""COMPUTED_VALUE"""),1706.0)</f>
        <v>1706</v>
      </c>
      <c r="R244" s="99">
        <f>IFERROR(__xludf.DUMMYFUNCTION("""COMPUTED_VALUE"""),917230.0)</f>
        <v>917230</v>
      </c>
      <c r="S244" s="99">
        <f>IFERROR(__xludf.DUMMYFUNCTION("""COMPUTED_VALUE"""),-236980.0)</f>
        <v>-236980</v>
      </c>
    </row>
    <row r="245">
      <c r="A245" s="96">
        <f>IFERROR(__xludf.DUMMYFUNCTION("""COMPUTED_VALUE"""),7.0)</f>
        <v>7</v>
      </c>
      <c r="B245" s="98">
        <f>IFERROR(__xludf.DUMMYFUNCTION("""COMPUTED_VALUE"""),44063.0)</f>
        <v>44063</v>
      </c>
      <c r="C245" s="96" t="str">
        <f>IFERROR(__xludf.DUMMYFUNCTION("""COMPUTED_VALUE"""),"ALFRED ALABI")</f>
        <v>ALFRED ALABI</v>
      </c>
      <c r="D245" s="96" t="str">
        <f>IFERROR(__xludf.DUMMYFUNCTION("""COMPUTED_VALUE"""),"ALFRED ALABI7")</f>
        <v>ALFRED ALABI7</v>
      </c>
      <c r="E245" s="96"/>
      <c r="F245" s="96"/>
      <c r="G245" s="96"/>
      <c r="H245" s="96"/>
      <c r="I245" s="96"/>
      <c r="J245" s="96"/>
      <c r="K245" s="96">
        <f>IFERROR(__xludf.DUMMYFUNCTION("""COMPUTED_VALUE"""),600000.0)</f>
        <v>600000</v>
      </c>
      <c r="L245" s="99">
        <f>IFERROR(__xludf.DUMMYFUNCTION("""COMPUTED_VALUE"""),600000.0)</f>
        <v>600000</v>
      </c>
      <c r="M245" s="96"/>
      <c r="N245" s="96">
        <f>IFERROR(__xludf.DUMMYFUNCTION("""COMPUTED_VALUE"""),0.0)</f>
        <v>0</v>
      </c>
      <c r="O245" s="96">
        <f>IFERROR(__xludf.DUMMYFUNCTION("""COMPUTED_VALUE"""),0.0)</f>
        <v>0</v>
      </c>
      <c r="P245" s="96">
        <f>IFERROR(__xludf.DUMMYFUNCTION("""COMPUTED_VALUE"""),0.0)</f>
        <v>0</v>
      </c>
      <c r="Q245" s="129">
        <f>IFERROR(__xludf.DUMMYFUNCTION("""COMPUTED_VALUE"""),0.0)</f>
        <v>0</v>
      </c>
      <c r="R245" s="99"/>
      <c r="S245" s="99">
        <f>IFERROR(__xludf.DUMMYFUNCTION("""COMPUTED_VALUE"""),363020.0)</f>
        <v>363020</v>
      </c>
    </row>
    <row r="246">
      <c r="A246" s="96">
        <f>IFERROR(__xludf.DUMMYFUNCTION("""COMPUTED_VALUE"""),4.0)</f>
        <v>4</v>
      </c>
      <c r="B246" s="98">
        <f>IFERROR(__xludf.DUMMYFUNCTION("""COMPUTED_VALUE"""),44063.0)</f>
        <v>44063</v>
      </c>
      <c r="C246" s="96" t="str">
        <f>IFERROR(__xludf.DUMMYFUNCTION("""COMPUTED_VALUE"""),"AUGUSTINE IGBA")</f>
        <v>AUGUSTINE IGBA</v>
      </c>
      <c r="D246" s="96" t="str">
        <f>IFERROR(__xludf.DUMMYFUNCTION("""COMPUTED_VALUE"""),"AUGUSTINE IGBA4")</f>
        <v>AUGUSTINE IGBA4</v>
      </c>
      <c r="E246" s="96"/>
      <c r="F246" s="96"/>
      <c r="G246" s="96"/>
      <c r="H246" s="96"/>
      <c r="I246" s="96"/>
      <c r="J246" s="96"/>
      <c r="K246" s="96">
        <f>IFERROR(__xludf.DUMMYFUNCTION("""COMPUTED_VALUE"""),2000000.0)</f>
        <v>2000000</v>
      </c>
      <c r="L246" s="99">
        <f>IFERROR(__xludf.DUMMYFUNCTION("""COMPUTED_VALUE"""),2000000.0)</f>
        <v>2000000</v>
      </c>
      <c r="M246" s="96"/>
      <c r="N246" s="96">
        <f>IFERROR(__xludf.DUMMYFUNCTION("""COMPUTED_VALUE"""),0.0)</f>
        <v>0</v>
      </c>
      <c r="O246" s="96">
        <f>IFERROR(__xludf.DUMMYFUNCTION("""COMPUTED_VALUE"""),0.0)</f>
        <v>0</v>
      </c>
      <c r="P246" s="96">
        <f>IFERROR(__xludf.DUMMYFUNCTION("""COMPUTED_VALUE"""),0.0)</f>
        <v>0</v>
      </c>
      <c r="Q246" s="129">
        <f>IFERROR(__xludf.DUMMYFUNCTION("""COMPUTED_VALUE"""),0.0)</f>
        <v>0</v>
      </c>
      <c r="R246" s="99"/>
      <c r="S246" s="99">
        <f>IFERROR(__xludf.DUMMYFUNCTION("""COMPUTED_VALUE"""),2.213414E7)</f>
        <v>22134140</v>
      </c>
    </row>
    <row r="247">
      <c r="A247" s="96">
        <f>IFERROR(__xludf.DUMMYFUNCTION("""COMPUTED_VALUE"""),8.0)</f>
        <v>8</v>
      </c>
      <c r="B247" s="98">
        <f>IFERROR(__xludf.DUMMYFUNCTION("""COMPUTED_VALUE"""),44063.0)</f>
        <v>44063</v>
      </c>
      <c r="C247" s="96" t="str">
        <f>IFERROR(__xludf.DUMMYFUNCTION("""COMPUTED_VALUE"""),"ALFRED ALABI")</f>
        <v>ALFRED ALABI</v>
      </c>
      <c r="D247" s="96" t="str">
        <f>IFERROR(__xludf.DUMMYFUNCTION("""COMPUTED_VALUE"""),"ALFRED ALABI8")</f>
        <v>ALFRED ALABI8</v>
      </c>
      <c r="E247" s="96"/>
      <c r="F247" s="96"/>
      <c r="G247" s="96"/>
      <c r="H247" s="96"/>
      <c r="I247" s="96"/>
      <c r="J247" s="96"/>
      <c r="K247" s="96">
        <f>IFERROR(__xludf.DUMMYFUNCTION("""COMPUTED_VALUE"""),700000.0)</f>
        <v>700000</v>
      </c>
      <c r="L247" s="99">
        <f>IFERROR(__xludf.DUMMYFUNCTION("""COMPUTED_VALUE"""),700000.0)</f>
        <v>700000</v>
      </c>
      <c r="M247" s="96"/>
      <c r="N247" s="96">
        <f>IFERROR(__xludf.DUMMYFUNCTION("""COMPUTED_VALUE"""),0.0)</f>
        <v>0</v>
      </c>
      <c r="O247" s="96">
        <f>IFERROR(__xludf.DUMMYFUNCTION("""COMPUTED_VALUE"""),0.0)</f>
        <v>0</v>
      </c>
      <c r="P247" s="96">
        <f>IFERROR(__xludf.DUMMYFUNCTION("""COMPUTED_VALUE"""),0.0)</f>
        <v>0</v>
      </c>
      <c r="Q247" s="129">
        <f>IFERROR(__xludf.DUMMYFUNCTION("""COMPUTED_VALUE"""),0.0)</f>
        <v>0</v>
      </c>
      <c r="R247" s="99"/>
      <c r="S247" s="99">
        <f>IFERROR(__xludf.DUMMYFUNCTION("""COMPUTED_VALUE"""),1063020.0)</f>
        <v>1063020</v>
      </c>
    </row>
    <row r="248">
      <c r="A248" s="96">
        <f>IFERROR(__xludf.DUMMYFUNCTION("""COMPUTED_VALUE"""),9.0)</f>
        <v>9</v>
      </c>
      <c r="B248" s="98">
        <f>IFERROR(__xludf.DUMMYFUNCTION("""COMPUTED_VALUE"""),44063.0)</f>
        <v>44063</v>
      </c>
      <c r="C248" s="96" t="str">
        <f>IFERROR(__xludf.DUMMYFUNCTION("""COMPUTED_VALUE"""),"ALFRED ALABI")</f>
        <v>ALFRED ALABI</v>
      </c>
      <c r="D248" s="96" t="str">
        <f>IFERROR(__xludf.DUMMYFUNCTION("""COMPUTED_VALUE"""),"ALFRED ALABI9")</f>
        <v>ALFRED ALABI9</v>
      </c>
      <c r="E248" s="96"/>
      <c r="F248" s="96"/>
      <c r="G248" s="96"/>
      <c r="H248" s="96"/>
      <c r="I248" s="96"/>
      <c r="J248" s="96"/>
      <c r="K248" s="96">
        <f>IFERROR(__xludf.DUMMYFUNCTION("""COMPUTED_VALUE"""),400000.0)</f>
        <v>400000</v>
      </c>
      <c r="L248" s="99">
        <f>IFERROR(__xludf.DUMMYFUNCTION("""COMPUTED_VALUE"""),400000.0)</f>
        <v>400000</v>
      </c>
      <c r="M248" s="96"/>
      <c r="N248" s="96">
        <f>IFERROR(__xludf.DUMMYFUNCTION("""COMPUTED_VALUE"""),0.0)</f>
        <v>0</v>
      </c>
      <c r="O248" s="96">
        <f>IFERROR(__xludf.DUMMYFUNCTION("""COMPUTED_VALUE"""),0.0)</f>
        <v>0</v>
      </c>
      <c r="P248" s="96">
        <f>IFERROR(__xludf.DUMMYFUNCTION("""COMPUTED_VALUE"""),0.0)</f>
        <v>0</v>
      </c>
      <c r="Q248" s="129">
        <f>IFERROR(__xludf.DUMMYFUNCTION("""COMPUTED_VALUE"""),0.0)</f>
        <v>0</v>
      </c>
      <c r="R248" s="99"/>
      <c r="S248" s="99">
        <f>IFERROR(__xludf.DUMMYFUNCTION("""COMPUTED_VALUE"""),1463020.0)</f>
        <v>1463020</v>
      </c>
    </row>
    <row r="249">
      <c r="A249" s="96">
        <f>IFERROR(__xludf.DUMMYFUNCTION("""COMPUTED_VALUE"""),6.0)</f>
        <v>6</v>
      </c>
      <c r="B249" s="98">
        <f>IFERROR(__xludf.DUMMYFUNCTION("""COMPUTED_VALUE"""),44040.0)</f>
        <v>44040</v>
      </c>
      <c r="C249" s="96" t="str">
        <f>IFERROR(__xludf.DUMMYFUNCTION("""COMPUTED_VALUE"""),"KARIEN EBAN")</f>
        <v>KARIEN EBAN</v>
      </c>
      <c r="D249" s="96" t="str">
        <f>IFERROR(__xludf.DUMMYFUNCTION("""COMPUTED_VALUE"""),"KARIEN EBAN6")</f>
        <v>KARIEN EBAN6</v>
      </c>
      <c r="E249" s="96"/>
      <c r="F249" s="96"/>
      <c r="G249" s="96"/>
      <c r="H249" s="96"/>
      <c r="I249" s="96"/>
      <c r="J249" s="96"/>
      <c r="K249" s="96"/>
      <c r="L249" s="99">
        <f>IFERROR(__xludf.DUMMYFUNCTION("""COMPUTED_VALUE"""),-500000.0)</f>
        <v>-500000</v>
      </c>
      <c r="M249" s="96"/>
      <c r="N249" s="96">
        <f>IFERROR(__xludf.DUMMYFUNCTION("""COMPUTED_VALUE"""),0.0)</f>
        <v>0</v>
      </c>
      <c r="O249" s="96">
        <f>IFERROR(__xludf.DUMMYFUNCTION("""COMPUTED_VALUE"""),0.0)</f>
        <v>0</v>
      </c>
      <c r="P249" s="96">
        <f>IFERROR(__xludf.DUMMYFUNCTION("""COMPUTED_VALUE"""),0.0)</f>
        <v>0</v>
      </c>
      <c r="Q249" s="129">
        <f>IFERROR(__xludf.DUMMYFUNCTION("""COMPUTED_VALUE"""),0.0)</f>
        <v>0</v>
      </c>
      <c r="R249" s="99">
        <f>IFERROR(__xludf.DUMMYFUNCTION("""COMPUTED_VALUE"""),500000.0)</f>
        <v>500000</v>
      </c>
      <c r="S249" s="99">
        <f>IFERROR(__xludf.DUMMYFUNCTION("""COMPUTED_VALUE"""),2277810.0)</f>
        <v>2277810</v>
      </c>
    </row>
    <row r="250">
      <c r="A250" s="96">
        <f>IFERROR(__xludf.DUMMYFUNCTION("""COMPUTED_VALUE"""),7.0)</f>
        <v>7</v>
      </c>
      <c r="B250" s="98">
        <f>IFERROR(__xludf.DUMMYFUNCTION("""COMPUTED_VALUE"""),44064.0)</f>
        <v>44064</v>
      </c>
      <c r="C250" s="96" t="str">
        <f>IFERROR(__xludf.DUMMYFUNCTION("""COMPUTED_VALUE"""),"KARIEN EBAN")</f>
        <v>KARIEN EBAN</v>
      </c>
      <c r="D250" s="96" t="str">
        <f>IFERROR(__xludf.DUMMYFUNCTION("""COMPUTED_VALUE"""),"KARIEN EBAN7")</f>
        <v>KARIEN EBAN7</v>
      </c>
      <c r="E250" s="96"/>
      <c r="F250" s="96"/>
      <c r="G250" s="96"/>
      <c r="H250" s="96"/>
      <c r="I250" s="96"/>
      <c r="J250" s="96"/>
      <c r="K250" s="96">
        <f>IFERROR(__xludf.DUMMYFUNCTION("""COMPUTED_VALUE"""),722000.0)</f>
        <v>722000</v>
      </c>
      <c r="L250" s="99">
        <f>IFERROR(__xludf.DUMMYFUNCTION("""COMPUTED_VALUE"""),722000.0)</f>
        <v>722000</v>
      </c>
      <c r="M250" s="96"/>
      <c r="N250" s="96">
        <f>IFERROR(__xludf.DUMMYFUNCTION("""COMPUTED_VALUE"""),0.0)</f>
        <v>0</v>
      </c>
      <c r="O250" s="96">
        <f>IFERROR(__xludf.DUMMYFUNCTION("""COMPUTED_VALUE"""),0.0)</f>
        <v>0</v>
      </c>
      <c r="P250" s="96">
        <f>IFERROR(__xludf.DUMMYFUNCTION("""COMPUTED_VALUE"""),0.0)</f>
        <v>0</v>
      </c>
      <c r="Q250" s="129">
        <f>IFERROR(__xludf.DUMMYFUNCTION("""COMPUTED_VALUE"""),0.0)</f>
        <v>0</v>
      </c>
      <c r="R250" s="99"/>
      <c r="S250" s="99">
        <f>IFERROR(__xludf.DUMMYFUNCTION("""COMPUTED_VALUE"""),2999810.0)</f>
        <v>2999810</v>
      </c>
    </row>
    <row r="251">
      <c r="A251" s="96">
        <f>IFERROR(__xludf.DUMMYFUNCTION("""COMPUTED_VALUE"""),18.0)</f>
        <v>18</v>
      </c>
      <c r="B251" s="98">
        <f>IFERROR(__xludf.DUMMYFUNCTION("""COMPUTED_VALUE"""),44065.0)</f>
        <v>44065</v>
      </c>
      <c r="C251" s="96" t="str">
        <f>IFERROR(__xludf.DUMMYFUNCTION("""COMPUTED_VALUE"""),"RECTOR W.")</f>
        <v>RECTOR W.</v>
      </c>
      <c r="D251" s="96" t="str">
        <f>IFERROR(__xludf.DUMMYFUNCTION("""COMPUTED_VALUE"""),"RECTOR W.18")</f>
        <v>RECTOR W.18</v>
      </c>
      <c r="E251" s="96"/>
      <c r="F251" s="96"/>
      <c r="G251" s="96"/>
      <c r="H251" s="96"/>
      <c r="I251" s="96"/>
      <c r="J251" s="96"/>
      <c r="K251" s="96">
        <f>IFERROR(__xludf.DUMMYFUNCTION("""COMPUTED_VALUE"""),140000.0)</f>
        <v>140000</v>
      </c>
      <c r="L251" s="99">
        <f>IFERROR(__xludf.DUMMYFUNCTION("""COMPUTED_VALUE"""),140000.0)</f>
        <v>140000</v>
      </c>
      <c r="M251" s="96"/>
      <c r="N251" s="96">
        <f>IFERROR(__xludf.DUMMYFUNCTION("""COMPUTED_VALUE"""),0.0)</f>
        <v>0</v>
      </c>
      <c r="O251" s="96">
        <f>IFERROR(__xludf.DUMMYFUNCTION("""COMPUTED_VALUE"""),0.0)</f>
        <v>0</v>
      </c>
      <c r="P251" s="96">
        <f>IFERROR(__xludf.DUMMYFUNCTION("""COMPUTED_VALUE"""),0.0)</f>
        <v>0</v>
      </c>
      <c r="Q251" s="129">
        <f>IFERROR(__xludf.DUMMYFUNCTION("""COMPUTED_VALUE"""),0.0)</f>
        <v>0</v>
      </c>
      <c r="R251" s="99"/>
      <c r="S251" s="99">
        <f>IFERROR(__xludf.DUMMYFUNCTION("""COMPUTED_VALUE"""),4667340.0)</f>
        <v>4667340</v>
      </c>
    </row>
    <row r="252">
      <c r="A252" s="96">
        <f>IFERROR(__xludf.DUMMYFUNCTION("""COMPUTED_VALUE"""),15.0)</f>
        <v>15</v>
      </c>
      <c r="B252" s="98">
        <f>IFERROR(__xludf.DUMMYFUNCTION("""COMPUTED_VALUE"""),44067.0)</f>
        <v>44067</v>
      </c>
      <c r="C252" s="96" t="str">
        <f>IFERROR(__xludf.DUMMYFUNCTION("""COMPUTED_VALUE"""),"LYDIA HNSON ")</f>
        <v>LYDIA HNSON </v>
      </c>
      <c r="D252" s="96" t="str">
        <f>IFERROR(__xludf.DUMMYFUNCTION("""COMPUTED_VALUE"""),"LYDIA HNSON 15")</f>
        <v>LYDIA HNSON 15</v>
      </c>
      <c r="E252" s="96"/>
      <c r="F252" s="96"/>
      <c r="G252" s="96"/>
      <c r="H252" s="96"/>
      <c r="I252" s="96"/>
      <c r="J252" s="96"/>
      <c r="K252" s="96">
        <f>IFERROR(__xludf.DUMMYFUNCTION("""COMPUTED_VALUE"""),100000.0)</f>
        <v>100000</v>
      </c>
      <c r="L252" s="99">
        <f>IFERROR(__xludf.DUMMYFUNCTION("""COMPUTED_VALUE"""),100000.0)</f>
        <v>100000</v>
      </c>
      <c r="M252" s="96"/>
      <c r="N252" s="96">
        <f>IFERROR(__xludf.DUMMYFUNCTION("""COMPUTED_VALUE"""),0.0)</f>
        <v>0</v>
      </c>
      <c r="O252" s="96">
        <f>IFERROR(__xludf.DUMMYFUNCTION("""COMPUTED_VALUE"""),0.0)</f>
        <v>0</v>
      </c>
      <c r="P252" s="96">
        <f>IFERROR(__xludf.DUMMYFUNCTION("""COMPUTED_VALUE"""),0.0)</f>
        <v>0</v>
      </c>
      <c r="Q252" s="129">
        <f>IFERROR(__xludf.DUMMYFUNCTION("""COMPUTED_VALUE"""),0.0)</f>
        <v>0</v>
      </c>
      <c r="R252" s="99"/>
      <c r="S252" s="99">
        <f>IFERROR(__xludf.DUMMYFUNCTION("""COMPUTED_VALUE"""),3566560.0)</f>
        <v>3566560</v>
      </c>
    </row>
    <row r="253">
      <c r="A253" s="96">
        <f>IFERROR(__xludf.DUMMYFUNCTION("""COMPUTED_VALUE"""),7.0)</f>
        <v>7</v>
      </c>
      <c r="B253" s="98">
        <f>IFERROR(__xludf.DUMMYFUNCTION("""COMPUTED_VALUE"""),44067.0)</f>
        <v>44067</v>
      </c>
      <c r="C253" s="96" t="str">
        <f>IFERROR(__xludf.DUMMYFUNCTION("""COMPUTED_VALUE"""),"BOSURU  BOSURU")</f>
        <v>BOSURU  BOSURU</v>
      </c>
      <c r="D253" s="96" t="str">
        <f>IFERROR(__xludf.DUMMYFUNCTION("""COMPUTED_VALUE"""),"BOSURU  BOSURU7")</f>
        <v>BOSURU  BOSURU7</v>
      </c>
      <c r="E253" s="96"/>
      <c r="F253" s="96"/>
      <c r="G253" s="96"/>
      <c r="H253" s="96"/>
      <c r="I253" s="96"/>
      <c r="J253" s="96"/>
      <c r="K253" s="96">
        <f>IFERROR(__xludf.DUMMYFUNCTION("""COMPUTED_VALUE"""),100000.0)</f>
        <v>100000</v>
      </c>
      <c r="L253" s="99">
        <f>IFERROR(__xludf.DUMMYFUNCTION("""COMPUTED_VALUE"""),100000.0)</f>
        <v>100000</v>
      </c>
      <c r="M253" s="96"/>
      <c r="N253" s="96">
        <f>IFERROR(__xludf.DUMMYFUNCTION("""COMPUTED_VALUE"""),0.0)</f>
        <v>0</v>
      </c>
      <c r="O253" s="96">
        <f>IFERROR(__xludf.DUMMYFUNCTION("""COMPUTED_VALUE"""),0.0)</f>
        <v>0</v>
      </c>
      <c r="P253" s="96">
        <f>IFERROR(__xludf.DUMMYFUNCTION("""COMPUTED_VALUE"""),0.0)</f>
        <v>0</v>
      </c>
      <c r="Q253" s="129">
        <f>IFERROR(__xludf.DUMMYFUNCTION("""COMPUTED_VALUE"""),0.0)</f>
        <v>0</v>
      </c>
      <c r="R253" s="99"/>
      <c r="S253" s="99">
        <f>IFERROR(__xludf.DUMMYFUNCTION("""COMPUTED_VALUE"""),1352380.0)</f>
        <v>1352380</v>
      </c>
    </row>
    <row r="254">
      <c r="A254" s="96">
        <f>IFERROR(__xludf.DUMMYFUNCTION("""COMPUTED_VALUE"""),2.0)</f>
        <v>2</v>
      </c>
      <c r="B254" s="98">
        <f>IFERROR(__xludf.DUMMYFUNCTION("""COMPUTED_VALUE"""),44067.0)</f>
        <v>44067</v>
      </c>
      <c r="C254" s="96" t="str">
        <f>IFERROR(__xludf.DUMMYFUNCTION("""COMPUTED_VALUE"""),"R.  MAXWELL AGRO")</f>
        <v>R.  MAXWELL AGRO</v>
      </c>
      <c r="D254" s="96" t="str">
        <f>IFERROR(__xludf.DUMMYFUNCTION("""COMPUTED_VALUE"""),"R.  MAXWELL AGRO2")</f>
        <v>R.  MAXWELL AGRO2</v>
      </c>
      <c r="E254" s="96"/>
      <c r="F254" s="96"/>
      <c r="G254" s="96"/>
      <c r="H254" s="96"/>
      <c r="I254" s="96"/>
      <c r="J254" s="96"/>
      <c r="K254" s="96">
        <f>IFERROR(__xludf.DUMMYFUNCTION("""COMPUTED_VALUE"""),50000.0)</f>
        <v>50000</v>
      </c>
      <c r="L254" s="99">
        <f>IFERROR(__xludf.DUMMYFUNCTION("""COMPUTED_VALUE"""),50000.0)</f>
        <v>50000</v>
      </c>
      <c r="M254" s="96"/>
      <c r="N254" s="96">
        <f>IFERROR(__xludf.DUMMYFUNCTION("""COMPUTED_VALUE"""),0.0)</f>
        <v>0</v>
      </c>
      <c r="O254" s="96">
        <f>IFERROR(__xludf.DUMMYFUNCTION("""COMPUTED_VALUE"""),0.0)</f>
        <v>0</v>
      </c>
      <c r="P254" s="96">
        <f>IFERROR(__xludf.DUMMYFUNCTION("""COMPUTED_VALUE"""),0.0)</f>
        <v>0</v>
      </c>
      <c r="Q254" s="129">
        <f>IFERROR(__xludf.DUMMYFUNCTION("""COMPUTED_VALUE"""),0.0)</f>
        <v>0</v>
      </c>
      <c r="R254" s="99"/>
      <c r="S254" s="99">
        <f>IFERROR(__xludf.DUMMYFUNCTION("""COMPUTED_VALUE"""),890000.0)</f>
        <v>890000</v>
      </c>
    </row>
    <row r="255">
      <c r="A255" s="96">
        <f>IFERROR(__xludf.DUMMYFUNCTION("""COMPUTED_VALUE"""),9.0)</f>
        <v>9</v>
      </c>
      <c r="B255" s="98">
        <f>IFERROR(__xludf.DUMMYFUNCTION("""COMPUTED_VALUE"""),44067.0)</f>
        <v>44067</v>
      </c>
      <c r="C255" s="96" t="str">
        <f>IFERROR(__xludf.DUMMYFUNCTION("""COMPUTED_VALUE"""),"EDWARD OKO")</f>
        <v>EDWARD OKO</v>
      </c>
      <c r="D255" s="96" t="str">
        <f>IFERROR(__xludf.DUMMYFUNCTION("""COMPUTED_VALUE"""),"EDWARD OKO9")</f>
        <v>EDWARD OKO9</v>
      </c>
      <c r="E255" s="96"/>
      <c r="F255" s="96"/>
      <c r="G255" s="96"/>
      <c r="H255" s="96"/>
      <c r="I255" s="96"/>
      <c r="J255" s="96"/>
      <c r="K255" s="96">
        <f>IFERROR(__xludf.DUMMYFUNCTION("""COMPUTED_VALUE"""),85000.0)</f>
        <v>85000</v>
      </c>
      <c r="L255" s="99">
        <f>IFERROR(__xludf.DUMMYFUNCTION("""COMPUTED_VALUE"""),85000.0)</f>
        <v>85000</v>
      </c>
      <c r="M255" s="96"/>
      <c r="N255" s="96">
        <f>IFERROR(__xludf.DUMMYFUNCTION("""COMPUTED_VALUE"""),0.0)</f>
        <v>0</v>
      </c>
      <c r="O255" s="96">
        <f>IFERROR(__xludf.DUMMYFUNCTION("""COMPUTED_VALUE"""),0.0)</f>
        <v>0</v>
      </c>
      <c r="P255" s="96">
        <f>IFERROR(__xludf.DUMMYFUNCTION("""COMPUTED_VALUE"""),0.0)</f>
        <v>0</v>
      </c>
      <c r="Q255" s="129">
        <f>IFERROR(__xludf.DUMMYFUNCTION("""COMPUTED_VALUE"""),0.0)</f>
        <v>0</v>
      </c>
      <c r="R255" s="99"/>
      <c r="S255" s="99">
        <f>IFERROR(__xludf.DUMMYFUNCTION("""COMPUTED_VALUE"""),92690.0)</f>
        <v>92690</v>
      </c>
    </row>
    <row r="256">
      <c r="A256" s="96">
        <f>IFERROR(__xludf.DUMMYFUNCTION("""COMPUTED_VALUE"""),2.0)</f>
        <v>2</v>
      </c>
      <c r="B256" s="98">
        <f>IFERROR(__xludf.DUMMYFUNCTION("""COMPUTED_VALUE"""),44067.0)</f>
        <v>44067</v>
      </c>
      <c r="C256" s="96" t="str">
        <f>IFERROR(__xludf.DUMMYFUNCTION("""COMPUTED_VALUE"""),"PAPA AJASCO BETTE")</f>
        <v>PAPA AJASCO BETTE</v>
      </c>
      <c r="D256" s="96" t="str">
        <f>IFERROR(__xludf.DUMMYFUNCTION("""COMPUTED_VALUE"""),"PAPA AJASCO BETTE2")</f>
        <v>PAPA AJASCO BETTE2</v>
      </c>
      <c r="E256" s="96"/>
      <c r="F256" s="96"/>
      <c r="G256" s="96"/>
      <c r="H256" s="96"/>
      <c r="I256" s="96"/>
      <c r="J256" s="96"/>
      <c r="K256" s="96">
        <f>IFERROR(__xludf.DUMMYFUNCTION("""COMPUTED_VALUE"""),20000.0)</f>
        <v>20000</v>
      </c>
      <c r="L256" s="99">
        <f>IFERROR(__xludf.DUMMYFUNCTION("""COMPUTED_VALUE"""),20000.0)</f>
        <v>20000</v>
      </c>
      <c r="M256" s="96"/>
      <c r="N256" s="96">
        <f>IFERROR(__xludf.DUMMYFUNCTION("""COMPUTED_VALUE"""),0.0)</f>
        <v>0</v>
      </c>
      <c r="O256" s="96">
        <f>IFERROR(__xludf.DUMMYFUNCTION("""COMPUTED_VALUE"""),0.0)</f>
        <v>0</v>
      </c>
      <c r="P256" s="96">
        <f>IFERROR(__xludf.DUMMYFUNCTION("""COMPUTED_VALUE"""),0.0)</f>
        <v>0</v>
      </c>
      <c r="Q256" s="129">
        <f>IFERROR(__xludf.DUMMYFUNCTION("""COMPUTED_VALUE"""),0.0)</f>
        <v>0</v>
      </c>
      <c r="R256" s="99"/>
      <c r="S256" s="99">
        <f>IFERROR(__xludf.DUMMYFUNCTION("""COMPUTED_VALUE"""),220000.0)</f>
        <v>220000</v>
      </c>
    </row>
    <row r="257">
      <c r="A257" s="96">
        <f>IFERROR(__xludf.DUMMYFUNCTION("""COMPUTED_VALUE"""),9.0)</f>
        <v>9</v>
      </c>
      <c r="B257" s="98">
        <f>IFERROR(__xludf.DUMMYFUNCTION("""COMPUTED_VALUE"""),44068.0)</f>
        <v>44068</v>
      </c>
      <c r="C257" s="96" t="str">
        <f>IFERROR(__xludf.DUMMYFUNCTION("""COMPUTED_VALUE""")," MAXWELL AGRO")</f>
        <v> MAXWELL AGRO</v>
      </c>
      <c r="D257" s="96" t="str">
        <f>IFERROR(__xludf.DUMMYFUNCTION("""COMPUTED_VALUE""")," MAXWELL AGRO9")</f>
        <v> MAXWELL AGRO9</v>
      </c>
      <c r="E257" s="96">
        <f>IFERROR(__xludf.DUMMYFUNCTION("""COMPUTED_VALUE"""),657.0)</f>
        <v>657</v>
      </c>
      <c r="F257" s="96">
        <f>IFERROR(__xludf.DUMMYFUNCTION("""COMPUTED_VALUE"""),93.0)</f>
        <v>93</v>
      </c>
      <c r="G257" s="96"/>
      <c r="H257" s="96">
        <f>IFERROR(__xludf.DUMMYFUNCTION("""COMPUTED_VALUE"""),10.0)</f>
        <v>10</v>
      </c>
      <c r="I257" s="96">
        <f>IFERROR(__xludf.DUMMYFUNCTION("""COMPUTED_VALUE"""),0.0)</f>
        <v>0</v>
      </c>
      <c r="J257" s="96">
        <f>IFERROR(__xludf.DUMMYFUNCTION("""COMPUTED_VALUE"""),825.35)</f>
        <v>825.35</v>
      </c>
      <c r="K257" s="96"/>
      <c r="L257" s="99">
        <f>IFERROR(__xludf.DUMMYFUNCTION("""COMPUTED_VALUE"""),-527400.0)</f>
        <v>-527400</v>
      </c>
      <c r="M257" s="96">
        <f>IFERROR(__xludf.DUMMYFUNCTION("""COMPUTED_VALUE"""),9.3)</f>
        <v>9.3</v>
      </c>
      <c r="N257" s="96">
        <f>IFERROR(__xludf.DUMMYFUNCTION("""COMPUTED_VALUE"""),8.0)</f>
        <v>8</v>
      </c>
      <c r="O257" s="96">
        <f>IFERROR(__xludf.DUMMYFUNCTION("""COMPUTED_VALUE"""),10.0)</f>
        <v>10</v>
      </c>
      <c r="P257" s="96">
        <f>IFERROR(__xludf.DUMMYFUNCTION("""COMPUTED_VALUE"""),8.0)</f>
        <v>8</v>
      </c>
      <c r="Q257" s="129">
        <f>IFERROR(__xludf.DUMMYFUNCTION("""COMPUTED_VALUE"""),639.0)</f>
        <v>639</v>
      </c>
      <c r="R257" s="99">
        <f>IFERROR(__xludf.DUMMYFUNCTION("""COMPUTED_VALUE"""),527400.0)</f>
        <v>527400</v>
      </c>
      <c r="S257" s="99">
        <f>IFERROR(__xludf.DUMMYFUNCTION("""COMPUTED_VALUE"""),2920.0)</f>
        <v>2920</v>
      </c>
    </row>
    <row r="258">
      <c r="A258" s="96">
        <f>IFERROR(__xludf.DUMMYFUNCTION("""COMPUTED_VALUE"""),10.0)</f>
        <v>10</v>
      </c>
      <c r="B258" s="98">
        <f>IFERROR(__xludf.DUMMYFUNCTION("""COMPUTED_VALUE"""),44068.0)</f>
        <v>44068</v>
      </c>
      <c r="C258" s="96" t="str">
        <f>IFERROR(__xludf.DUMMYFUNCTION("""COMPUTED_VALUE""")," MAXWELL AGRO")</f>
        <v> MAXWELL AGRO</v>
      </c>
      <c r="D258" s="96" t="str">
        <f>IFERROR(__xludf.DUMMYFUNCTION("""COMPUTED_VALUE""")," MAXWELL AGRO10")</f>
        <v> MAXWELL AGRO10</v>
      </c>
      <c r="E258" s="96"/>
      <c r="F258" s="96"/>
      <c r="G258" s="96"/>
      <c r="H258" s="96"/>
      <c r="I258" s="96"/>
      <c r="J258" s="96"/>
      <c r="K258" s="96">
        <f>IFERROR(__xludf.DUMMYFUNCTION("""COMPUTED_VALUE"""),300000.0)</f>
        <v>300000</v>
      </c>
      <c r="L258" s="99">
        <f>IFERROR(__xludf.DUMMYFUNCTION("""COMPUTED_VALUE"""),300000.0)</f>
        <v>300000</v>
      </c>
      <c r="M258" s="96"/>
      <c r="N258" s="96">
        <f>IFERROR(__xludf.DUMMYFUNCTION("""COMPUTED_VALUE"""),0.0)</f>
        <v>0</v>
      </c>
      <c r="O258" s="96">
        <f>IFERROR(__xludf.DUMMYFUNCTION("""COMPUTED_VALUE"""),0.0)</f>
        <v>0</v>
      </c>
      <c r="P258" s="96">
        <f>IFERROR(__xludf.DUMMYFUNCTION("""COMPUTED_VALUE"""),0.0)</f>
        <v>0</v>
      </c>
      <c r="Q258" s="129">
        <f>IFERROR(__xludf.DUMMYFUNCTION("""COMPUTED_VALUE"""),0.0)</f>
        <v>0</v>
      </c>
      <c r="R258" s="99"/>
      <c r="S258" s="99">
        <f>IFERROR(__xludf.DUMMYFUNCTION("""COMPUTED_VALUE"""),302920.0)</f>
        <v>302920</v>
      </c>
    </row>
    <row r="259">
      <c r="A259" s="96">
        <f>IFERROR(__xludf.DUMMYFUNCTION("""COMPUTED_VALUE"""),11.0)</f>
        <v>11</v>
      </c>
      <c r="B259" s="98">
        <f>IFERROR(__xludf.DUMMYFUNCTION("""COMPUTED_VALUE"""),44068.0)</f>
        <v>44068</v>
      </c>
      <c r="C259" s="96" t="str">
        <f>IFERROR(__xludf.DUMMYFUNCTION("""COMPUTED_VALUE""")," MAXWELL AGRO")</f>
        <v> MAXWELL AGRO</v>
      </c>
      <c r="D259" s="96" t="str">
        <f>IFERROR(__xludf.DUMMYFUNCTION("""COMPUTED_VALUE""")," MAXWELL AGRO11")</f>
        <v> MAXWELL AGRO11</v>
      </c>
      <c r="E259" s="96"/>
      <c r="F259" s="96"/>
      <c r="G259" s="96"/>
      <c r="H259" s="96"/>
      <c r="I259" s="96"/>
      <c r="J259" s="96"/>
      <c r="K259" s="96">
        <f>IFERROR(__xludf.DUMMYFUNCTION("""COMPUTED_VALUE"""),4500.0)</f>
        <v>4500</v>
      </c>
      <c r="L259" s="99">
        <f>IFERROR(__xludf.DUMMYFUNCTION("""COMPUTED_VALUE"""),4500.0)</f>
        <v>4500</v>
      </c>
      <c r="M259" s="96"/>
      <c r="N259" s="96">
        <f>IFERROR(__xludf.DUMMYFUNCTION("""COMPUTED_VALUE"""),0.0)</f>
        <v>0</v>
      </c>
      <c r="O259" s="96">
        <f>IFERROR(__xludf.DUMMYFUNCTION("""COMPUTED_VALUE"""),0.0)</f>
        <v>0</v>
      </c>
      <c r="P259" s="96">
        <f>IFERROR(__xludf.DUMMYFUNCTION("""COMPUTED_VALUE"""),0.0)</f>
        <v>0</v>
      </c>
      <c r="Q259" s="129">
        <f>IFERROR(__xludf.DUMMYFUNCTION("""COMPUTED_VALUE"""),0.0)</f>
        <v>0</v>
      </c>
      <c r="R259" s="99"/>
      <c r="S259" s="99">
        <f>IFERROR(__xludf.DUMMYFUNCTION("""COMPUTED_VALUE"""),307420.0)</f>
        <v>307420</v>
      </c>
    </row>
    <row r="260">
      <c r="A260" s="96">
        <f>IFERROR(__xludf.DUMMYFUNCTION("""COMPUTED_VALUE"""),2.0)</f>
        <v>2</v>
      </c>
      <c r="B260" s="98">
        <f>IFERROR(__xludf.DUMMYFUNCTION("""COMPUTED_VALUE"""),44068.0)</f>
        <v>44068</v>
      </c>
      <c r="C260" s="96" t="str">
        <f>IFERROR(__xludf.DUMMYFUNCTION("""COMPUTED_VALUE"""),"REIMON ALABA")</f>
        <v>REIMON ALABA</v>
      </c>
      <c r="D260" s="96" t="str">
        <f>IFERROR(__xludf.DUMMYFUNCTION("""COMPUTED_VALUE"""),"REIMON ALABA2")</f>
        <v>REIMON ALABA2</v>
      </c>
      <c r="E260" s="96"/>
      <c r="F260" s="96"/>
      <c r="G260" s="96"/>
      <c r="H260" s="96"/>
      <c r="I260" s="96"/>
      <c r="J260" s="96"/>
      <c r="K260" s="96">
        <f>IFERROR(__xludf.DUMMYFUNCTION("""COMPUTED_VALUE"""),200000.0)</f>
        <v>200000</v>
      </c>
      <c r="L260" s="99">
        <f>IFERROR(__xludf.DUMMYFUNCTION("""COMPUTED_VALUE"""),200000.0)</f>
        <v>200000</v>
      </c>
      <c r="M260" s="96"/>
      <c r="N260" s="96">
        <f>IFERROR(__xludf.DUMMYFUNCTION("""COMPUTED_VALUE"""),0.0)</f>
        <v>0</v>
      </c>
      <c r="O260" s="96">
        <f>IFERROR(__xludf.DUMMYFUNCTION("""COMPUTED_VALUE"""),0.0)</f>
        <v>0</v>
      </c>
      <c r="P260" s="96">
        <f>IFERROR(__xludf.DUMMYFUNCTION("""COMPUTED_VALUE"""),0.0)</f>
        <v>0</v>
      </c>
      <c r="Q260" s="129">
        <f>IFERROR(__xludf.DUMMYFUNCTION("""COMPUTED_VALUE"""),0.0)</f>
        <v>0</v>
      </c>
      <c r="R260" s="99"/>
      <c r="S260" s="99">
        <f>IFERROR(__xludf.DUMMYFUNCTION("""COMPUTED_VALUE"""),350000.0)</f>
        <v>350000</v>
      </c>
    </row>
    <row r="261">
      <c r="A261" s="96">
        <f>IFERROR(__xludf.DUMMYFUNCTION("""COMPUTED_VALUE"""),16.0)</f>
        <v>16</v>
      </c>
      <c r="B261" s="98">
        <f>IFERROR(__xludf.DUMMYFUNCTION("""COMPUTED_VALUE"""),44068.0)</f>
        <v>44068</v>
      </c>
      <c r="C261" s="96" t="str">
        <f>IFERROR(__xludf.DUMMYFUNCTION("""COMPUTED_VALUE"""),"LYDIA HNSON ")</f>
        <v>LYDIA HNSON </v>
      </c>
      <c r="D261" s="96" t="str">
        <f>IFERROR(__xludf.DUMMYFUNCTION("""COMPUTED_VALUE"""),"LYDIA HNSON 16")</f>
        <v>LYDIA HNSON 16</v>
      </c>
      <c r="E261" s="96"/>
      <c r="F261" s="96"/>
      <c r="G261" s="96"/>
      <c r="H261" s="96"/>
      <c r="I261" s="96"/>
      <c r="J261" s="96"/>
      <c r="K261" s="96">
        <f>IFERROR(__xludf.DUMMYFUNCTION("""COMPUTED_VALUE"""),10000.0)</f>
        <v>10000</v>
      </c>
      <c r="L261" s="99">
        <f>IFERROR(__xludf.DUMMYFUNCTION("""COMPUTED_VALUE"""),10000.0)</f>
        <v>10000</v>
      </c>
      <c r="M261" s="96"/>
      <c r="N261" s="96">
        <f>IFERROR(__xludf.DUMMYFUNCTION("""COMPUTED_VALUE"""),0.0)</f>
        <v>0</v>
      </c>
      <c r="O261" s="96">
        <f>IFERROR(__xludf.DUMMYFUNCTION("""COMPUTED_VALUE"""),0.0)</f>
        <v>0</v>
      </c>
      <c r="P261" s="96">
        <f>IFERROR(__xludf.DUMMYFUNCTION("""COMPUTED_VALUE"""),0.0)</f>
        <v>0</v>
      </c>
      <c r="Q261" s="129">
        <f>IFERROR(__xludf.DUMMYFUNCTION("""COMPUTED_VALUE"""),0.0)</f>
        <v>0</v>
      </c>
      <c r="R261" s="99"/>
      <c r="S261" s="99">
        <f>IFERROR(__xludf.DUMMYFUNCTION("""COMPUTED_VALUE"""),3576560.0)</f>
        <v>3576560</v>
      </c>
    </row>
    <row r="262">
      <c r="A262" s="96">
        <f>IFERROR(__xludf.DUMMYFUNCTION("""COMPUTED_VALUE"""),1.0)</f>
        <v>1</v>
      </c>
      <c r="B262" s="98">
        <f>IFERROR(__xludf.DUMMYFUNCTION("""COMPUTED_VALUE"""),44068.0)</f>
        <v>44068</v>
      </c>
      <c r="C262" s="96" t="str">
        <f>IFERROR(__xludf.DUMMYFUNCTION("""COMPUTED_VALUE"""),"NEIGHBOR")</f>
        <v>NEIGHBOR</v>
      </c>
      <c r="D262" s="96" t="str">
        <f>IFERROR(__xludf.DUMMYFUNCTION("""COMPUTED_VALUE"""),"NEIGHBOR1")</f>
        <v>NEIGHBOR1</v>
      </c>
      <c r="E262" s="96"/>
      <c r="F262" s="96"/>
      <c r="G262" s="96"/>
      <c r="H262" s="96"/>
      <c r="I262" s="96"/>
      <c r="J262" s="96"/>
      <c r="K262" s="96">
        <f>IFERROR(__xludf.DUMMYFUNCTION("""COMPUTED_VALUE"""),500000.0)</f>
        <v>500000</v>
      </c>
      <c r="L262" s="99">
        <f>IFERROR(__xludf.DUMMYFUNCTION("""COMPUTED_VALUE"""),500000.0)</f>
        <v>500000</v>
      </c>
      <c r="M262" s="96"/>
      <c r="N262" s="96">
        <f>IFERROR(__xludf.DUMMYFUNCTION("""COMPUTED_VALUE"""),0.0)</f>
        <v>0</v>
      </c>
      <c r="O262" s="96">
        <f>IFERROR(__xludf.DUMMYFUNCTION("""COMPUTED_VALUE"""),0.0)</f>
        <v>0</v>
      </c>
      <c r="P262" s="96">
        <f>IFERROR(__xludf.DUMMYFUNCTION("""COMPUTED_VALUE"""),0.0)</f>
        <v>0</v>
      </c>
      <c r="Q262" s="129">
        <f>IFERROR(__xludf.DUMMYFUNCTION("""COMPUTED_VALUE"""),0.0)</f>
        <v>0</v>
      </c>
      <c r="R262" s="99"/>
      <c r="S262" s="99">
        <f>IFERROR(__xludf.DUMMYFUNCTION("""COMPUTED_VALUE"""),500000.0)</f>
        <v>500000</v>
      </c>
    </row>
    <row r="263">
      <c r="A263" s="96">
        <f>IFERROR(__xludf.DUMMYFUNCTION("""COMPUTED_VALUE"""),2.0)</f>
        <v>2</v>
      </c>
      <c r="B263" s="98">
        <f>IFERROR(__xludf.DUMMYFUNCTION("""COMPUTED_VALUE"""),44069.0)</f>
        <v>44069</v>
      </c>
      <c r="C263" s="96" t="str">
        <f>IFERROR(__xludf.DUMMYFUNCTION("""COMPUTED_VALUE"""),"NEIGHBOR")</f>
        <v>NEIGHBOR</v>
      </c>
      <c r="D263" s="96" t="str">
        <f>IFERROR(__xludf.DUMMYFUNCTION("""COMPUTED_VALUE"""),"NEIGHBOR2")</f>
        <v>NEIGHBOR2</v>
      </c>
      <c r="E263" s="96">
        <f>IFERROR(__xludf.DUMMYFUNCTION("""COMPUTED_VALUE"""),638.0)</f>
        <v>638</v>
      </c>
      <c r="F263" s="96">
        <f>IFERROR(__xludf.DUMMYFUNCTION("""COMPUTED_VALUE"""),102.0)</f>
        <v>102</v>
      </c>
      <c r="G263" s="96"/>
      <c r="H263" s="96">
        <f>IFERROR(__xludf.DUMMYFUNCTION("""COMPUTED_VALUE"""),10.0)</f>
        <v>10</v>
      </c>
      <c r="I263" s="96">
        <f>IFERROR(__xludf.DUMMYFUNCTION("""COMPUTED_VALUE"""),0.0)</f>
        <v>0</v>
      </c>
      <c r="J263" s="96">
        <f>IFERROR(__xludf.DUMMYFUNCTION("""COMPUTED_VALUE"""),850.0)</f>
        <v>850</v>
      </c>
      <c r="K263" s="96"/>
      <c r="L263" s="99">
        <f>IFERROR(__xludf.DUMMYFUNCTION("""COMPUTED_VALUE"""),-521900.0)</f>
        <v>-521900</v>
      </c>
      <c r="M263" s="96">
        <f>IFERROR(__xludf.DUMMYFUNCTION("""COMPUTED_VALUE"""),10.2)</f>
        <v>10.2</v>
      </c>
      <c r="N263" s="96">
        <f>IFERROR(__xludf.DUMMYFUNCTION("""COMPUTED_VALUE"""),14.0)</f>
        <v>14</v>
      </c>
      <c r="O263" s="96">
        <f>IFERROR(__xludf.DUMMYFUNCTION("""COMPUTED_VALUE"""),9.0)</f>
        <v>9</v>
      </c>
      <c r="P263" s="96">
        <f>IFERROR(__xludf.DUMMYFUNCTION("""COMPUTED_VALUE"""),46.0)</f>
        <v>46</v>
      </c>
      <c r="Q263" s="129">
        <f>IFERROR(__xludf.DUMMYFUNCTION("""COMPUTED_VALUE"""),614.0)</f>
        <v>614</v>
      </c>
      <c r="R263" s="99">
        <f>IFERROR(__xludf.DUMMYFUNCTION("""COMPUTED_VALUE"""),521900.0)</f>
        <v>521900</v>
      </c>
      <c r="S263" s="99">
        <f>IFERROR(__xludf.DUMMYFUNCTION("""COMPUTED_VALUE"""),-21900.0)</f>
        <v>-21900</v>
      </c>
    </row>
    <row r="264">
      <c r="A264" s="96">
        <f>IFERROR(__xludf.DUMMYFUNCTION("""COMPUTED_VALUE"""),13.0)</f>
        <v>13</v>
      </c>
      <c r="B264" s="98">
        <f>IFERROR(__xludf.DUMMYFUNCTION("""COMPUTED_VALUE"""),44069.0)</f>
        <v>44069</v>
      </c>
      <c r="C264" s="96" t="str">
        <f>IFERROR(__xludf.DUMMYFUNCTION("""COMPUTED_VALUE"""),"NDOMA BODE I.D")</f>
        <v>NDOMA BODE I.D</v>
      </c>
      <c r="D264" s="96" t="str">
        <f>IFERROR(__xludf.DUMMYFUNCTION("""COMPUTED_VALUE"""),"NDOMA BODE I.D13")</f>
        <v>NDOMA BODE I.D13</v>
      </c>
      <c r="E264" s="96">
        <f>IFERROR(__xludf.DUMMYFUNCTION("""COMPUTED_VALUE"""),1304.0)</f>
        <v>1304</v>
      </c>
      <c r="F264" s="96">
        <f>IFERROR(__xludf.DUMMYFUNCTION("""COMPUTED_VALUE"""),168.0)</f>
        <v>168</v>
      </c>
      <c r="G264" s="96"/>
      <c r="H264" s="96">
        <f>IFERROR(__xludf.DUMMYFUNCTION("""COMPUTED_VALUE"""),21.0)</f>
        <v>21</v>
      </c>
      <c r="I264" s="96">
        <f>IFERROR(__xludf.DUMMYFUNCTION("""COMPUTED_VALUE"""),0.0)</f>
        <v>0</v>
      </c>
      <c r="J264" s="96">
        <f>IFERROR(__xludf.DUMMYFUNCTION("""COMPUTED_VALUE"""),820.0)</f>
        <v>820</v>
      </c>
      <c r="K264" s="96"/>
      <c r="L264" s="99">
        <f>IFERROR(__xludf.DUMMYFUNCTION("""COMPUTED_VALUE"""),-1052060.0)</f>
        <v>-1052060</v>
      </c>
      <c r="M264" s="96">
        <f>IFERROR(__xludf.DUMMYFUNCTION("""COMPUTED_VALUE"""),8.0)</f>
        <v>8</v>
      </c>
      <c r="N264" s="96">
        <f>IFERROR(__xludf.DUMMYFUNCTION("""COMPUTED_VALUE"""),0.0)</f>
        <v>0</v>
      </c>
      <c r="O264" s="96">
        <f>IFERROR(__xludf.DUMMYFUNCTION("""COMPUTED_VALUE"""),20.0)</f>
        <v>20</v>
      </c>
      <c r="P264" s="96">
        <f>IFERROR(__xludf.DUMMYFUNCTION("""COMPUTED_VALUE"""),22.0)</f>
        <v>22</v>
      </c>
      <c r="Q264" s="129">
        <f>IFERROR(__xludf.DUMMYFUNCTION("""COMPUTED_VALUE"""),1283.0)</f>
        <v>1283</v>
      </c>
      <c r="R264" s="99">
        <f>IFERROR(__xludf.DUMMYFUNCTION("""COMPUTED_VALUE"""),1052060.0)</f>
        <v>1052060</v>
      </c>
      <c r="S264" s="99">
        <f>IFERROR(__xludf.DUMMYFUNCTION("""COMPUTED_VALUE"""),-52060.0)</f>
        <v>-52060</v>
      </c>
    </row>
    <row r="265">
      <c r="A265" s="96">
        <f>IFERROR(__xludf.DUMMYFUNCTION("""COMPUTED_VALUE"""),8.0)</f>
        <v>8</v>
      </c>
      <c r="B265" s="98">
        <f>IFERROR(__xludf.DUMMYFUNCTION("""COMPUTED_VALUE"""),44069.0)</f>
        <v>44069</v>
      </c>
      <c r="C265" s="96" t="str">
        <f>IFERROR(__xludf.DUMMYFUNCTION("""COMPUTED_VALUE"""),"ANDRDEW GREAT")</f>
        <v>ANDRDEW GREAT</v>
      </c>
      <c r="D265" s="96" t="str">
        <f>IFERROR(__xludf.DUMMYFUNCTION("""COMPUTED_VALUE"""),"ANDRDEW GREAT8")</f>
        <v>ANDRDEW GREAT8</v>
      </c>
      <c r="E265" s="96"/>
      <c r="F265" s="96"/>
      <c r="G265" s="96"/>
      <c r="H265" s="96"/>
      <c r="I265" s="96"/>
      <c r="J265" s="96"/>
      <c r="K265" s="96">
        <f>IFERROR(__xludf.DUMMYFUNCTION("""COMPUTED_VALUE"""),200000.0)</f>
        <v>200000</v>
      </c>
      <c r="L265" s="99">
        <f>IFERROR(__xludf.DUMMYFUNCTION("""COMPUTED_VALUE"""),200000.0)</f>
        <v>200000</v>
      </c>
      <c r="M265" s="96"/>
      <c r="N265" s="96">
        <f>IFERROR(__xludf.DUMMYFUNCTION("""COMPUTED_VALUE"""),0.0)</f>
        <v>0</v>
      </c>
      <c r="O265" s="96">
        <f>IFERROR(__xludf.DUMMYFUNCTION("""COMPUTED_VALUE"""),0.0)</f>
        <v>0</v>
      </c>
      <c r="P265" s="96">
        <f>IFERROR(__xludf.DUMMYFUNCTION("""COMPUTED_VALUE"""),0.0)</f>
        <v>0</v>
      </c>
      <c r="Q265" s="129">
        <f>IFERROR(__xludf.DUMMYFUNCTION("""COMPUTED_VALUE"""),0.0)</f>
        <v>0</v>
      </c>
      <c r="R265" s="99"/>
      <c r="S265" s="99">
        <f>IFERROR(__xludf.DUMMYFUNCTION("""COMPUTED_VALUE"""),1756950.0)</f>
        <v>1756950</v>
      </c>
    </row>
    <row r="266">
      <c r="A266" s="96">
        <f>IFERROR(__xludf.DUMMYFUNCTION("""COMPUTED_VALUE"""),10.0)</f>
        <v>10</v>
      </c>
      <c r="B266" s="98">
        <f>IFERROR(__xludf.DUMMYFUNCTION("""COMPUTED_VALUE"""),44069.0)</f>
        <v>44069</v>
      </c>
      <c r="C266" s="96" t="str">
        <f>IFERROR(__xludf.DUMMYFUNCTION("""COMPUTED_VALUE"""),"EDWARD OKO")</f>
        <v>EDWARD OKO</v>
      </c>
      <c r="D266" s="96" t="str">
        <f>IFERROR(__xludf.DUMMYFUNCTION("""COMPUTED_VALUE"""),"EDWARD OKO10")</f>
        <v>EDWARD OKO10</v>
      </c>
      <c r="E266" s="96"/>
      <c r="F266" s="96"/>
      <c r="G266" s="96"/>
      <c r="H266" s="96"/>
      <c r="I266" s="96"/>
      <c r="J266" s="96"/>
      <c r="K266" s="96">
        <f>IFERROR(__xludf.DUMMYFUNCTION("""COMPUTED_VALUE"""),100000.0)</f>
        <v>100000</v>
      </c>
      <c r="L266" s="99">
        <f>IFERROR(__xludf.DUMMYFUNCTION("""COMPUTED_VALUE"""),100000.0)</f>
        <v>100000</v>
      </c>
      <c r="M266" s="96"/>
      <c r="N266" s="96">
        <f>IFERROR(__xludf.DUMMYFUNCTION("""COMPUTED_VALUE"""),0.0)</f>
        <v>0</v>
      </c>
      <c r="O266" s="96">
        <f>IFERROR(__xludf.DUMMYFUNCTION("""COMPUTED_VALUE"""),0.0)</f>
        <v>0</v>
      </c>
      <c r="P266" s="96">
        <f>IFERROR(__xludf.DUMMYFUNCTION("""COMPUTED_VALUE"""),0.0)</f>
        <v>0</v>
      </c>
      <c r="Q266" s="129">
        <f>IFERROR(__xludf.DUMMYFUNCTION("""COMPUTED_VALUE"""),0.0)</f>
        <v>0</v>
      </c>
      <c r="R266" s="99"/>
      <c r="S266" s="99">
        <f>IFERROR(__xludf.DUMMYFUNCTION("""COMPUTED_VALUE"""),192690.0)</f>
        <v>192690</v>
      </c>
    </row>
    <row r="267">
      <c r="A267" s="96">
        <f>IFERROR(__xludf.DUMMYFUNCTION("""COMPUTED_VALUE"""),17.0)</f>
        <v>17</v>
      </c>
      <c r="B267" s="98">
        <f>IFERROR(__xludf.DUMMYFUNCTION("""COMPUTED_VALUE"""),44069.0)</f>
        <v>44069</v>
      </c>
      <c r="C267" s="96" t="str">
        <f>IFERROR(__xludf.DUMMYFUNCTION("""COMPUTED_VALUE"""),"LYDIA HNSON ")</f>
        <v>LYDIA HNSON </v>
      </c>
      <c r="D267" s="96" t="str">
        <f>IFERROR(__xludf.DUMMYFUNCTION("""COMPUTED_VALUE"""),"LYDIA HNSON 17")</f>
        <v>LYDIA HNSON 17</v>
      </c>
      <c r="E267" s="96"/>
      <c r="F267" s="96"/>
      <c r="G267" s="96"/>
      <c r="H267" s="96"/>
      <c r="I267" s="96"/>
      <c r="J267" s="96"/>
      <c r="K267" s="96">
        <f>IFERROR(__xludf.DUMMYFUNCTION("""COMPUTED_VALUE"""),1990000.0)</f>
        <v>1990000</v>
      </c>
      <c r="L267" s="99">
        <f>IFERROR(__xludf.DUMMYFUNCTION("""COMPUTED_VALUE"""),1990000.0)</f>
        <v>1990000</v>
      </c>
      <c r="M267" s="96"/>
      <c r="N267" s="96">
        <f>IFERROR(__xludf.DUMMYFUNCTION("""COMPUTED_VALUE"""),0.0)</f>
        <v>0</v>
      </c>
      <c r="O267" s="96">
        <f>IFERROR(__xludf.DUMMYFUNCTION("""COMPUTED_VALUE"""),0.0)</f>
        <v>0</v>
      </c>
      <c r="P267" s="96">
        <f>IFERROR(__xludf.DUMMYFUNCTION("""COMPUTED_VALUE"""),0.0)</f>
        <v>0</v>
      </c>
      <c r="Q267" s="129">
        <f>IFERROR(__xludf.DUMMYFUNCTION("""COMPUTED_VALUE"""),0.0)</f>
        <v>0</v>
      </c>
      <c r="R267" s="99"/>
      <c r="S267" s="99">
        <f>IFERROR(__xludf.DUMMYFUNCTION("""COMPUTED_VALUE"""),5566560.0)</f>
        <v>5566560</v>
      </c>
    </row>
    <row r="268">
      <c r="A268" s="96">
        <f>IFERROR(__xludf.DUMMYFUNCTION("""COMPUTED_VALUE"""),15.0)</f>
        <v>15</v>
      </c>
      <c r="B268" s="98">
        <f>IFERROR(__xludf.DUMMYFUNCTION("""COMPUTED_VALUE"""),44069.0)</f>
        <v>44069</v>
      </c>
      <c r="C268" s="96" t="str">
        <f>IFERROR(__xludf.DUMMYFUNCTION("""COMPUTED_VALUE"""),"LIVINUS")</f>
        <v>LIVINUS</v>
      </c>
      <c r="D268" s="96" t="str">
        <f>IFERROR(__xludf.DUMMYFUNCTION("""COMPUTED_VALUE"""),"LIVINUS15")</f>
        <v>LIVINUS15</v>
      </c>
      <c r="E268" s="96"/>
      <c r="F268" s="96"/>
      <c r="G268" s="96"/>
      <c r="H268" s="96"/>
      <c r="I268" s="96"/>
      <c r="J268" s="96"/>
      <c r="K268" s="96">
        <f>IFERROR(__xludf.DUMMYFUNCTION("""COMPUTED_VALUE"""),2250000.0)</f>
        <v>2250000</v>
      </c>
      <c r="L268" s="99">
        <f>IFERROR(__xludf.DUMMYFUNCTION("""COMPUTED_VALUE"""),2250000.0)</f>
        <v>2250000</v>
      </c>
      <c r="M268" s="96"/>
      <c r="N268" s="96">
        <f>IFERROR(__xludf.DUMMYFUNCTION("""COMPUTED_VALUE"""),0.0)</f>
        <v>0</v>
      </c>
      <c r="O268" s="96">
        <f>IFERROR(__xludf.DUMMYFUNCTION("""COMPUTED_VALUE"""),0.0)</f>
        <v>0</v>
      </c>
      <c r="P268" s="96">
        <f>IFERROR(__xludf.DUMMYFUNCTION("""COMPUTED_VALUE"""),0.0)</f>
        <v>0</v>
      </c>
      <c r="Q268" s="129">
        <f>IFERROR(__xludf.DUMMYFUNCTION("""COMPUTED_VALUE"""),0.0)</f>
        <v>0</v>
      </c>
      <c r="R268" s="99"/>
      <c r="S268" s="99">
        <f>IFERROR(__xludf.DUMMYFUNCTION("""COMPUTED_VALUE"""),8354500.0)</f>
        <v>8354500</v>
      </c>
    </row>
    <row r="269">
      <c r="A269" s="96">
        <f>IFERROR(__xludf.DUMMYFUNCTION("""COMPUTED_VALUE"""),4.0)</f>
        <v>4</v>
      </c>
      <c r="B269" s="98">
        <f>IFERROR(__xludf.DUMMYFUNCTION("""COMPUTED_VALUE"""),44069.0)</f>
        <v>44069</v>
      </c>
      <c r="C269" s="96" t="str">
        <f>IFERROR(__xludf.DUMMYFUNCTION("""COMPUTED_VALUE"""),"MAXWELL AGRO OBI")</f>
        <v>MAXWELL AGRO OBI</v>
      </c>
      <c r="D269" s="96" t="str">
        <f>IFERROR(__xludf.DUMMYFUNCTION("""COMPUTED_VALUE"""),"MAXWELL AGRO OBI4")</f>
        <v>MAXWELL AGRO OBI4</v>
      </c>
      <c r="E269" s="96"/>
      <c r="F269" s="96"/>
      <c r="G269" s="96"/>
      <c r="H269" s="96"/>
      <c r="I269" s="96"/>
      <c r="J269" s="96"/>
      <c r="K269" s="96">
        <f>IFERROR(__xludf.DUMMYFUNCTION("""COMPUTED_VALUE"""),500000.0)</f>
        <v>500000</v>
      </c>
      <c r="L269" s="99">
        <f>IFERROR(__xludf.DUMMYFUNCTION("""COMPUTED_VALUE"""),500000.0)</f>
        <v>500000</v>
      </c>
      <c r="M269" s="96"/>
      <c r="N269" s="96">
        <f>IFERROR(__xludf.DUMMYFUNCTION("""COMPUTED_VALUE"""),0.0)</f>
        <v>0</v>
      </c>
      <c r="O269" s="96">
        <f>IFERROR(__xludf.DUMMYFUNCTION("""COMPUTED_VALUE"""),0.0)</f>
        <v>0</v>
      </c>
      <c r="P269" s="96">
        <f>IFERROR(__xludf.DUMMYFUNCTION("""COMPUTED_VALUE"""),0.0)</f>
        <v>0</v>
      </c>
      <c r="Q269" s="129">
        <f>IFERROR(__xludf.DUMMYFUNCTION("""COMPUTED_VALUE"""),0.0)</f>
        <v>0</v>
      </c>
      <c r="R269" s="99"/>
      <c r="S269" s="99">
        <f>IFERROR(__xludf.DUMMYFUNCTION("""COMPUTED_VALUE"""),753520.0)</f>
        <v>753520</v>
      </c>
    </row>
    <row r="270">
      <c r="A270" s="96">
        <f>IFERROR(__xludf.DUMMYFUNCTION("""COMPUTED_VALUE"""),14.0)</f>
        <v>14</v>
      </c>
      <c r="B270" s="98">
        <f>IFERROR(__xludf.DUMMYFUNCTION("""COMPUTED_VALUE"""),44069.0)</f>
        <v>44069</v>
      </c>
      <c r="C270" s="96" t="str">
        <f>IFERROR(__xludf.DUMMYFUNCTION("""COMPUTED_VALUE"""),"NDOMA BODE I.D")</f>
        <v>NDOMA BODE I.D</v>
      </c>
      <c r="D270" s="96" t="str">
        <f>IFERROR(__xludf.DUMMYFUNCTION("""COMPUTED_VALUE"""),"NDOMA BODE I.D14")</f>
        <v>NDOMA BODE I.D14</v>
      </c>
      <c r="E270" s="96"/>
      <c r="F270" s="96"/>
      <c r="G270" s="96"/>
      <c r="H270" s="96"/>
      <c r="I270" s="96"/>
      <c r="J270" s="96"/>
      <c r="K270" s="96">
        <f>IFERROR(__xludf.DUMMYFUNCTION("""COMPUTED_VALUE"""),1052000.0)</f>
        <v>1052000</v>
      </c>
      <c r="L270" s="99">
        <f>IFERROR(__xludf.DUMMYFUNCTION("""COMPUTED_VALUE"""),1052000.0)</f>
        <v>1052000</v>
      </c>
      <c r="M270" s="96"/>
      <c r="N270" s="96">
        <f>IFERROR(__xludf.DUMMYFUNCTION("""COMPUTED_VALUE"""),0.0)</f>
        <v>0</v>
      </c>
      <c r="O270" s="96">
        <f>IFERROR(__xludf.DUMMYFUNCTION("""COMPUTED_VALUE"""),0.0)</f>
        <v>0</v>
      </c>
      <c r="P270" s="96">
        <f>IFERROR(__xludf.DUMMYFUNCTION("""COMPUTED_VALUE"""),0.0)</f>
        <v>0</v>
      </c>
      <c r="Q270" s="129">
        <f>IFERROR(__xludf.DUMMYFUNCTION("""COMPUTED_VALUE"""),0.0)</f>
        <v>0</v>
      </c>
      <c r="R270" s="99"/>
      <c r="S270" s="99">
        <f>IFERROR(__xludf.DUMMYFUNCTION("""COMPUTED_VALUE"""),999940.0)</f>
        <v>999940</v>
      </c>
    </row>
    <row r="271">
      <c r="A271" s="96">
        <f>IFERROR(__xludf.DUMMYFUNCTION("""COMPUTED_VALUE"""),5.0)</f>
        <v>5</v>
      </c>
      <c r="B271" s="98">
        <f>IFERROR(__xludf.DUMMYFUNCTION("""COMPUTED_VALUE"""),44069.0)</f>
        <v>44069</v>
      </c>
      <c r="C271" s="96" t="str">
        <f>IFERROR(__xludf.DUMMYFUNCTION("""COMPUTED_VALUE"""),"EUGENE")</f>
        <v>EUGENE</v>
      </c>
      <c r="D271" s="96" t="str">
        <f>IFERROR(__xludf.DUMMYFUNCTION("""COMPUTED_VALUE"""),"EUGENE5")</f>
        <v>EUGENE5</v>
      </c>
      <c r="E271" s="96"/>
      <c r="F271" s="96"/>
      <c r="G271" s="96"/>
      <c r="H271" s="96"/>
      <c r="I271" s="96"/>
      <c r="J271" s="96"/>
      <c r="K271" s="96">
        <f>IFERROR(__xludf.DUMMYFUNCTION("""COMPUTED_VALUE"""),800000.0)</f>
        <v>800000</v>
      </c>
      <c r="L271" s="99">
        <f>IFERROR(__xludf.DUMMYFUNCTION("""COMPUTED_VALUE"""),800000.0)</f>
        <v>800000</v>
      </c>
      <c r="M271" s="96"/>
      <c r="N271" s="96">
        <f>IFERROR(__xludf.DUMMYFUNCTION("""COMPUTED_VALUE"""),0.0)</f>
        <v>0</v>
      </c>
      <c r="O271" s="96">
        <f>IFERROR(__xludf.DUMMYFUNCTION("""COMPUTED_VALUE"""),0.0)</f>
        <v>0</v>
      </c>
      <c r="P271" s="96">
        <f>IFERROR(__xludf.DUMMYFUNCTION("""COMPUTED_VALUE"""),0.0)</f>
        <v>0</v>
      </c>
      <c r="Q271" s="129">
        <f>IFERROR(__xludf.DUMMYFUNCTION("""COMPUTED_VALUE"""),0.0)</f>
        <v>0</v>
      </c>
      <c r="R271" s="99"/>
      <c r="S271" s="99">
        <f>IFERROR(__xludf.DUMMYFUNCTION("""COMPUTED_VALUE"""),1131200.0)</f>
        <v>1131200</v>
      </c>
    </row>
    <row r="272">
      <c r="A272" s="96">
        <f>IFERROR(__xludf.DUMMYFUNCTION("""COMPUTED_VALUE"""),3.0)</f>
        <v>3</v>
      </c>
      <c r="B272" s="98">
        <f>IFERROR(__xludf.DUMMYFUNCTION("""COMPUTED_VALUE"""),44069.0)</f>
        <v>44069</v>
      </c>
      <c r="C272" s="96" t="str">
        <f>IFERROR(__xludf.DUMMYFUNCTION("""COMPUTED_VALUE"""),"NEIGHBOR")</f>
        <v>NEIGHBOR</v>
      </c>
      <c r="D272" s="96" t="str">
        <f>IFERROR(__xludf.DUMMYFUNCTION("""COMPUTED_VALUE"""),"NEIGHBOR3")</f>
        <v>NEIGHBOR3</v>
      </c>
      <c r="E272" s="96"/>
      <c r="F272" s="96"/>
      <c r="G272" s="96"/>
      <c r="H272" s="96"/>
      <c r="I272" s="96"/>
      <c r="J272" s="96"/>
      <c r="K272" s="96">
        <f>IFERROR(__xludf.DUMMYFUNCTION("""COMPUTED_VALUE"""),20400.0)</f>
        <v>20400</v>
      </c>
      <c r="L272" s="99">
        <f>IFERROR(__xludf.DUMMYFUNCTION("""COMPUTED_VALUE"""),20400.0)</f>
        <v>20400</v>
      </c>
      <c r="M272" s="96"/>
      <c r="N272" s="96">
        <f>IFERROR(__xludf.DUMMYFUNCTION("""COMPUTED_VALUE"""),0.0)</f>
        <v>0</v>
      </c>
      <c r="O272" s="96">
        <f>IFERROR(__xludf.DUMMYFUNCTION("""COMPUTED_VALUE"""),0.0)</f>
        <v>0</v>
      </c>
      <c r="P272" s="96">
        <f>IFERROR(__xludf.DUMMYFUNCTION("""COMPUTED_VALUE"""),0.0)</f>
        <v>0</v>
      </c>
      <c r="Q272" s="129">
        <f>IFERROR(__xludf.DUMMYFUNCTION("""COMPUTED_VALUE"""),0.0)</f>
        <v>0</v>
      </c>
      <c r="R272" s="99"/>
      <c r="S272" s="99">
        <f>IFERROR(__xludf.DUMMYFUNCTION("""COMPUTED_VALUE"""),-1500.0)</f>
        <v>-1500</v>
      </c>
    </row>
    <row r="273">
      <c r="A273" s="96">
        <f>IFERROR(__xludf.DUMMYFUNCTION("""COMPUTED_VALUE"""),18.0)</f>
        <v>18</v>
      </c>
      <c r="B273" s="98">
        <f>IFERROR(__xludf.DUMMYFUNCTION("""COMPUTED_VALUE"""),44070.0)</f>
        <v>44070</v>
      </c>
      <c r="C273" s="96" t="str">
        <f>IFERROR(__xludf.DUMMYFUNCTION("""COMPUTED_VALUE"""),"LYDIA HNSON ")</f>
        <v>LYDIA HNSON </v>
      </c>
      <c r="D273" s="96" t="str">
        <f>IFERROR(__xludf.DUMMYFUNCTION("""COMPUTED_VALUE"""),"LYDIA HNSON 18")</f>
        <v>LYDIA HNSON 18</v>
      </c>
      <c r="E273" s="96">
        <f>IFERROR(__xludf.DUMMYFUNCTION("""COMPUTED_VALUE"""),2512.0)</f>
        <v>2512</v>
      </c>
      <c r="F273" s="96">
        <f>IFERROR(__xludf.DUMMYFUNCTION("""COMPUTED_VALUE"""),320.0)</f>
        <v>320</v>
      </c>
      <c r="G273" s="96"/>
      <c r="H273" s="96">
        <f>IFERROR(__xludf.DUMMYFUNCTION("""COMPUTED_VALUE"""),40.0)</f>
        <v>40</v>
      </c>
      <c r="I273" s="96">
        <f>IFERROR(__xludf.DUMMYFUNCTION("""COMPUTED_VALUE"""),0.0)</f>
        <v>0</v>
      </c>
      <c r="J273" s="96">
        <f>IFERROR(__xludf.DUMMYFUNCTION("""COMPUTED_VALUE"""),840.0)</f>
        <v>840</v>
      </c>
      <c r="K273" s="96"/>
      <c r="L273" s="99">
        <f>IFERROR(__xludf.DUMMYFUNCTION("""COMPUTED_VALUE"""),-2076480.0)</f>
        <v>-2076480</v>
      </c>
      <c r="M273" s="96">
        <f>IFERROR(__xludf.DUMMYFUNCTION("""COMPUTED_VALUE"""),8.0)</f>
        <v>8</v>
      </c>
      <c r="N273" s="96">
        <f>IFERROR(__xludf.DUMMYFUNCTION("""COMPUTED_VALUE"""),0.0)</f>
        <v>0</v>
      </c>
      <c r="O273" s="96">
        <f>IFERROR(__xludf.DUMMYFUNCTION("""COMPUTED_VALUE"""),39.0)</f>
        <v>39</v>
      </c>
      <c r="P273" s="96">
        <f>IFERROR(__xludf.DUMMYFUNCTION("""COMPUTED_VALUE"""),15.0)</f>
        <v>15</v>
      </c>
      <c r="Q273" s="129">
        <f>IFERROR(__xludf.DUMMYFUNCTION("""COMPUTED_VALUE"""),2472.0)</f>
        <v>2472</v>
      </c>
      <c r="R273" s="99">
        <f>IFERROR(__xludf.DUMMYFUNCTION("""COMPUTED_VALUE"""),2076480.0)</f>
        <v>2076480</v>
      </c>
      <c r="S273" s="99">
        <f>IFERROR(__xludf.DUMMYFUNCTION("""COMPUTED_VALUE"""),3490080.0)</f>
        <v>3490080</v>
      </c>
    </row>
    <row r="274">
      <c r="A274" s="96">
        <f>IFERROR(__xludf.DUMMYFUNCTION("""COMPUTED_VALUE"""),6.0)</f>
        <v>6</v>
      </c>
      <c r="B274" s="98">
        <f>IFERROR(__xludf.DUMMYFUNCTION("""COMPUTED_VALUE"""),44067.0)</f>
        <v>44067</v>
      </c>
      <c r="C274" s="96" t="str">
        <f>IFERROR(__xludf.DUMMYFUNCTION("""COMPUTED_VALUE"""),"A. D. FREDERICK")</f>
        <v>A. D. FREDERICK</v>
      </c>
      <c r="D274" s="96" t="str">
        <f>IFERROR(__xludf.DUMMYFUNCTION("""COMPUTED_VALUE"""),"A. D. FREDERICK6")</f>
        <v>A. D. FREDERICK6</v>
      </c>
      <c r="E274" s="96">
        <f>IFERROR(__xludf.DUMMYFUNCTION("""COMPUTED_VALUE"""),623.0)</f>
        <v>623</v>
      </c>
      <c r="F274" s="96">
        <f>IFERROR(__xludf.DUMMYFUNCTION("""COMPUTED_VALUE"""),80.0)</f>
        <v>80</v>
      </c>
      <c r="G274" s="96"/>
      <c r="H274" s="96">
        <f>IFERROR(__xludf.DUMMYFUNCTION("""COMPUTED_VALUE"""),10.0)</f>
        <v>10</v>
      </c>
      <c r="I274" s="96">
        <f>IFERROR(__xludf.DUMMYFUNCTION("""COMPUTED_VALUE"""),0.0)</f>
        <v>0</v>
      </c>
      <c r="J274" s="96">
        <f>IFERROR(__xludf.DUMMYFUNCTION("""COMPUTED_VALUE"""),830.0)</f>
        <v>830</v>
      </c>
      <c r="K274" s="96"/>
      <c r="L274" s="99">
        <f>IFERROR(__xludf.DUMMYFUNCTION("""COMPUTED_VALUE"""),-508790.0)</f>
        <v>-508790</v>
      </c>
      <c r="M274" s="96">
        <f>IFERROR(__xludf.DUMMYFUNCTION("""COMPUTED_VALUE"""),8.0)</f>
        <v>8</v>
      </c>
      <c r="N274" s="96">
        <f>IFERROR(__xludf.DUMMYFUNCTION("""COMPUTED_VALUE"""),0.0)</f>
        <v>0</v>
      </c>
      <c r="O274" s="96">
        <f>IFERROR(__xludf.DUMMYFUNCTION("""COMPUTED_VALUE"""),9.0)</f>
        <v>9</v>
      </c>
      <c r="P274" s="96">
        <f>IFERROR(__xludf.DUMMYFUNCTION("""COMPUTED_VALUE"""),46.0)</f>
        <v>46</v>
      </c>
      <c r="Q274" s="129">
        <f>IFERROR(__xludf.DUMMYFUNCTION("""COMPUTED_VALUE"""),613.0)</f>
        <v>613</v>
      </c>
      <c r="R274" s="99">
        <f>IFERROR(__xludf.DUMMYFUNCTION("""COMPUTED_VALUE"""),508790.0)</f>
        <v>508790</v>
      </c>
      <c r="S274" s="99">
        <f>IFERROR(__xludf.DUMMYFUNCTION("""COMPUTED_VALUE"""),138410.0)</f>
        <v>138410</v>
      </c>
    </row>
    <row r="275">
      <c r="A275" s="96">
        <f>IFERROR(__xludf.DUMMYFUNCTION("""COMPUTED_VALUE"""),16.0)</f>
        <v>16</v>
      </c>
      <c r="B275" s="98">
        <f>IFERROR(__xludf.DUMMYFUNCTION("""COMPUTED_VALUE"""),44070.0)</f>
        <v>44070</v>
      </c>
      <c r="C275" s="96" t="str">
        <f>IFERROR(__xludf.DUMMYFUNCTION("""COMPUTED_VALUE"""),"CONNECT")</f>
        <v>CONNECT</v>
      </c>
      <c r="D275" s="96" t="str">
        <f>IFERROR(__xludf.DUMMYFUNCTION("""COMPUTED_VALUE"""),"CONNECT16")</f>
        <v>CONNECT16</v>
      </c>
      <c r="E275" s="96"/>
      <c r="F275" s="96"/>
      <c r="G275" s="96"/>
      <c r="H275" s="96"/>
      <c r="I275" s="96"/>
      <c r="J275" s="96"/>
      <c r="K275" s="96">
        <f>IFERROR(__xludf.DUMMYFUNCTION("""COMPUTED_VALUE"""),2000000.0)</f>
        <v>2000000</v>
      </c>
      <c r="L275" s="99">
        <f>IFERROR(__xludf.DUMMYFUNCTION("""COMPUTED_VALUE"""),2000000.0)</f>
        <v>2000000</v>
      </c>
      <c r="M275" s="96"/>
      <c r="N275" s="96">
        <f>IFERROR(__xludf.DUMMYFUNCTION("""COMPUTED_VALUE"""),0.0)</f>
        <v>0</v>
      </c>
      <c r="O275" s="96">
        <f>IFERROR(__xludf.DUMMYFUNCTION("""COMPUTED_VALUE"""),0.0)</f>
        <v>0</v>
      </c>
      <c r="P275" s="96">
        <f>IFERROR(__xludf.DUMMYFUNCTION("""COMPUTED_VALUE"""),0.0)</f>
        <v>0</v>
      </c>
      <c r="Q275" s="129">
        <f>IFERROR(__xludf.DUMMYFUNCTION("""COMPUTED_VALUE"""),0.0)</f>
        <v>0</v>
      </c>
      <c r="R275" s="99"/>
      <c r="S275" s="99">
        <f>IFERROR(__xludf.DUMMYFUNCTION("""COMPUTED_VALUE"""),5123100.0)</f>
        <v>5123100</v>
      </c>
    </row>
    <row r="276">
      <c r="A276" s="96">
        <f>IFERROR(__xludf.DUMMYFUNCTION("""COMPUTED_VALUE"""),5.0)</f>
        <v>5</v>
      </c>
      <c r="B276" s="98">
        <f>IFERROR(__xludf.DUMMYFUNCTION("""COMPUTED_VALUE"""),44070.0)</f>
        <v>44070</v>
      </c>
      <c r="C276" s="96" t="str">
        <f>IFERROR(__xludf.DUMMYFUNCTION("""COMPUTED_VALUE"""),"AUGUSTINE IGBA")</f>
        <v>AUGUSTINE IGBA</v>
      </c>
      <c r="D276" s="96" t="str">
        <f>IFERROR(__xludf.DUMMYFUNCTION("""COMPUTED_VALUE"""),"AUGUSTINE IGBA5")</f>
        <v>AUGUSTINE IGBA5</v>
      </c>
      <c r="E276" s="96"/>
      <c r="F276" s="96"/>
      <c r="G276" s="96"/>
      <c r="H276" s="96"/>
      <c r="I276" s="96"/>
      <c r="J276" s="96"/>
      <c r="K276" s="96">
        <f>IFERROR(__xludf.DUMMYFUNCTION("""COMPUTED_VALUE"""),2000000.0)</f>
        <v>2000000</v>
      </c>
      <c r="L276" s="99">
        <f>IFERROR(__xludf.DUMMYFUNCTION("""COMPUTED_VALUE"""),2000000.0)</f>
        <v>2000000</v>
      </c>
      <c r="M276" s="96"/>
      <c r="N276" s="96">
        <f>IFERROR(__xludf.DUMMYFUNCTION("""COMPUTED_VALUE"""),0.0)</f>
        <v>0</v>
      </c>
      <c r="O276" s="96">
        <f>IFERROR(__xludf.DUMMYFUNCTION("""COMPUTED_VALUE"""),0.0)</f>
        <v>0</v>
      </c>
      <c r="P276" s="96">
        <f>IFERROR(__xludf.DUMMYFUNCTION("""COMPUTED_VALUE"""),0.0)</f>
        <v>0</v>
      </c>
      <c r="Q276" s="129">
        <f>IFERROR(__xludf.DUMMYFUNCTION("""COMPUTED_VALUE"""),0.0)</f>
        <v>0</v>
      </c>
      <c r="R276" s="99"/>
      <c r="S276" s="99">
        <f>IFERROR(__xludf.DUMMYFUNCTION("""COMPUTED_VALUE"""),2.413414E7)</f>
        <v>24134140</v>
      </c>
    </row>
    <row r="277">
      <c r="A277" s="96">
        <f>IFERROR(__xludf.DUMMYFUNCTION("""COMPUTED_VALUE"""),4.0)</f>
        <v>4</v>
      </c>
      <c r="B277" s="98">
        <f>IFERROR(__xludf.DUMMYFUNCTION("""COMPUTED_VALUE"""),44070.0)</f>
        <v>44070</v>
      </c>
      <c r="C277" s="96" t="str">
        <f>IFERROR(__xludf.DUMMYFUNCTION("""COMPUTED_VALUE"""),"OTU KOKO KEIBO")</f>
        <v>OTU KOKO KEIBO</v>
      </c>
      <c r="D277" s="96" t="str">
        <f>IFERROR(__xludf.DUMMYFUNCTION("""COMPUTED_VALUE"""),"OTU KOKO KEIBO4")</f>
        <v>OTU KOKO KEIBO4</v>
      </c>
      <c r="E277" s="96"/>
      <c r="F277" s="96"/>
      <c r="G277" s="96"/>
      <c r="H277" s="96"/>
      <c r="I277" s="96"/>
      <c r="J277" s="96"/>
      <c r="K277" s="96">
        <f>IFERROR(__xludf.DUMMYFUNCTION("""COMPUTED_VALUE"""),35000.0)</f>
        <v>35000</v>
      </c>
      <c r="L277" s="99">
        <f>IFERROR(__xludf.DUMMYFUNCTION("""COMPUTED_VALUE"""),35000.0)</f>
        <v>35000</v>
      </c>
      <c r="M277" s="96"/>
      <c r="N277" s="96">
        <f>IFERROR(__xludf.DUMMYFUNCTION("""COMPUTED_VALUE"""),0.0)</f>
        <v>0</v>
      </c>
      <c r="O277" s="96">
        <f>IFERROR(__xludf.DUMMYFUNCTION("""COMPUTED_VALUE"""),0.0)</f>
        <v>0</v>
      </c>
      <c r="P277" s="96">
        <f>IFERROR(__xludf.DUMMYFUNCTION("""COMPUTED_VALUE"""),0.0)</f>
        <v>0</v>
      </c>
      <c r="Q277" s="129">
        <f>IFERROR(__xludf.DUMMYFUNCTION("""COMPUTED_VALUE"""),0.0)</f>
        <v>0</v>
      </c>
      <c r="R277" s="99"/>
      <c r="S277" s="99">
        <f>IFERROR(__xludf.DUMMYFUNCTION("""COMPUTED_VALUE"""),2.6034925E7)</f>
        <v>26034925</v>
      </c>
    </row>
    <row r="278">
      <c r="A278" s="96">
        <f>IFERROR(__xludf.DUMMYFUNCTION("""COMPUTED_VALUE"""),1.0)</f>
        <v>1</v>
      </c>
      <c r="B278" s="98">
        <f>IFERROR(__xludf.DUMMYFUNCTION("""COMPUTED_VALUE"""),44069.0)</f>
        <v>44069</v>
      </c>
      <c r="C278" s="96" t="str">
        <f>IFERROR(__xludf.DUMMYFUNCTION("""COMPUTED_VALUE"""),"NDOMA PRIN")</f>
        <v>NDOMA PRIN</v>
      </c>
      <c r="D278" s="96" t="str">
        <f>IFERROR(__xludf.DUMMYFUNCTION("""COMPUTED_VALUE"""),"NDOMA PRIN1")</f>
        <v>NDOMA PRIN1</v>
      </c>
      <c r="E278" s="96">
        <f>IFERROR(__xludf.DUMMYFUNCTION("""COMPUTED_VALUE"""),135.0)</f>
        <v>135</v>
      </c>
      <c r="F278" s="96">
        <f>IFERROR(__xludf.DUMMYFUNCTION("""COMPUTED_VALUE"""),26.5)</f>
        <v>26.5</v>
      </c>
      <c r="G278" s="96"/>
      <c r="H278" s="96">
        <f>IFERROR(__xludf.DUMMYFUNCTION("""COMPUTED_VALUE"""),2.0)</f>
        <v>2</v>
      </c>
      <c r="I278" s="96"/>
      <c r="J278" s="96">
        <f>IFERROR(__xludf.DUMMYFUNCTION("""COMPUTED_VALUE"""),800.0)</f>
        <v>800</v>
      </c>
      <c r="K278" s="96"/>
      <c r="L278" s="99">
        <f>IFERROR(__xludf.DUMMYFUNCTION("""COMPUTED_VALUE"""),-100800.0)</f>
        <v>-100800</v>
      </c>
      <c r="M278" s="96">
        <f>IFERROR(__xludf.DUMMYFUNCTION("""COMPUTED_VALUE"""),13.25)</f>
        <v>13.25</v>
      </c>
      <c r="N278" s="96">
        <f>IFERROR(__xludf.DUMMYFUNCTION("""COMPUTED_VALUE"""),7.0)</f>
        <v>7</v>
      </c>
      <c r="O278" s="96">
        <f>IFERROR(__xludf.DUMMYFUNCTION("""COMPUTED_VALUE"""),2.0)</f>
        <v>2</v>
      </c>
      <c r="P278" s="96">
        <f>IFERROR(__xludf.DUMMYFUNCTION("""COMPUTED_VALUE"""),0.0)</f>
        <v>0</v>
      </c>
      <c r="Q278" s="129">
        <f>IFERROR(__xludf.DUMMYFUNCTION("""COMPUTED_VALUE"""),126.0)</f>
        <v>126</v>
      </c>
      <c r="R278" s="99">
        <f>IFERROR(__xludf.DUMMYFUNCTION("""COMPUTED_VALUE"""),100800.0)</f>
        <v>100800</v>
      </c>
      <c r="S278" s="99">
        <f>IFERROR(__xludf.DUMMYFUNCTION("""COMPUTED_VALUE"""),-100800.0)</f>
        <v>-100800</v>
      </c>
    </row>
    <row r="279">
      <c r="A279" s="96">
        <f>IFERROR(__xludf.DUMMYFUNCTION("""COMPUTED_VALUE"""),10.0)</f>
        <v>10</v>
      </c>
      <c r="B279" s="98">
        <f>IFERROR(__xludf.DUMMYFUNCTION("""COMPUTED_VALUE"""),44071.0)</f>
        <v>44071</v>
      </c>
      <c r="C279" s="96" t="str">
        <f>IFERROR(__xludf.DUMMYFUNCTION("""COMPUTED_VALUE"""),"ETUK EFFI")</f>
        <v>ETUK EFFI</v>
      </c>
      <c r="D279" s="96" t="str">
        <f>IFERROR(__xludf.DUMMYFUNCTION("""COMPUTED_VALUE"""),"ETUK EFFI10")</f>
        <v>ETUK EFFI10</v>
      </c>
      <c r="E279" s="96"/>
      <c r="F279" s="96"/>
      <c r="G279" s="96"/>
      <c r="H279" s="96"/>
      <c r="I279" s="96"/>
      <c r="J279" s="96"/>
      <c r="K279" s="96"/>
      <c r="L279" s="99">
        <f>IFERROR(__xludf.DUMMYFUNCTION("""COMPUTED_VALUE"""),-592260.0)</f>
        <v>-592260</v>
      </c>
      <c r="M279" s="96"/>
      <c r="N279" s="96">
        <f>IFERROR(__xludf.DUMMYFUNCTION("""COMPUTED_VALUE"""),0.0)</f>
        <v>0</v>
      </c>
      <c r="O279" s="96">
        <f>IFERROR(__xludf.DUMMYFUNCTION("""COMPUTED_VALUE"""),0.0)</f>
        <v>0</v>
      </c>
      <c r="P279" s="96">
        <f>IFERROR(__xludf.DUMMYFUNCTION("""COMPUTED_VALUE"""),0.0)</f>
        <v>0</v>
      </c>
      <c r="Q279" s="129">
        <f>IFERROR(__xludf.DUMMYFUNCTION("""COMPUTED_VALUE"""),0.0)</f>
        <v>0</v>
      </c>
      <c r="R279" s="99">
        <f>IFERROR(__xludf.DUMMYFUNCTION("""COMPUTED_VALUE"""),592260.0)</f>
        <v>592260</v>
      </c>
      <c r="S279" s="99">
        <f>IFERROR(__xludf.DUMMYFUNCTION("""COMPUTED_VALUE"""),1500000.0)</f>
        <v>1500000</v>
      </c>
    </row>
    <row r="280">
      <c r="A280" s="96">
        <f>IFERROR(__xludf.DUMMYFUNCTION("""COMPUTED_VALUE"""),5.0)</f>
        <v>5</v>
      </c>
      <c r="B280" s="98">
        <f>IFERROR(__xludf.DUMMYFUNCTION("""COMPUTED_VALUE"""),44071.0)</f>
        <v>44071</v>
      </c>
      <c r="C280" s="96" t="str">
        <f>IFERROR(__xludf.DUMMYFUNCTION("""COMPUTED_VALUE"""),"OTU KOKO KEIBO")</f>
        <v>OTU KOKO KEIBO</v>
      </c>
      <c r="D280" s="96" t="str">
        <f>IFERROR(__xludf.DUMMYFUNCTION("""COMPUTED_VALUE"""),"OTU KOKO KEIBO5")</f>
        <v>OTU KOKO KEIBO5</v>
      </c>
      <c r="E280" s="96"/>
      <c r="F280" s="96"/>
      <c r="G280" s="96"/>
      <c r="H280" s="96"/>
      <c r="I280" s="96"/>
      <c r="J280" s="96"/>
      <c r="K280" s="96">
        <f>IFERROR(__xludf.DUMMYFUNCTION("""COMPUTED_VALUE"""),50000.0)</f>
        <v>50000</v>
      </c>
      <c r="L280" s="99">
        <f>IFERROR(__xludf.DUMMYFUNCTION("""COMPUTED_VALUE"""),50000.0)</f>
        <v>50000</v>
      </c>
      <c r="M280" s="96"/>
      <c r="N280" s="96">
        <f>IFERROR(__xludf.DUMMYFUNCTION("""COMPUTED_VALUE"""),0.0)</f>
        <v>0</v>
      </c>
      <c r="O280" s="96">
        <f>IFERROR(__xludf.DUMMYFUNCTION("""COMPUTED_VALUE"""),0.0)</f>
        <v>0</v>
      </c>
      <c r="P280" s="96">
        <f>IFERROR(__xludf.DUMMYFUNCTION("""COMPUTED_VALUE"""),0.0)</f>
        <v>0</v>
      </c>
      <c r="Q280" s="129">
        <f>IFERROR(__xludf.DUMMYFUNCTION("""COMPUTED_VALUE"""),0.0)</f>
        <v>0</v>
      </c>
      <c r="R280" s="99"/>
      <c r="S280" s="99">
        <f>IFERROR(__xludf.DUMMYFUNCTION("""COMPUTED_VALUE"""),2.6084925E7)</f>
        <v>26084925</v>
      </c>
    </row>
    <row r="281">
      <c r="A281" s="96">
        <f>IFERROR(__xludf.DUMMYFUNCTION("""COMPUTED_VALUE"""),3.0)</f>
        <v>3</v>
      </c>
      <c r="B281" s="98">
        <f>IFERROR(__xludf.DUMMYFUNCTION("""COMPUTED_VALUE"""),44071.0)</f>
        <v>44071</v>
      </c>
      <c r="C281" s="96" t="str">
        <f>IFERROR(__xludf.DUMMYFUNCTION("""COMPUTED_VALUE"""),"NAOMI")</f>
        <v>NAOMI</v>
      </c>
      <c r="D281" s="96" t="str">
        <f>IFERROR(__xludf.DUMMYFUNCTION("""COMPUTED_VALUE"""),"NAOMI3")</f>
        <v>NAOMI3</v>
      </c>
      <c r="E281" s="96"/>
      <c r="F281" s="96"/>
      <c r="G281" s="96"/>
      <c r="H281" s="96"/>
      <c r="I281" s="96"/>
      <c r="J281" s="96"/>
      <c r="K281" s="96">
        <f>IFERROR(__xludf.DUMMYFUNCTION("""COMPUTED_VALUE"""),50000.0)</f>
        <v>50000</v>
      </c>
      <c r="L281" s="99">
        <f>IFERROR(__xludf.DUMMYFUNCTION("""COMPUTED_VALUE"""),50000.0)</f>
        <v>50000</v>
      </c>
      <c r="M281" s="96"/>
      <c r="N281" s="96">
        <f>IFERROR(__xludf.DUMMYFUNCTION("""COMPUTED_VALUE"""),0.0)</f>
        <v>0</v>
      </c>
      <c r="O281" s="96">
        <f>IFERROR(__xludf.DUMMYFUNCTION("""COMPUTED_VALUE"""),0.0)</f>
        <v>0</v>
      </c>
      <c r="P281" s="96">
        <f>IFERROR(__xludf.DUMMYFUNCTION("""COMPUTED_VALUE"""),0.0)</f>
        <v>0</v>
      </c>
      <c r="Q281" s="129">
        <f>IFERROR(__xludf.DUMMYFUNCTION("""COMPUTED_VALUE"""),0.0)</f>
        <v>0</v>
      </c>
      <c r="R281" s="99"/>
      <c r="S281" s="99">
        <f>IFERROR(__xludf.DUMMYFUNCTION("""COMPUTED_VALUE"""),1.3150265E7)</f>
        <v>13150265</v>
      </c>
    </row>
    <row r="282">
      <c r="A282" s="96">
        <f>IFERROR(__xludf.DUMMYFUNCTION("""COMPUTED_VALUE"""),19.0)</f>
        <v>19</v>
      </c>
      <c r="B282" s="98">
        <f>IFERROR(__xludf.DUMMYFUNCTION("""COMPUTED_VALUE"""),44071.0)</f>
        <v>44071</v>
      </c>
      <c r="C282" s="96" t="str">
        <f>IFERROR(__xludf.DUMMYFUNCTION("""COMPUTED_VALUE"""),"RECTOR W.")</f>
        <v>RECTOR W.</v>
      </c>
      <c r="D282" s="96" t="str">
        <f>IFERROR(__xludf.DUMMYFUNCTION("""COMPUTED_VALUE"""),"RECTOR W.19")</f>
        <v>RECTOR W.19</v>
      </c>
      <c r="E282" s="96"/>
      <c r="F282" s="96"/>
      <c r="G282" s="96"/>
      <c r="H282" s="96"/>
      <c r="I282" s="96"/>
      <c r="J282" s="96"/>
      <c r="K282" s="96">
        <f>IFERROR(__xludf.DUMMYFUNCTION("""COMPUTED_VALUE"""),100000.0)</f>
        <v>100000</v>
      </c>
      <c r="L282" s="99">
        <f>IFERROR(__xludf.DUMMYFUNCTION("""COMPUTED_VALUE"""),100000.0)</f>
        <v>100000</v>
      </c>
      <c r="M282" s="96"/>
      <c r="N282" s="96">
        <f>IFERROR(__xludf.DUMMYFUNCTION("""COMPUTED_VALUE"""),0.0)</f>
        <v>0</v>
      </c>
      <c r="O282" s="96">
        <f>IFERROR(__xludf.DUMMYFUNCTION("""COMPUTED_VALUE"""),0.0)</f>
        <v>0</v>
      </c>
      <c r="P282" s="96">
        <f>IFERROR(__xludf.DUMMYFUNCTION("""COMPUTED_VALUE"""),0.0)</f>
        <v>0</v>
      </c>
      <c r="Q282" s="129">
        <f>IFERROR(__xludf.DUMMYFUNCTION("""COMPUTED_VALUE"""),0.0)</f>
        <v>0</v>
      </c>
      <c r="R282" s="99"/>
      <c r="S282" s="99">
        <f>IFERROR(__xludf.DUMMYFUNCTION("""COMPUTED_VALUE"""),4767340.0)</f>
        <v>4767340</v>
      </c>
    </row>
    <row r="283">
      <c r="A283" s="96">
        <f>IFERROR(__xludf.DUMMYFUNCTION("""COMPUTED_VALUE"""),2.0)</f>
        <v>2</v>
      </c>
      <c r="B283" s="98">
        <f>IFERROR(__xludf.DUMMYFUNCTION("""COMPUTED_VALUE"""),44071.0)</f>
        <v>44071</v>
      </c>
      <c r="C283" s="96" t="str">
        <f>IFERROR(__xludf.DUMMYFUNCTION("""COMPUTED_VALUE"""),"NDOMA PRIN")</f>
        <v>NDOMA PRIN</v>
      </c>
      <c r="D283" s="96" t="str">
        <f>IFERROR(__xludf.DUMMYFUNCTION("""COMPUTED_VALUE"""),"NDOMA PRIN2")</f>
        <v>NDOMA PRIN2</v>
      </c>
      <c r="E283" s="96"/>
      <c r="F283" s="96"/>
      <c r="G283" s="96"/>
      <c r="H283" s="96"/>
      <c r="I283" s="96"/>
      <c r="J283" s="96"/>
      <c r="K283" s="96">
        <f>IFERROR(__xludf.DUMMYFUNCTION("""COMPUTED_VALUE"""),159000.0)</f>
        <v>159000</v>
      </c>
      <c r="L283" s="99">
        <f>IFERROR(__xludf.DUMMYFUNCTION("""COMPUTED_VALUE"""),159000.0)</f>
        <v>159000</v>
      </c>
      <c r="M283" s="96"/>
      <c r="N283" s="96">
        <f>IFERROR(__xludf.DUMMYFUNCTION("""COMPUTED_VALUE"""),0.0)</f>
        <v>0</v>
      </c>
      <c r="O283" s="96">
        <f>IFERROR(__xludf.DUMMYFUNCTION("""COMPUTED_VALUE"""),0.0)</f>
        <v>0</v>
      </c>
      <c r="P283" s="96">
        <f>IFERROR(__xludf.DUMMYFUNCTION("""COMPUTED_VALUE"""),0.0)</f>
        <v>0</v>
      </c>
      <c r="Q283" s="129">
        <f>IFERROR(__xludf.DUMMYFUNCTION("""COMPUTED_VALUE"""),0.0)</f>
        <v>0</v>
      </c>
      <c r="R283" s="99"/>
      <c r="S283" s="99">
        <f>IFERROR(__xludf.DUMMYFUNCTION("""COMPUTED_VALUE"""),58200.0)</f>
        <v>58200</v>
      </c>
    </row>
    <row r="284">
      <c r="A284" s="96">
        <f>IFERROR(__xludf.DUMMYFUNCTION("""COMPUTED_VALUE"""),6.0)</f>
        <v>6</v>
      </c>
      <c r="B284" s="98">
        <f>IFERROR(__xludf.DUMMYFUNCTION("""COMPUTED_VALUE"""),44072.0)</f>
        <v>44072</v>
      </c>
      <c r="C284" s="96" t="str">
        <f>IFERROR(__xludf.DUMMYFUNCTION("""COMPUTED_VALUE"""),"OTU KOKO KEIBO")</f>
        <v>OTU KOKO KEIBO</v>
      </c>
      <c r="D284" s="96" t="str">
        <f>IFERROR(__xludf.DUMMYFUNCTION("""COMPUTED_VALUE"""),"OTU KOKO KEIBO6")</f>
        <v>OTU KOKO KEIBO6</v>
      </c>
      <c r="E284" s="96"/>
      <c r="F284" s="96"/>
      <c r="G284" s="96"/>
      <c r="H284" s="96"/>
      <c r="I284" s="96"/>
      <c r="J284" s="96"/>
      <c r="K284" s="96">
        <f>IFERROR(__xludf.DUMMYFUNCTION("""COMPUTED_VALUE"""),5000.0)</f>
        <v>5000</v>
      </c>
      <c r="L284" s="99">
        <f>IFERROR(__xludf.DUMMYFUNCTION("""COMPUTED_VALUE"""),5000.0)</f>
        <v>5000</v>
      </c>
      <c r="M284" s="96"/>
      <c r="N284" s="96">
        <f>IFERROR(__xludf.DUMMYFUNCTION("""COMPUTED_VALUE"""),0.0)</f>
        <v>0</v>
      </c>
      <c r="O284" s="96">
        <f>IFERROR(__xludf.DUMMYFUNCTION("""COMPUTED_VALUE"""),0.0)</f>
        <v>0</v>
      </c>
      <c r="P284" s="96">
        <f>IFERROR(__xludf.DUMMYFUNCTION("""COMPUTED_VALUE"""),0.0)</f>
        <v>0</v>
      </c>
      <c r="Q284" s="129">
        <f>IFERROR(__xludf.DUMMYFUNCTION("""COMPUTED_VALUE"""),0.0)</f>
        <v>0</v>
      </c>
      <c r="R284" s="99"/>
      <c r="S284" s="99">
        <f>IFERROR(__xludf.DUMMYFUNCTION("""COMPUTED_VALUE"""),2.6089925E7)</f>
        <v>26089925</v>
      </c>
    </row>
    <row r="285">
      <c r="A285" s="96">
        <f>IFERROR(__xludf.DUMMYFUNCTION("""COMPUTED_VALUE"""),6.0)</f>
        <v>6</v>
      </c>
      <c r="B285" s="98">
        <f>IFERROR(__xludf.DUMMYFUNCTION("""COMPUTED_VALUE"""),44074.0)</f>
        <v>44074</v>
      </c>
      <c r="C285" s="96" t="str">
        <f>IFERROR(__xludf.DUMMYFUNCTION("""COMPUTED_VALUE"""),"REMMY BODES")</f>
        <v>REMMY BODES</v>
      </c>
      <c r="D285" s="96" t="str">
        <f>IFERROR(__xludf.DUMMYFUNCTION("""COMPUTED_VALUE"""),"REMMY BODES6")</f>
        <v>REMMY BODES6</v>
      </c>
      <c r="E285" s="96"/>
      <c r="F285" s="96"/>
      <c r="G285" s="96"/>
      <c r="H285" s="96"/>
      <c r="I285" s="96"/>
      <c r="J285" s="96"/>
      <c r="K285" s="96">
        <f>IFERROR(__xludf.DUMMYFUNCTION("""COMPUTED_VALUE"""),220000.0)</f>
        <v>220000</v>
      </c>
      <c r="L285" s="99">
        <f>IFERROR(__xludf.DUMMYFUNCTION("""COMPUTED_VALUE"""),220000.0)</f>
        <v>220000</v>
      </c>
      <c r="M285" s="96"/>
      <c r="N285" s="96">
        <f>IFERROR(__xludf.DUMMYFUNCTION("""COMPUTED_VALUE"""),0.0)</f>
        <v>0</v>
      </c>
      <c r="O285" s="96">
        <f>IFERROR(__xludf.DUMMYFUNCTION("""COMPUTED_VALUE"""),0.0)</f>
        <v>0</v>
      </c>
      <c r="P285" s="96">
        <f>IFERROR(__xludf.DUMMYFUNCTION("""COMPUTED_VALUE"""),0.0)</f>
        <v>0</v>
      </c>
      <c r="Q285" s="129">
        <f>IFERROR(__xludf.DUMMYFUNCTION("""COMPUTED_VALUE"""),0.0)</f>
        <v>0</v>
      </c>
      <c r="R285" s="99"/>
      <c r="S285" s="99">
        <f>IFERROR(__xludf.DUMMYFUNCTION("""COMPUTED_VALUE"""),1644060.0)</f>
        <v>1644060</v>
      </c>
    </row>
    <row r="286">
      <c r="A286" s="96">
        <f>IFERROR(__xludf.DUMMYFUNCTION("""COMPUTED_VALUE"""),19.0)</f>
        <v>19</v>
      </c>
      <c r="B286" s="98">
        <f>IFERROR(__xludf.DUMMYFUNCTION("""COMPUTED_VALUE"""),44074.0)</f>
        <v>44074</v>
      </c>
      <c r="C286" s="96" t="str">
        <f>IFERROR(__xludf.DUMMYFUNCTION("""COMPUTED_VALUE"""),"LYDIA HNSON ")</f>
        <v>LYDIA HNSON </v>
      </c>
      <c r="D286" s="96" t="str">
        <f>IFERROR(__xludf.DUMMYFUNCTION("""COMPUTED_VALUE"""),"LYDIA HNSON 19")</f>
        <v>LYDIA HNSON 19</v>
      </c>
      <c r="E286" s="96"/>
      <c r="F286" s="96"/>
      <c r="G286" s="96"/>
      <c r="H286" s="96"/>
      <c r="I286" s="96"/>
      <c r="J286" s="96"/>
      <c r="K286" s="96">
        <f>IFERROR(__xludf.DUMMYFUNCTION("""COMPUTED_VALUE"""),35000.0)</f>
        <v>35000</v>
      </c>
      <c r="L286" s="99">
        <f>IFERROR(__xludf.DUMMYFUNCTION("""COMPUTED_VALUE"""),35000.0)</f>
        <v>35000</v>
      </c>
      <c r="M286" s="96"/>
      <c r="N286" s="96">
        <f>IFERROR(__xludf.DUMMYFUNCTION("""COMPUTED_VALUE"""),0.0)</f>
        <v>0</v>
      </c>
      <c r="O286" s="96">
        <f>IFERROR(__xludf.DUMMYFUNCTION("""COMPUTED_VALUE"""),0.0)</f>
        <v>0</v>
      </c>
      <c r="P286" s="96">
        <f>IFERROR(__xludf.DUMMYFUNCTION("""COMPUTED_VALUE"""),0.0)</f>
        <v>0</v>
      </c>
      <c r="Q286" s="129">
        <f>IFERROR(__xludf.DUMMYFUNCTION("""COMPUTED_VALUE"""),0.0)</f>
        <v>0</v>
      </c>
      <c r="R286" s="99"/>
      <c r="S286" s="99">
        <f>IFERROR(__xludf.DUMMYFUNCTION("""COMPUTED_VALUE"""),3525080.0)</f>
        <v>3525080</v>
      </c>
    </row>
    <row r="287">
      <c r="A287" s="96">
        <f>IFERROR(__xludf.DUMMYFUNCTION("""COMPUTED_VALUE"""),1.0)</f>
        <v>1</v>
      </c>
      <c r="B287" s="98">
        <f>IFERROR(__xludf.DUMMYFUNCTION("""COMPUTED_VALUE"""),44074.0)</f>
        <v>44074</v>
      </c>
      <c r="C287" s="96" t="str">
        <f>IFERROR(__xludf.DUMMYFUNCTION("""COMPUTED_VALUE"""),"SEPH LOVE")</f>
        <v>SEPH LOVE</v>
      </c>
      <c r="D287" s="96" t="str">
        <f>IFERROR(__xludf.DUMMYFUNCTION("""COMPUTED_VALUE"""),"SEPH LOVE1")</f>
        <v>SEPH LOVE1</v>
      </c>
      <c r="E287" s="96"/>
      <c r="F287" s="96"/>
      <c r="G287" s="96"/>
      <c r="H287" s="96"/>
      <c r="I287" s="96"/>
      <c r="J287" s="96"/>
      <c r="K287" s="96">
        <f>IFERROR(__xludf.DUMMYFUNCTION("""COMPUTED_VALUE"""),2500000.0)</f>
        <v>2500000</v>
      </c>
      <c r="L287" s="99">
        <f>IFERROR(__xludf.DUMMYFUNCTION("""COMPUTED_VALUE"""),2500000.0)</f>
        <v>2500000</v>
      </c>
      <c r="M287" s="96"/>
      <c r="N287" s="96">
        <f>IFERROR(__xludf.DUMMYFUNCTION("""COMPUTED_VALUE"""),0.0)</f>
        <v>0</v>
      </c>
      <c r="O287" s="96">
        <f>IFERROR(__xludf.DUMMYFUNCTION("""COMPUTED_VALUE"""),0.0)</f>
        <v>0</v>
      </c>
      <c r="P287" s="96">
        <f>IFERROR(__xludf.DUMMYFUNCTION("""COMPUTED_VALUE"""),0.0)</f>
        <v>0</v>
      </c>
      <c r="Q287" s="129">
        <f>IFERROR(__xludf.DUMMYFUNCTION("""COMPUTED_VALUE"""),0.0)</f>
        <v>0</v>
      </c>
      <c r="R287" s="99"/>
      <c r="S287" s="99">
        <f>IFERROR(__xludf.DUMMYFUNCTION("""COMPUTED_VALUE"""),2500000.0)</f>
        <v>2500000</v>
      </c>
    </row>
    <row r="288">
      <c r="A288" s="96">
        <f>IFERROR(__xludf.DUMMYFUNCTION("""COMPUTED_VALUE"""),7.0)</f>
        <v>7</v>
      </c>
      <c r="B288" s="98">
        <f>IFERROR(__xludf.DUMMYFUNCTION("""COMPUTED_VALUE"""),44075.0)</f>
        <v>44075</v>
      </c>
      <c r="C288" s="96" t="str">
        <f>IFERROR(__xludf.DUMMYFUNCTION("""COMPUTED_VALUE"""),"A. D. FREDERICK")</f>
        <v>A. D. FREDERICK</v>
      </c>
      <c r="D288" s="96" t="str">
        <f>IFERROR(__xludf.DUMMYFUNCTION("""COMPUTED_VALUE"""),"A. D. FREDERICK7")</f>
        <v>A. D. FREDERICK7</v>
      </c>
      <c r="E288" s="96"/>
      <c r="F288" s="96"/>
      <c r="G288" s="96"/>
      <c r="H288" s="96"/>
      <c r="I288" s="96"/>
      <c r="J288" s="96"/>
      <c r="K288" s="96">
        <f>IFERROR(__xludf.DUMMYFUNCTION("""COMPUTED_VALUE"""),1105000.0)</f>
        <v>1105000</v>
      </c>
      <c r="L288" s="99">
        <f>IFERROR(__xludf.DUMMYFUNCTION("""COMPUTED_VALUE"""),1105000.0)</f>
        <v>1105000</v>
      </c>
      <c r="M288" s="96"/>
      <c r="N288" s="96">
        <f>IFERROR(__xludf.DUMMYFUNCTION("""COMPUTED_VALUE"""),0.0)</f>
        <v>0</v>
      </c>
      <c r="O288" s="96">
        <f>IFERROR(__xludf.DUMMYFUNCTION("""COMPUTED_VALUE"""),0.0)</f>
        <v>0</v>
      </c>
      <c r="P288" s="96">
        <f>IFERROR(__xludf.DUMMYFUNCTION("""COMPUTED_VALUE"""),0.0)</f>
        <v>0</v>
      </c>
      <c r="Q288" s="129">
        <f>IFERROR(__xludf.DUMMYFUNCTION("""COMPUTED_VALUE"""),0.0)</f>
        <v>0</v>
      </c>
      <c r="R288" s="99"/>
      <c r="S288" s="99">
        <f>IFERROR(__xludf.DUMMYFUNCTION("""COMPUTED_VALUE"""),1243410.0)</f>
        <v>1243410</v>
      </c>
    </row>
    <row r="289">
      <c r="A289" s="96">
        <f>IFERROR(__xludf.DUMMYFUNCTION("""COMPUTED_VALUE"""),7.0)</f>
        <v>7</v>
      </c>
      <c r="B289" s="98">
        <f>IFERROR(__xludf.DUMMYFUNCTION("""COMPUTED_VALUE"""),44075.0)</f>
        <v>44075</v>
      </c>
      <c r="C289" s="96" t="str">
        <f>IFERROR(__xludf.DUMMYFUNCTION("""COMPUTED_VALUE"""),"OTU KOKO KEIBO")</f>
        <v>OTU KOKO KEIBO</v>
      </c>
      <c r="D289" s="96" t="str">
        <f>IFERROR(__xludf.DUMMYFUNCTION("""COMPUTED_VALUE"""),"OTU KOKO KEIBO7")</f>
        <v>OTU KOKO KEIBO7</v>
      </c>
      <c r="E289" s="96"/>
      <c r="F289" s="96"/>
      <c r="G289" s="96"/>
      <c r="H289" s="96"/>
      <c r="I289" s="96"/>
      <c r="J289" s="96"/>
      <c r="K289" s="96">
        <f>IFERROR(__xludf.DUMMYFUNCTION("""COMPUTED_VALUE"""),20000.0)</f>
        <v>20000</v>
      </c>
      <c r="L289" s="99">
        <f>IFERROR(__xludf.DUMMYFUNCTION("""COMPUTED_VALUE"""),20000.0)</f>
        <v>20000</v>
      </c>
      <c r="M289" s="96"/>
      <c r="N289" s="96">
        <f>IFERROR(__xludf.DUMMYFUNCTION("""COMPUTED_VALUE"""),0.0)</f>
        <v>0</v>
      </c>
      <c r="O289" s="96">
        <f>IFERROR(__xludf.DUMMYFUNCTION("""COMPUTED_VALUE"""),0.0)</f>
        <v>0</v>
      </c>
      <c r="P289" s="96">
        <f>IFERROR(__xludf.DUMMYFUNCTION("""COMPUTED_VALUE"""),0.0)</f>
        <v>0</v>
      </c>
      <c r="Q289" s="129">
        <f>IFERROR(__xludf.DUMMYFUNCTION("""COMPUTED_VALUE"""),0.0)</f>
        <v>0</v>
      </c>
      <c r="R289" s="99"/>
      <c r="S289" s="99">
        <f>IFERROR(__xludf.DUMMYFUNCTION("""COMPUTED_VALUE"""),2.6109925E7)</f>
        <v>26109925</v>
      </c>
    </row>
    <row r="290">
      <c r="A290" s="96">
        <f>IFERROR(__xludf.DUMMYFUNCTION("""COMPUTED_VALUE"""),6.0)</f>
        <v>6</v>
      </c>
      <c r="B290" s="98">
        <f>IFERROR(__xludf.DUMMYFUNCTION("""COMPUTED_VALUE"""),44075.0)</f>
        <v>44075</v>
      </c>
      <c r="C290" s="96" t="str">
        <f>IFERROR(__xludf.DUMMYFUNCTION("""COMPUTED_VALUE"""),"EMMANUEL OKO ")</f>
        <v>EMMANUEL OKO </v>
      </c>
      <c r="D290" s="96" t="str">
        <f>IFERROR(__xludf.DUMMYFUNCTION("""COMPUTED_VALUE"""),"EMMANUEL OKO 6")</f>
        <v>EMMANUEL OKO 6</v>
      </c>
      <c r="E290" s="96"/>
      <c r="F290" s="96"/>
      <c r="G290" s="96"/>
      <c r="H290" s="96"/>
      <c r="I290" s="96"/>
      <c r="J290" s="96"/>
      <c r="K290" s="96">
        <f>IFERROR(__xludf.DUMMYFUNCTION("""COMPUTED_VALUE"""),936000.0)</f>
        <v>936000</v>
      </c>
      <c r="L290" s="99">
        <f>IFERROR(__xludf.DUMMYFUNCTION("""COMPUTED_VALUE"""),936000.0)</f>
        <v>936000</v>
      </c>
      <c r="M290" s="96"/>
      <c r="N290" s="96">
        <f>IFERROR(__xludf.DUMMYFUNCTION("""COMPUTED_VALUE"""),0.0)</f>
        <v>0</v>
      </c>
      <c r="O290" s="96">
        <f>IFERROR(__xludf.DUMMYFUNCTION("""COMPUTED_VALUE"""),0.0)</f>
        <v>0</v>
      </c>
      <c r="P290" s="96">
        <f>IFERROR(__xludf.DUMMYFUNCTION("""COMPUTED_VALUE"""),0.0)</f>
        <v>0</v>
      </c>
      <c r="Q290" s="129">
        <f>IFERROR(__xludf.DUMMYFUNCTION("""COMPUTED_VALUE"""),0.0)</f>
        <v>0</v>
      </c>
      <c r="R290" s="99"/>
      <c r="S290" s="99">
        <f>IFERROR(__xludf.DUMMYFUNCTION("""COMPUTED_VALUE"""),1676750.0)</f>
        <v>1676750</v>
      </c>
    </row>
    <row r="291">
      <c r="A291" s="96">
        <f>IFERROR(__xludf.DUMMYFUNCTION("""COMPUTED_VALUE"""),8.0)</f>
        <v>8</v>
      </c>
      <c r="B291" s="98">
        <f>IFERROR(__xludf.DUMMYFUNCTION("""COMPUTED_VALUE"""),44077.0)</f>
        <v>44077</v>
      </c>
      <c r="C291" s="96" t="str">
        <f>IFERROR(__xludf.DUMMYFUNCTION("""COMPUTED_VALUE"""),"BOSURU  BOSURU")</f>
        <v>BOSURU  BOSURU</v>
      </c>
      <c r="D291" s="96" t="str">
        <f>IFERROR(__xludf.DUMMYFUNCTION("""COMPUTED_VALUE"""),"BOSURU  BOSURU8")</f>
        <v>BOSURU  BOSURU8</v>
      </c>
      <c r="E291" s="96"/>
      <c r="F291" s="96"/>
      <c r="G291" s="96"/>
      <c r="H291" s="96"/>
      <c r="I291" s="96"/>
      <c r="J291" s="96"/>
      <c r="K291" s="96">
        <f>IFERROR(__xludf.DUMMYFUNCTION("""COMPUTED_VALUE"""),500000.0)</f>
        <v>500000</v>
      </c>
      <c r="L291" s="99">
        <f>IFERROR(__xludf.DUMMYFUNCTION("""COMPUTED_VALUE"""),500000.0)</f>
        <v>500000</v>
      </c>
      <c r="M291" s="96"/>
      <c r="N291" s="96">
        <f>IFERROR(__xludf.DUMMYFUNCTION("""COMPUTED_VALUE"""),0.0)</f>
        <v>0</v>
      </c>
      <c r="O291" s="96">
        <f>IFERROR(__xludf.DUMMYFUNCTION("""COMPUTED_VALUE"""),0.0)</f>
        <v>0</v>
      </c>
      <c r="P291" s="96">
        <f>IFERROR(__xludf.DUMMYFUNCTION("""COMPUTED_VALUE"""),0.0)</f>
        <v>0</v>
      </c>
      <c r="Q291" s="129">
        <f>IFERROR(__xludf.DUMMYFUNCTION("""COMPUTED_VALUE"""),0.0)</f>
        <v>0</v>
      </c>
      <c r="R291" s="99"/>
      <c r="S291" s="99">
        <f>IFERROR(__xludf.DUMMYFUNCTION("""COMPUTED_VALUE"""),1852380.0)</f>
        <v>1852380</v>
      </c>
    </row>
    <row r="292">
      <c r="A292" s="96">
        <f>IFERROR(__xludf.DUMMYFUNCTION("""COMPUTED_VALUE"""),6.0)</f>
        <v>6</v>
      </c>
      <c r="B292" s="98">
        <f>IFERROR(__xludf.DUMMYFUNCTION("""COMPUTED_VALUE"""),44077.0)</f>
        <v>44077</v>
      </c>
      <c r="C292" s="96" t="str">
        <f>IFERROR(__xludf.DUMMYFUNCTION("""COMPUTED_VALUE"""),"NDOMA PETER")</f>
        <v>NDOMA PETER</v>
      </c>
      <c r="D292" s="96" t="str">
        <f>IFERROR(__xludf.DUMMYFUNCTION("""COMPUTED_VALUE"""),"NDOMA PETER6")</f>
        <v>NDOMA PETER6</v>
      </c>
      <c r="E292" s="96">
        <f>IFERROR(__xludf.DUMMYFUNCTION("""COMPUTED_VALUE"""),768.0)</f>
        <v>768</v>
      </c>
      <c r="F292" s="96">
        <f>IFERROR(__xludf.DUMMYFUNCTION("""COMPUTED_VALUE"""),96.0)</f>
        <v>96</v>
      </c>
      <c r="G292" s="96"/>
      <c r="H292" s="96">
        <f>IFERROR(__xludf.DUMMYFUNCTION("""COMPUTED_VALUE"""),12.0)</f>
        <v>12</v>
      </c>
      <c r="I292" s="96"/>
      <c r="J292" s="96">
        <f>IFERROR(__xludf.DUMMYFUNCTION("""COMPUTED_VALUE"""),839.95)</f>
        <v>839.95</v>
      </c>
      <c r="K292" s="96"/>
      <c r="L292" s="99">
        <f>IFERROR(__xludf.DUMMYFUNCTION("""COMPUTED_VALUE"""),-635000.0)</f>
        <v>-635000</v>
      </c>
      <c r="M292" s="96">
        <f>IFERROR(__xludf.DUMMYFUNCTION("""COMPUTED_VALUE"""),8.0)</f>
        <v>8</v>
      </c>
      <c r="N292" s="96">
        <f>IFERROR(__xludf.DUMMYFUNCTION("""COMPUTED_VALUE"""),0.0)</f>
        <v>0</v>
      </c>
      <c r="O292" s="96">
        <f>IFERROR(__xludf.DUMMYFUNCTION("""COMPUTED_VALUE"""),12.0)</f>
        <v>12</v>
      </c>
      <c r="P292" s="96">
        <f>IFERROR(__xludf.DUMMYFUNCTION("""COMPUTED_VALUE"""),0.0)</f>
        <v>0</v>
      </c>
      <c r="Q292" s="129">
        <f>IFERROR(__xludf.DUMMYFUNCTION("""COMPUTED_VALUE"""),756.0)</f>
        <v>756</v>
      </c>
      <c r="R292" s="99">
        <f>IFERROR(__xludf.DUMMYFUNCTION("""COMPUTED_VALUE"""),635000.0)</f>
        <v>635000</v>
      </c>
      <c r="S292" s="99">
        <f>IFERROR(__xludf.DUMMYFUNCTION("""COMPUTED_VALUE"""),-35000.0)</f>
        <v>-35000</v>
      </c>
    </row>
    <row r="293">
      <c r="A293" s="96">
        <f>IFERROR(__xludf.DUMMYFUNCTION("""COMPUTED_VALUE"""),7.0)</f>
        <v>7</v>
      </c>
      <c r="B293" s="98">
        <f>IFERROR(__xludf.DUMMYFUNCTION("""COMPUTED_VALUE"""),44077.0)</f>
        <v>44077</v>
      </c>
      <c r="C293" s="96" t="str">
        <f>IFERROR(__xludf.DUMMYFUNCTION("""COMPUTED_VALUE"""),"NDOMA PETER")</f>
        <v>NDOMA PETER</v>
      </c>
      <c r="D293" s="96" t="str">
        <f>IFERROR(__xludf.DUMMYFUNCTION("""COMPUTED_VALUE"""),"NDOMA PETER7")</f>
        <v>NDOMA PETER7</v>
      </c>
      <c r="E293" s="96"/>
      <c r="F293" s="96"/>
      <c r="G293" s="96"/>
      <c r="H293" s="96"/>
      <c r="I293" s="96"/>
      <c r="J293" s="96"/>
      <c r="K293" s="96">
        <f>IFERROR(__xludf.DUMMYFUNCTION("""COMPUTED_VALUE"""),635000.0)</f>
        <v>635000</v>
      </c>
      <c r="L293" s="99">
        <f>IFERROR(__xludf.DUMMYFUNCTION("""COMPUTED_VALUE"""),635000.0)</f>
        <v>635000</v>
      </c>
      <c r="M293" s="96"/>
      <c r="N293" s="96">
        <f>IFERROR(__xludf.DUMMYFUNCTION("""COMPUTED_VALUE"""),0.0)</f>
        <v>0</v>
      </c>
      <c r="O293" s="96">
        <f>IFERROR(__xludf.DUMMYFUNCTION("""COMPUTED_VALUE"""),0.0)</f>
        <v>0</v>
      </c>
      <c r="P293" s="96">
        <f>IFERROR(__xludf.DUMMYFUNCTION("""COMPUTED_VALUE"""),0.0)</f>
        <v>0</v>
      </c>
      <c r="Q293" s="129">
        <f>IFERROR(__xludf.DUMMYFUNCTION("""COMPUTED_VALUE"""),0.0)</f>
        <v>0</v>
      </c>
      <c r="R293" s="99"/>
      <c r="S293" s="99">
        <f>IFERROR(__xludf.DUMMYFUNCTION("""COMPUTED_VALUE"""),600000.0)</f>
        <v>600000</v>
      </c>
    </row>
    <row r="294">
      <c r="A294" s="96">
        <f>IFERROR(__xludf.DUMMYFUNCTION("""COMPUTED_VALUE"""),16.0)</f>
        <v>16</v>
      </c>
      <c r="B294" s="98">
        <f>IFERROR(__xludf.DUMMYFUNCTION("""COMPUTED_VALUE"""),44078.0)</f>
        <v>44078</v>
      </c>
      <c r="C294" s="96" t="str">
        <f>IFERROR(__xludf.DUMMYFUNCTION("""COMPUTED_VALUE"""),"LIVINUS")</f>
        <v>LIVINUS</v>
      </c>
      <c r="D294" s="96" t="str">
        <f>IFERROR(__xludf.DUMMYFUNCTION("""COMPUTED_VALUE"""),"LIVINUS16")</f>
        <v>LIVINUS16</v>
      </c>
      <c r="E294" s="96"/>
      <c r="F294" s="96"/>
      <c r="G294" s="96"/>
      <c r="H294" s="96"/>
      <c r="I294" s="96"/>
      <c r="J294" s="96"/>
      <c r="K294" s="96">
        <f>IFERROR(__xludf.DUMMYFUNCTION("""COMPUTED_VALUE"""),1000000.0)</f>
        <v>1000000</v>
      </c>
      <c r="L294" s="99">
        <f>IFERROR(__xludf.DUMMYFUNCTION("""COMPUTED_VALUE"""),1000000.0)</f>
        <v>1000000</v>
      </c>
      <c r="M294" s="96"/>
      <c r="N294" s="96">
        <f>IFERROR(__xludf.DUMMYFUNCTION("""COMPUTED_VALUE"""),0.0)</f>
        <v>0</v>
      </c>
      <c r="O294" s="96">
        <f>IFERROR(__xludf.DUMMYFUNCTION("""COMPUTED_VALUE"""),0.0)</f>
        <v>0</v>
      </c>
      <c r="P294" s="96">
        <f>IFERROR(__xludf.DUMMYFUNCTION("""COMPUTED_VALUE"""),0.0)</f>
        <v>0</v>
      </c>
      <c r="Q294" s="129">
        <f>IFERROR(__xludf.DUMMYFUNCTION("""COMPUTED_VALUE"""),0.0)</f>
        <v>0</v>
      </c>
      <c r="R294" s="99"/>
      <c r="S294" s="99">
        <f>IFERROR(__xludf.DUMMYFUNCTION("""COMPUTED_VALUE"""),9354500.0)</f>
        <v>9354500</v>
      </c>
    </row>
    <row r="295">
      <c r="A295" s="96">
        <f>IFERROR(__xludf.DUMMYFUNCTION("""COMPUTED_VALUE"""),9.0)</f>
        <v>9</v>
      </c>
      <c r="B295" s="98">
        <f>IFERROR(__xludf.DUMMYFUNCTION("""COMPUTED_VALUE"""),44081.0)</f>
        <v>44081</v>
      </c>
      <c r="C295" s="96" t="str">
        <f>IFERROR(__xludf.DUMMYFUNCTION("""COMPUTED_VALUE"""),"BOSURU  BOSURU")</f>
        <v>BOSURU  BOSURU</v>
      </c>
      <c r="D295" s="96" t="str">
        <f>IFERROR(__xludf.DUMMYFUNCTION("""COMPUTED_VALUE"""),"BOSURU  BOSURU9")</f>
        <v>BOSURU  BOSURU9</v>
      </c>
      <c r="E295" s="96"/>
      <c r="F295" s="96"/>
      <c r="G295" s="96"/>
      <c r="H295" s="96"/>
      <c r="I295" s="96"/>
      <c r="J295" s="96"/>
      <c r="K295" s="96">
        <f>IFERROR(__xludf.DUMMYFUNCTION("""COMPUTED_VALUE"""),20000.0)</f>
        <v>20000</v>
      </c>
      <c r="L295" s="99">
        <f>IFERROR(__xludf.DUMMYFUNCTION("""COMPUTED_VALUE"""),20000.0)</f>
        <v>20000</v>
      </c>
      <c r="M295" s="96"/>
      <c r="N295" s="96">
        <f>IFERROR(__xludf.DUMMYFUNCTION("""COMPUTED_VALUE"""),0.0)</f>
        <v>0</v>
      </c>
      <c r="O295" s="96">
        <f>IFERROR(__xludf.DUMMYFUNCTION("""COMPUTED_VALUE"""),0.0)</f>
        <v>0</v>
      </c>
      <c r="P295" s="96">
        <f>IFERROR(__xludf.DUMMYFUNCTION("""COMPUTED_VALUE"""),0.0)</f>
        <v>0</v>
      </c>
      <c r="Q295" s="129">
        <f>IFERROR(__xludf.DUMMYFUNCTION("""COMPUTED_VALUE"""),0.0)</f>
        <v>0</v>
      </c>
      <c r="R295" s="99"/>
      <c r="S295" s="99">
        <f>IFERROR(__xludf.DUMMYFUNCTION("""COMPUTED_VALUE"""),1872380.0)</f>
        <v>1872380</v>
      </c>
    </row>
    <row r="296">
      <c r="A296" s="96">
        <f>IFERROR(__xludf.DUMMYFUNCTION("""COMPUTED_VALUE"""),2.0)</f>
        <v>2</v>
      </c>
      <c r="B296" s="98">
        <f>IFERROR(__xludf.DUMMYFUNCTION("""COMPUTED_VALUE"""),44081.0)</f>
        <v>44081</v>
      </c>
      <c r="C296" s="96" t="str">
        <f>IFERROR(__xludf.DUMMYFUNCTION("""COMPUTED_VALUE"""),"FRANCIS KEIBO")</f>
        <v>FRANCIS KEIBO</v>
      </c>
      <c r="D296" s="96" t="str">
        <f>IFERROR(__xludf.DUMMYFUNCTION("""COMPUTED_VALUE"""),"FRANCIS KEIBO2")</f>
        <v>FRANCIS KEIBO2</v>
      </c>
      <c r="E296" s="96"/>
      <c r="F296" s="96"/>
      <c r="G296" s="96"/>
      <c r="H296" s="96"/>
      <c r="I296" s="96"/>
      <c r="J296" s="96"/>
      <c r="K296" s="96">
        <f>IFERROR(__xludf.DUMMYFUNCTION("""COMPUTED_VALUE"""),250000.0)</f>
        <v>250000</v>
      </c>
      <c r="L296" s="99">
        <f>IFERROR(__xludf.DUMMYFUNCTION("""COMPUTED_VALUE"""),250000.0)</f>
        <v>250000</v>
      </c>
      <c r="M296" s="96"/>
      <c r="N296" s="96">
        <f>IFERROR(__xludf.DUMMYFUNCTION("""COMPUTED_VALUE"""),0.0)</f>
        <v>0</v>
      </c>
      <c r="O296" s="96">
        <f>IFERROR(__xludf.DUMMYFUNCTION("""COMPUTED_VALUE"""),0.0)</f>
        <v>0</v>
      </c>
      <c r="P296" s="96">
        <f>IFERROR(__xludf.DUMMYFUNCTION("""COMPUTED_VALUE"""),0.0)</f>
        <v>0</v>
      </c>
      <c r="Q296" s="129">
        <f>IFERROR(__xludf.DUMMYFUNCTION("""COMPUTED_VALUE"""),0.0)</f>
        <v>0</v>
      </c>
      <c r="R296" s="99"/>
      <c r="S296" s="99">
        <f>IFERROR(__xludf.DUMMYFUNCTION("""COMPUTED_VALUE"""),487000.0)</f>
        <v>487000</v>
      </c>
    </row>
    <row r="297">
      <c r="A297" s="96">
        <f>IFERROR(__xludf.DUMMYFUNCTION("""COMPUTED_VALUE"""),10.0)</f>
        <v>10</v>
      </c>
      <c r="B297" s="98">
        <f>IFERROR(__xludf.DUMMYFUNCTION("""COMPUTED_VALUE"""),44021.0)</f>
        <v>44021</v>
      </c>
      <c r="C297" s="96" t="str">
        <f>IFERROR(__xludf.DUMMYFUNCTION("""COMPUTED_VALUE"""),"BOSURU  BOSURU")</f>
        <v>BOSURU  BOSURU</v>
      </c>
      <c r="D297" s="96" t="str">
        <f>IFERROR(__xludf.DUMMYFUNCTION("""COMPUTED_VALUE"""),"BOSURU  BOSURU10")</f>
        <v>BOSURU  BOSURU10</v>
      </c>
      <c r="E297" s="96">
        <f>IFERROR(__xludf.DUMMYFUNCTION("""COMPUTED_VALUE"""),96.0)</f>
        <v>96</v>
      </c>
      <c r="F297" s="96">
        <f>IFERROR(__xludf.DUMMYFUNCTION("""COMPUTED_VALUE"""),16.0)</f>
        <v>16</v>
      </c>
      <c r="G297" s="96"/>
      <c r="H297" s="96">
        <f>IFERROR(__xludf.DUMMYFUNCTION("""COMPUTED_VALUE"""),2.0)</f>
        <v>2</v>
      </c>
      <c r="I297" s="96"/>
      <c r="J297" s="96">
        <f>IFERROR(__xludf.DUMMYFUNCTION("""COMPUTED_VALUE"""),836.6)</f>
        <v>836.6</v>
      </c>
      <c r="K297" s="96"/>
      <c r="L297" s="99">
        <f>IFERROR(__xludf.DUMMYFUNCTION("""COMPUTED_VALUE"""),-78640.0)</f>
        <v>-78640</v>
      </c>
      <c r="M297" s="96">
        <f>IFERROR(__xludf.DUMMYFUNCTION("""COMPUTED_VALUE"""),8.0)</f>
        <v>8</v>
      </c>
      <c r="N297" s="96">
        <f>IFERROR(__xludf.DUMMYFUNCTION("""COMPUTED_VALUE"""),0.0)</f>
        <v>0</v>
      </c>
      <c r="O297" s="96">
        <f>IFERROR(__xludf.DUMMYFUNCTION("""COMPUTED_VALUE"""),1.0)</f>
        <v>1</v>
      </c>
      <c r="P297" s="96">
        <f>IFERROR(__xludf.DUMMYFUNCTION("""COMPUTED_VALUE"""),31.0)</f>
        <v>31</v>
      </c>
      <c r="Q297" s="129">
        <f>IFERROR(__xludf.DUMMYFUNCTION("""COMPUTED_VALUE"""),94.0)</f>
        <v>94</v>
      </c>
      <c r="R297" s="99">
        <f>IFERROR(__xludf.DUMMYFUNCTION("""COMPUTED_VALUE"""),78640.0)</f>
        <v>78640</v>
      </c>
      <c r="S297" s="99">
        <f>IFERROR(__xludf.DUMMYFUNCTION("""COMPUTED_VALUE"""),1793740.0)</f>
        <v>1793740</v>
      </c>
    </row>
    <row r="298">
      <c r="A298" s="96">
        <f>IFERROR(__xludf.DUMMYFUNCTION("""COMPUTED_VALUE"""),11.0)</f>
        <v>11</v>
      </c>
      <c r="B298" s="98">
        <f>IFERROR(__xludf.DUMMYFUNCTION("""COMPUTED_VALUE"""),44032.0)</f>
        <v>44032</v>
      </c>
      <c r="C298" s="96" t="str">
        <f>IFERROR(__xludf.DUMMYFUNCTION("""COMPUTED_VALUE"""),"BOSURU  BOSURU")</f>
        <v>BOSURU  BOSURU</v>
      </c>
      <c r="D298" s="96" t="str">
        <f>IFERROR(__xludf.DUMMYFUNCTION("""COMPUTED_VALUE"""),"BOSURU  BOSURU11")</f>
        <v>BOSURU  BOSURU11</v>
      </c>
      <c r="E298" s="96">
        <f>IFERROR(__xludf.DUMMYFUNCTION("""COMPUTED_VALUE"""),137.0)</f>
        <v>137</v>
      </c>
      <c r="F298" s="96">
        <f>IFERROR(__xludf.DUMMYFUNCTION("""COMPUTED_VALUE"""),24.0)</f>
        <v>24</v>
      </c>
      <c r="G298" s="96"/>
      <c r="H298" s="96">
        <f>IFERROR(__xludf.DUMMYFUNCTION("""COMPUTED_VALUE"""),3.0)</f>
        <v>3</v>
      </c>
      <c r="I298" s="96"/>
      <c r="J298" s="96">
        <f>IFERROR(__xludf.DUMMYFUNCTION("""COMPUTED_VALUE"""),790.0)</f>
        <v>790</v>
      </c>
      <c r="K298" s="96"/>
      <c r="L298" s="99">
        <f>IFERROR(__xludf.DUMMYFUNCTION("""COMPUTED_VALUE"""),-105860.0)</f>
        <v>-105860</v>
      </c>
      <c r="M298" s="96">
        <f>IFERROR(__xludf.DUMMYFUNCTION("""COMPUTED_VALUE"""),8.0)</f>
        <v>8</v>
      </c>
      <c r="N298" s="96">
        <f>IFERROR(__xludf.DUMMYFUNCTION("""COMPUTED_VALUE"""),0.0)</f>
        <v>0</v>
      </c>
      <c r="O298" s="96">
        <f>IFERROR(__xludf.DUMMYFUNCTION("""COMPUTED_VALUE"""),2.0)</f>
        <v>2</v>
      </c>
      <c r="P298" s="96">
        <f>IFERROR(__xludf.DUMMYFUNCTION("""COMPUTED_VALUE"""),8.0)</f>
        <v>8</v>
      </c>
      <c r="Q298" s="129">
        <f>IFERROR(__xludf.DUMMYFUNCTION("""COMPUTED_VALUE"""),134.0)</f>
        <v>134</v>
      </c>
      <c r="R298" s="99">
        <f>IFERROR(__xludf.DUMMYFUNCTION("""COMPUTED_VALUE"""),105860.0)</f>
        <v>105860</v>
      </c>
      <c r="S298" s="99">
        <f>IFERROR(__xludf.DUMMYFUNCTION("""COMPUTED_VALUE"""),1687880.0)</f>
        <v>1687880</v>
      </c>
    </row>
    <row r="299">
      <c r="A299" s="96">
        <f>IFERROR(__xludf.DUMMYFUNCTION("""COMPUTED_VALUE"""),12.0)</f>
        <v>12</v>
      </c>
      <c r="B299" s="98">
        <f>IFERROR(__xludf.DUMMYFUNCTION("""COMPUTED_VALUE"""),44060.0)</f>
        <v>44060</v>
      </c>
      <c r="C299" s="96" t="str">
        <f>IFERROR(__xludf.DUMMYFUNCTION("""COMPUTED_VALUE"""),"BOSURU  BOSURU")</f>
        <v>BOSURU  BOSURU</v>
      </c>
      <c r="D299" s="96" t="str">
        <f>IFERROR(__xludf.DUMMYFUNCTION("""COMPUTED_VALUE"""),"BOSURU  BOSURU12")</f>
        <v>BOSURU  BOSURU12</v>
      </c>
      <c r="E299" s="96">
        <f>IFERROR(__xludf.DUMMYFUNCTION("""COMPUTED_VALUE"""),420.0)</f>
        <v>420</v>
      </c>
      <c r="F299" s="96">
        <f>IFERROR(__xludf.DUMMYFUNCTION("""COMPUTED_VALUE"""),56.0)</f>
        <v>56</v>
      </c>
      <c r="G299" s="96"/>
      <c r="H299" s="96">
        <f>IFERROR(__xludf.DUMMYFUNCTION("""COMPUTED_VALUE"""),7.0)</f>
        <v>7</v>
      </c>
      <c r="I299" s="96"/>
      <c r="J299" s="96">
        <f>IFERROR(__xludf.DUMMYFUNCTION("""COMPUTED_VALUE"""),820.0)</f>
        <v>820</v>
      </c>
      <c r="K299" s="96"/>
      <c r="L299" s="99">
        <f>IFERROR(__xludf.DUMMYFUNCTION("""COMPUTED_VALUE"""),-338660.0)</f>
        <v>-338660</v>
      </c>
      <c r="M299" s="96">
        <f>IFERROR(__xludf.DUMMYFUNCTION("""COMPUTED_VALUE"""),8.0)</f>
        <v>8</v>
      </c>
      <c r="N299" s="96">
        <f>IFERROR(__xludf.DUMMYFUNCTION("""COMPUTED_VALUE"""),0.0)</f>
        <v>0</v>
      </c>
      <c r="O299" s="96">
        <f>IFERROR(__xludf.DUMMYFUNCTION("""COMPUTED_VALUE"""),6.0)</f>
        <v>6</v>
      </c>
      <c r="P299" s="96">
        <f>IFERROR(__xludf.DUMMYFUNCTION("""COMPUTED_VALUE"""),35.0)</f>
        <v>35</v>
      </c>
      <c r="Q299" s="129">
        <f>IFERROR(__xludf.DUMMYFUNCTION("""COMPUTED_VALUE"""),413.0)</f>
        <v>413</v>
      </c>
      <c r="R299" s="99">
        <f>IFERROR(__xludf.DUMMYFUNCTION("""COMPUTED_VALUE"""),338660.0)</f>
        <v>338660</v>
      </c>
      <c r="S299" s="99">
        <f>IFERROR(__xludf.DUMMYFUNCTION("""COMPUTED_VALUE"""),1349220.0)</f>
        <v>1349220</v>
      </c>
    </row>
    <row r="300">
      <c r="A300" s="96">
        <f>IFERROR(__xludf.DUMMYFUNCTION("""COMPUTED_VALUE"""),13.0)</f>
        <v>13</v>
      </c>
      <c r="B300" s="98">
        <f>IFERROR(__xludf.DUMMYFUNCTION("""COMPUTED_VALUE"""),44070.0)</f>
        <v>44070</v>
      </c>
      <c r="C300" s="96" t="str">
        <f>IFERROR(__xludf.DUMMYFUNCTION("""COMPUTED_VALUE"""),"BOSURU  BOSURU")</f>
        <v>BOSURU  BOSURU</v>
      </c>
      <c r="D300" s="96" t="str">
        <f>IFERROR(__xludf.DUMMYFUNCTION("""COMPUTED_VALUE"""),"BOSURU  BOSURU13")</f>
        <v>BOSURU  BOSURU13</v>
      </c>
      <c r="E300" s="96">
        <f>IFERROR(__xludf.DUMMYFUNCTION("""COMPUTED_VALUE"""),403.0)</f>
        <v>403</v>
      </c>
      <c r="F300" s="96">
        <f>IFERROR(__xludf.DUMMYFUNCTION("""COMPUTED_VALUE"""),56.0)</f>
        <v>56</v>
      </c>
      <c r="G300" s="96"/>
      <c r="H300" s="96">
        <f>IFERROR(__xludf.DUMMYFUNCTION("""COMPUTED_VALUE"""),7.0)</f>
        <v>7</v>
      </c>
      <c r="I300" s="96"/>
      <c r="J300" s="96">
        <f>IFERROR(__xludf.DUMMYFUNCTION("""COMPUTED_VALUE"""),840.0)</f>
        <v>840</v>
      </c>
      <c r="K300" s="96"/>
      <c r="L300" s="99">
        <f>IFERROR(__xludf.DUMMYFUNCTION("""COMPUTED_VALUE"""),-332640.0)</f>
        <v>-332640</v>
      </c>
      <c r="M300" s="96">
        <f>IFERROR(__xludf.DUMMYFUNCTION("""COMPUTED_VALUE"""),8.0)</f>
        <v>8</v>
      </c>
      <c r="N300" s="96">
        <f>IFERROR(__xludf.DUMMYFUNCTION("""COMPUTED_VALUE"""),0.0)</f>
        <v>0</v>
      </c>
      <c r="O300" s="96">
        <f>IFERROR(__xludf.DUMMYFUNCTION("""COMPUTED_VALUE"""),6.0)</f>
        <v>6</v>
      </c>
      <c r="P300" s="96">
        <f>IFERROR(__xludf.DUMMYFUNCTION("""COMPUTED_VALUE"""),18.0)</f>
        <v>18</v>
      </c>
      <c r="Q300" s="129">
        <f>IFERROR(__xludf.DUMMYFUNCTION("""COMPUTED_VALUE"""),396.0)</f>
        <v>396</v>
      </c>
      <c r="R300" s="99">
        <f>IFERROR(__xludf.DUMMYFUNCTION("""COMPUTED_VALUE"""),332640.0)</f>
        <v>332640</v>
      </c>
      <c r="S300" s="99">
        <f>IFERROR(__xludf.DUMMYFUNCTION("""COMPUTED_VALUE"""),1016580.0)</f>
        <v>1016580</v>
      </c>
    </row>
    <row r="301">
      <c r="A301" s="96">
        <f>IFERROR(__xludf.DUMMYFUNCTION("""COMPUTED_VALUE"""),14.0)</f>
        <v>14</v>
      </c>
      <c r="B301" s="98">
        <f>IFERROR(__xludf.DUMMYFUNCTION("""COMPUTED_VALUE"""),44077.0)</f>
        <v>44077</v>
      </c>
      <c r="C301" s="96" t="str">
        <f>IFERROR(__xludf.DUMMYFUNCTION("""COMPUTED_VALUE"""),"BOSURU  BOSURU")</f>
        <v>BOSURU  BOSURU</v>
      </c>
      <c r="D301" s="96" t="str">
        <f>IFERROR(__xludf.DUMMYFUNCTION("""COMPUTED_VALUE"""),"BOSURU  BOSURU14")</f>
        <v>BOSURU  BOSURU14</v>
      </c>
      <c r="E301" s="96">
        <f>IFERROR(__xludf.DUMMYFUNCTION("""COMPUTED_VALUE"""),338.0)</f>
        <v>338</v>
      </c>
      <c r="F301" s="96">
        <f>IFERROR(__xludf.DUMMYFUNCTION("""COMPUTED_VALUE"""),48.0)</f>
        <v>48</v>
      </c>
      <c r="G301" s="96"/>
      <c r="H301" s="96">
        <f>IFERROR(__xludf.DUMMYFUNCTION("""COMPUTED_VALUE"""),6.0)</f>
        <v>6</v>
      </c>
      <c r="I301" s="96"/>
      <c r="J301" s="96">
        <f>IFERROR(__xludf.DUMMYFUNCTION("""COMPUTED_VALUE"""),840.0)</f>
        <v>840</v>
      </c>
      <c r="K301" s="96"/>
      <c r="L301" s="99">
        <f>IFERROR(__xludf.DUMMYFUNCTION("""COMPUTED_VALUE"""),-278880.0)</f>
        <v>-278880</v>
      </c>
      <c r="M301" s="96">
        <f>IFERROR(__xludf.DUMMYFUNCTION("""COMPUTED_VALUE"""),8.0)</f>
        <v>8</v>
      </c>
      <c r="N301" s="96">
        <f>IFERROR(__xludf.DUMMYFUNCTION("""COMPUTED_VALUE"""),0.0)</f>
        <v>0</v>
      </c>
      <c r="O301" s="96">
        <f>IFERROR(__xludf.DUMMYFUNCTION("""COMPUTED_VALUE"""),5.0)</f>
        <v>5</v>
      </c>
      <c r="P301" s="96">
        <f>IFERROR(__xludf.DUMMYFUNCTION("""COMPUTED_VALUE"""),17.0)</f>
        <v>17</v>
      </c>
      <c r="Q301" s="129">
        <f>IFERROR(__xludf.DUMMYFUNCTION("""COMPUTED_VALUE"""),332.0)</f>
        <v>332</v>
      </c>
      <c r="R301" s="99">
        <f>IFERROR(__xludf.DUMMYFUNCTION("""COMPUTED_VALUE"""),278880.0)</f>
        <v>278880</v>
      </c>
      <c r="S301" s="99">
        <f>IFERROR(__xludf.DUMMYFUNCTION("""COMPUTED_VALUE"""),737700.0)</f>
        <v>737700</v>
      </c>
    </row>
    <row r="302">
      <c r="A302" s="96">
        <f>IFERROR(__xludf.DUMMYFUNCTION("""COMPUTED_VALUE"""),15.0)</f>
        <v>15</v>
      </c>
      <c r="B302" s="98">
        <f>IFERROR(__xludf.DUMMYFUNCTION("""COMPUTED_VALUE"""),44082.0)</f>
        <v>44082</v>
      </c>
      <c r="C302" s="96" t="str">
        <f>IFERROR(__xludf.DUMMYFUNCTION("""COMPUTED_VALUE"""),"BOSURU  BOSURU")</f>
        <v>BOSURU  BOSURU</v>
      </c>
      <c r="D302" s="96" t="str">
        <f>IFERROR(__xludf.DUMMYFUNCTION("""COMPUTED_VALUE"""),"BOSURU  BOSURU15")</f>
        <v>BOSURU  BOSURU15</v>
      </c>
      <c r="E302" s="96"/>
      <c r="F302" s="96"/>
      <c r="G302" s="96"/>
      <c r="H302" s="96"/>
      <c r="I302" s="96"/>
      <c r="J302" s="96"/>
      <c r="K302" s="96">
        <f>IFERROR(__xludf.DUMMYFUNCTION("""COMPUTED_VALUE"""),262000.0)</f>
        <v>262000</v>
      </c>
      <c r="L302" s="99">
        <f>IFERROR(__xludf.DUMMYFUNCTION("""COMPUTED_VALUE"""),262000.0)</f>
        <v>262000</v>
      </c>
      <c r="M302" s="96"/>
      <c r="N302" s="96">
        <f>IFERROR(__xludf.DUMMYFUNCTION("""COMPUTED_VALUE"""),0.0)</f>
        <v>0</v>
      </c>
      <c r="O302" s="96">
        <f>IFERROR(__xludf.DUMMYFUNCTION("""COMPUTED_VALUE"""),0.0)</f>
        <v>0</v>
      </c>
      <c r="P302" s="96">
        <f>IFERROR(__xludf.DUMMYFUNCTION("""COMPUTED_VALUE"""),0.0)</f>
        <v>0</v>
      </c>
      <c r="Q302" s="129">
        <f>IFERROR(__xludf.DUMMYFUNCTION("""COMPUTED_VALUE"""),0.0)</f>
        <v>0</v>
      </c>
      <c r="R302" s="99"/>
      <c r="S302" s="99">
        <f>IFERROR(__xludf.DUMMYFUNCTION("""COMPUTED_VALUE"""),999700.0)</f>
        <v>999700</v>
      </c>
    </row>
    <row r="303">
      <c r="A303" s="96">
        <f>IFERROR(__xludf.DUMMYFUNCTION("""COMPUTED_VALUE"""),2.0)</f>
        <v>2</v>
      </c>
      <c r="B303" s="98">
        <f>IFERROR(__xludf.DUMMYFUNCTION("""COMPUTED_VALUE"""),44082.0)</f>
        <v>44082</v>
      </c>
      <c r="C303" s="96" t="str">
        <f>IFERROR(__xludf.DUMMYFUNCTION("""COMPUTED_VALUE"""),"MAXWELL AGRO PRIN")</f>
        <v>MAXWELL AGRO PRIN</v>
      </c>
      <c r="D303" s="96" t="str">
        <f>IFERROR(__xludf.DUMMYFUNCTION("""COMPUTED_VALUE"""),"MAXWELL AGRO PRIN2")</f>
        <v>MAXWELL AGRO PRIN2</v>
      </c>
      <c r="E303" s="96"/>
      <c r="F303" s="96"/>
      <c r="G303" s="96"/>
      <c r="H303" s="96"/>
      <c r="I303" s="96"/>
      <c r="J303" s="96"/>
      <c r="K303" s="96">
        <f>IFERROR(__xludf.DUMMYFUNCTION("""COMPUTED_VALUE"""),50000.0)</f>
        <v>50000</v>
      </c>
      <c r="L303" s="99">
        <f>IFERROR(__xludf.DUMMYFUNCTION("""COMPUTED_VALUE"""),50000.0)</f>
        <v>50000</v>
      </c>
      <c r="M303" s="96"/>
      <c r="N303" s="96">
        <f>IFERROR(__xludf.DUMMYFUNCTION("""COMPUTED_VALUE"""),0.0)</f>
        <v>0</v>
      </c>
      <c r="O303" s="96">
        <f>IFERROR(__xludf.DUMMYFUNCTION("""COMPUTED_VALUE"""),0.0)</f>
        <v>0</v>
      </c>
      <c r="P303" s="96">
        <f>IFERROR(__xludf.DUMMYFUNCTION("""COMPUTED_VALUE"""),0.0)</f>
        <v>0</v>
      </c>
      <c r="Q303" s="129">
        <f>IFERROR(__xludf.DUMMYFUNCTION("""COMPUTED_VALUE"""),0.0)</f>
        <v>0</v>
      </c>
      <c r="R303" s="99"/>
      <c r="S303" s="99">
        <f>IFERROR(__xludf.DUMMYFUNCTION("""COMPUTED_VALUE"""),330000.0)</f>
        <v>330000</v>
      </c>
    </row>
    <row r="304">
      <c r="A304" s="96">
        <f>IFERROR(__xludf.DUMMYFUNCTION("""COMPUTED_VALUE"""),2.0)</f>
        <v>2</v>
      </c>
      <c r="B304" s="98">
        <f>IFERROR(__xludf.DUMMYFUNCTION("""COMPUTED_VALUE"""),44082.0)</f>
        <v>44082</v>
      </c>
      <c r="C304" s="96" t="str">
        <f>IFERROR(__xludf.DUMMYFUNCTION("""COMPUTED_VALUE"""),"NDOMA NDOMA")</f>
        <v>NDOMA NDOMA</v>
      </c>
      <c r="D304" s="96" t="str">
        <f>IFERROR(__xludf.DUMMYFUNCTION("""COMPUTED_VALUE"""),"NDOMA NDOMA2")</f>
        <v>NDOMA NDOMA2</v>
      </c>
      <c r="E304" s="96"/>
      <c r="F304" s="96"/>
      <c r="G304" s="96"/>
      <c r="H304" s="96"/>
      <c r="I304" s="96"/>
      <c r="J304" s="96"/>
      <c r="K304" s="96">
        <f>IFERROR(__xludf.DUMMYFUNCTION("""COMPUTED_VALUE"""),10000.0)</f>
        <v>10000</v>
      </c>
      <c r="L304" s="99">
        <f>IFERROR(__xludf.DUMMYFUNCTION("""COMPUTED_VALUE"""),10000.0)</f>
        <v>10000</v>
      </c>
      <c r="M304" s="96"/>
      <c r="N304" s="96">
        <f>IFERROR(__xludf.DUMMYFUNCTION("""COMPUTED_VALUE"""),0.0)</f>
        <v>0</v>
      </c>
      <c r="O304" s="96">
        <f>IFERROR(__xludf.DUMMYFUNCTION("""COMPUTED_VALUE"""),0.0)</f>
        <v>0</v>
      </c>
      <c r="P304" s="96">
        <f>IFERROR(__xludf.DUMMYFUNCTION("""COMPUTED_VALUE"""),0.0)</f>
        <v>0</v>
      </c>
      <c r="Q304" s="129">
        <f>IFERROR(__xludf.DUMMYFUNCTION("""COMPUTED_VALUE"""),0.0)</f>
        <v>0</v>
      </c>
      <c r="R304" s="99"/>
      <c r="S304" s="99">
        <f>IFERROR(__xludf.DUMMYFUNCTION("""COMPUTED_VALUE"""),210000.0)</f>
        <v>210000</v>
      </c>
    </row>
    <row r="305">
      <c r="A305" s="96">
        <f>IFERROR(__xludf.DUMMYFUNCTION("""COMPUTED_VALUE"""),1.0)</f>
        <v>1</v>
      </c>
      <c r="B305" s="98">
        <f>IFERROR(__xludf.DUMMYFUNCTION("""COMPUTED_VALUE"""),44082.0)</f>
        <v>44082</v>
      </c>
      <c r="C305" s="96" t="str">
        <f>IFERROR(__xludf.DUMMYFUNCTION("""COMPUTED_VALUE"""),"ZULU ")</f>
        <v>ZULU </v>
      </c>
      <c r="D305" s="96" t="str">
        <f>IFERROR(__xludf.DUMMYFUNCTION("""COMPUTED_VALUE"""),"ZULU 1")</f>
        <v>ZULU 1</v>
      </c>
      <c r="E305" s="96"/>
      <c r="F305" s="96"/>
      <c r="G305" s="96"/>
      <c r="H305" s="96"/>
      <c r="I305" s="96"/>
      <c r="J305" s="96"/>
      <c r="K305" s="96">
        <f>IFERROR(__xludf.DUMMYFUNCTION("""COMPUTED_VALUE"""),4000.0)</f>
        <v>4000</v>
      </c>
      <c r="L305" s="99">
        <f>IFERROR(__xludf.DUMMYFUNCTION("""COMPUTED_VALUE"""),4000.0)</f>
        <v>4000</v>
      </c>
      <c r="M305" s="96"/>
      <c r="N305" s="96">
        <f>IFERROR(__xludf.DUMMYFUNCTION("""COMPUTED_VALUE"""),0.0)</f>
        <v>0</v>
      </c>
      <c r="O305" s="96">
        <f>IFERROR(__xludf.DUMMYFUNCTION("""COMPUTED_VALUE"""),0.0)</f>
        <v>0</v>
      </c>
      <c r="P305" s="96">
        <f>IFERROR(__xludf.DUMMYFUNCTION("""COMPUTED_VALUE"""),0.0)</f>
        <v>0</v>
      </c>
      <c r="Q305" s="129">
        <f>IFERROR(__xludf.DUMMYFUNCTION("""COMPUTED_VALUE"""),0.0)</f>
        <v>0</v>
      </c>
      <c r="R305" s="99"/>
      <c r="S305" s="99">
        <f>IFERROR(__xludf.DUMMYFUNCTION("""COMPUTED_VALUE"""),4000.0)</f>
        <v>4000</v>
      </c>
    </row>
    <row r="306">
      <c r="A306" s="96">
        <f>IFERROR(__xludf.DUMMYFUNCTION("""COMPUTED_VALUE"""),8.0)</f>
        <v>8</v>
      </c>
      <c r="B306" s="98">
        <f>IFERROR(__xludf.DUMMYFUNCTION("""COMPUTED_VALUE"""),44055.0)</f>
        <v>44055</v>
      </c>
      <c r="C306" s="96" t="str">
        <f>IFERROR(__xludf.DUMMYFUNCTION("""COMPUTED_VALUE"""),"ZULU &amp; NDOMA")</f>
        <v>ZULU &amp; NDOMA</v>
      </c>
      <c r="D306" s="96" t="str">
        <f>IFERROR(__xludf.DUMMYFUNCTION("""COMPUTED_VALUE"""),"ZULU &amp; NDOMA8")</f>
        <v>ZULU &amp; NDOMA8</v>
      </c>
      <c r="E306" s="96"/>
      <c r="F306" s="96"/>
      <c r="G306" s="96"/>
      <c r="H306" s="96"/>
      <c r="I306" s="96"/>
      <c r="J306" s="96"/>
      <c r="K306" s="96">
        <f>IFERROR(__xludf.DUMMYFUNCTION("""COMPUTED_VALUE"""),-100000.0)</f>
        <v>-100000</v>
      </c>
      <c r="L306" s="99">
        <f>IFERROR(__xludf.DUMMYFUNCTION("""COMPUTED_VALUE"""),-100000.0)</f>
        <v>-100000</v>
      </c>
      <c r="M306" s="96"/>
      <c r="N306" s="96">
        <f>IFERROR(__xludf.DUMMYFUNCTION("""COMPUTED_VALUE"""),0.0)</f>
        <v>0</v>
      </c>
      <c r="O306" s="96">
        <f>IFERROR(__xludf.DUMMYFUNCTION("""COMPUTED_VALUE"""),0.0)</f>
        <v>0</v>
      </c>
      <c r="P306" s="96">
        <f>IFERROR(__xludf.DUMMYFUNCTION("""COMPUTED_VALUE"""),0.0)</f>
        <v>0</v>
      </c>
      <c r="Q306" s="129">
        <f>IFERROR(__xludf.DUMMYFUNCTION("""COMPUTED_VALUE"""),0.0)</f>
        <v>0</v>
      </c>
      <c r="R306" s="99"/>
      <c r="S306" s="99">
        <f>IFERROR(__xludf.DUMMYFUNCTION("""COMPUTED_VALUE"""),306800.0)</f>
        <v>306800</v>
      </c>
    </row>
    <row r="307">
      <c r="A307" s="96">
        <f>IFERROR(__xludf.DUMMYFUNCTION("""COMPUTED_VALUE"""),3.0)</f>
        <v>3</v>
      </c>
      <c r="B307" s="98">
        <f>IFERROR(__xludf.DUMMYFUNCTION("""COMPUTED_VALUE"""),44055.0)</f>
        <v>44055</v>
      </c>
      <c r="C307" s="96" t="str">
        <f>IFERROR(__xludf.DUMMYFUNCTION("""COMPUTED_VALUE"""),"NDOMA PRIN")</f>
        <v>NDOMA PRIN</v>
      </c>
      <c r="D307" s="96" t="str">
        <f>IFERROR(__xludf.DUMMYFUNCTION("""COMPUTED_VALUE"""),"NDOMA PRIN3")</f>
        <v>NDOMA PRIN3</v>
      </c>
      <c r="E307" s="96"/>
      <c r="F307" s="96"/>
      <c r="G307" s="96"/>
      <c r="H307" s="96"/>
      <c r="I307" s="96"/>
      <c r="J307" s="96"/>
      <c r="K307" s="96">
        <f>IFERROR(__xludf.DUMMYFUNCTION("""COMPUTED_VALUE"""),100000.0)</f>
        <v>100000</v>
      </c>
      <c r="L307" s="99">
        <f>IFERROR(__xludf.DUMMYFUNCTION("""COMPUTED_VALUE"""),100000.0)</f>
        <v>100000</v>
      </c>
      <c r="M307" s="96"/>
      <c r="N307" s="96">
        <f>IFERROR(__xludf.DUMMYFUNCTION("""COMPUTED_VALUE"""),0.0)</f>
        <v>0</v>
      </c>
      <c r="O307" s="96">
        <f>IFERROR(__xludf.DUMMYFUNCTION("""COMPUTED_VALUE"""),0.0)</f>
        <v>0</v>
      </c>
      <c r="P307" s="96">
        <f>IFERROR(__xludf.DUMMYFUNCTION("""COMPUTED_VALUE"""),0.0)</f>
        <v>0</v>
      </c>
      <c r="Q307" s="129">
        <f>IFERROR(__xludf.DUMMYFUNCTION("""COMPUTED_VALUE"""),0.0)</f>
        <v>0</v>
      </c>
      <c r="R307" s="99"/>
      <c r="S307" s="99">
        <f>IFERROR(__xludf.DUMMYFUNCTION("""COMPUTED_VALUE"""),158200.0)</f>
        <v>158200</v>
      </c>
    </row>
    <row r="308">
      <c r="A308" s="96">
        <f>IFERROR(__xludf.DUMMYFUNCTION("""COMPUTED_VALUE"""),9.0)</f>
        <v>9</v>
      </c>
      <c r="B308" s="98">
        <f>IFERROR(__xludf.DUMMYFUNCTION("""COMPUTED_VALUE"""),44058.0)</f>
        <v>44058</v>
      </c>
      <c r="C308" s="96" t="str">
        <f>IFERROR(__xludf.DUMMYFUNCTION("""COMPUTED_VALUE"""),"ZULU &amp; NDOMA")</f>
        <v>ZULU &amp; NDOMA</v>
      </c>
      <c r="D308" s="96" t="str">
        <f>IFERROR(__xludf.DUMMYFUNCTION("""COMPUTED_VALUE"""),"ZULU &amp; NDOMA9")</f>
        <v>ZULU &amp; NDOMA9</v>
      </c>
      <c r="E308" s="96"/>
      <c r="F308" s="96"/>
      <c r="G308" s="96"/>
      <c r="H308" s="96"/>
      <c r="I308" s="96"/>
      <c r="J308" s="96"/>
      <c r="K308" s="96">
        <f>IFERROR(__xludf.DUMMYFUNCTION("""COMPUTED_VALUE"""),-200000.0)</f>
        <v>-200000</v>
      </c>
      <c r="L308" s="99">
        <f>IFERROR(__xludf.DUMMYFUNCTION("""COMPUTED_VALUE"""),-200000.0)</f>
        <v>-200000</v>
      </c>
      <c r="M308" s="96"/>
      <c r="N308" s="96">
        <f>IFERROR(__xludf.DUMMYFUNCTION("""COMPUTED_VALUE"""),0.0)</f>
        <v>0</v>
      </c>
      <c r="O308" s="96">
        <f>IFERROR(__xludf.DUMMYFUNCTION("""COMPUTED_VALUE"""),0.0)</f>
        <v>0</v>
      </c>
      <c r="P308" s="96">
        <f>IFERROR(__xludf.DUMMYFUNCTION("""COMPUTED_VALUE"""),0.0)</f>
        <v>0</v>
      </c>
      <c r="Q308" s="129">
        <f>IFERROR(__xludf.DUMMYFUNCTION("""COMPUTED_VALUE"""),0.0)</f>
        <v>0</v>
      </c>
      <c r="R308" s="99"/>
      <c r="S308" s="99">
        <f>IFERROR(__xludf.DUMMYFUNCTION("""COMPUTED_VALUE"""),106800.0)</f>
        <v>106800</v>
      </c>
    </row>
    <row r="309">
      <c r="A309" s="96">
        <f>IFERROR(__xludf.DUMMYFUNCTION("""COMPUTED_VALUE"""),2.0)</f>
        <v>2</v>
      </c>
      <c r="B309" s="98">
        <f>IFERROR(__xludf.DUMMYFUNCTION("""COMPUTED_VALUE"""),44058.0)</f>
        <v>44058</v>
      </c>
      <c r="C309" s="96" t="str">
        <f>IFERROR(__xludf.DUMMYFUNCTION("""COMPUTED_VALUE"""),"ZULU ")</f>
        <v>ZULU </v>
      </c>
      <c r="D309" s="96" t="str">
        <f>IFERROR(__xludf.DUMMYFUNCTION("""COMPUTED_VALUE"""),"ZULU 2")</f>
        <v>ZULU 2</v>
      </c>
      <c r="E309" s="96"/>
      <c r="F309" s="96"/>
      <c r="G309" s="96"/>
      <c r="H309" s="96"/>
      <c r="I309" s="96"/>
      <c r="J309" s="96"/>
      <c r="K309" s="96">
        <f>IFERROR(__xludf.DUMMYFUNCTION("""COMPUTED_VALUE"""),200000.0)</f>
        <v>200000</v>
      </c>
      <c r="L309" s="99">
        <f>IFERROR(__xludf.DUMMYFUNCTION("""COMPUTED_VALUE"""),200000.0)</f>
        <v>200000</v>
      </c>
      <c r="M309" s="96"/>
      <c r="N309" s="96">
        <f>IFERROR(__xludf.DUMMYFUNCTION("""COMPUTED_VALUE"""),0.0)</f>
        <v>0</v>
      </c>
      <c r="O309" s="96">
        <f>IFERROR(__xludf.DUMMYFUNCTION("""COMPUTED_VALUE"""),0.0)</f>
        <v>0</v>
      </c>
      <c r="P309" s="96">
        <f>IFERROR(__xludf.DUMMYFUNCTION("""COMPUTED_VALUE"""),0.0)</f>
        <v>0</v>
      </c>
      <c r="Q309" s="129">
        <f>IFERROR(__xludf.DUMMYFUNCTION("""COMPUTED_VALUE"""),0.0)</f>
        <v>0</v>
      </c>
      <c r="R309" s="99"/>
      <c r="S309" s="99">
        <f>IFERROR(__xludf.DUMMYFUNCTION("""COMPUTED_VALUE"""),204000.0)</f>
        <v>204000</v>
      </c>
    </row>
    <row r="310">
      <c r="A310" s="96">
        <f>IFERROR(__xludf.DUMMYFUNCTION("""COMPUTED_VALUE"""),3.0)</f>
        <v>3</v>
      </c>
      <c r="B310" s="98">
        <f>IFERROR(__xludf.DUMMYFUNCTION("""COMPUTED_VALUE"""),44081.0)</f>
        <v>44081</v>
      </c>
      <c r="C310" s="96" t="str">
        <f>IFERROR(__xludf.DUMMYFUNCTION("""COMPUTED_VALUE"""),"NDOMA NDOMA")</f>
        <v>NDOMA NDOMA</v>
      </c>
      <c r="D310" s="96" t="str">
        <f>IFERROR(__xludf.DUMMYFUNCTION("""COMPUTED_VALUE"""),"NDOMA NDOMA3")</f>
        <v>NDOMA NDOMA3</v>
      </c>
      <c r="E310" s="96">
        <f>IFERROR(__xludf.DUMMYFUNCTION("""COMPUTED_VALUE"""),1250.0)</f>
        <v>1250</v>
      </c>
      <c r="F310" s="96">
        <f>IFERROR(__xludf.DUMMYFUNCTION("""COMPUTED_VALUE"""),160.0)</f>
        <v>160</v>
      </c>
      <c r="G310" s="96"/>
      <c r="H310" s="96">
        <f>IFERROR(__xludf.DUMMYFUNCTION("""COMPUTED_VALUE"""),20.0)</f>
        <v>20</v>
      </c>
      <c r="I310" s="96">
        <f>IFERROR(__xludf.DUMMYFUNCTION("""COMPUTED_VALUE"""),20.0)</f>
        <v>20</v>
      </c>
      <c r="J310" s="96">
        <f>IFERROR(__xludf.DUMMYFUNCTION("""COMPUTED_VALUE"""),920.0)</f>
        <v>920</v>
      </c>
      <c r="K310" s="96"/>
      <c r="L310" s="99">
        <f>IFERROR(__xludf.DUMMYFUNCTION("""COMPUTED_VALUE"""),-1150000.0)</f>
        <v>-1150000</v>
      </c>
      <c r="M310" s="96">
        <f>IFERROR(__xludf.DUMMYFUNCTION("""COMPUTED_VALUE"""),8.0)</f>
        <v>8</v>
      </c>
      <c r="N310" s="96">
        <f>IFERROR(__xludf.DUMMYFUNCTION("""COMPUTED_VALUE"""),0.0)</f>
        <v>0</v>
      </c>
      <c r="O310" s="96">
        <f>IFERROR(__xludf.DUMMYFUNCTION("""COMPUTED_VALUE"""),19.0)</f>
        <v>19</v>
      </c>
      <c r="P310" s="96">
        <f>IFERROR(__xludf.DUMMYFUNCTION("""COMPUTED_VALUE"""),53.0)</f>
        <v>53</v>
      </c>
      <c r="Q310" s="129">
        <f>IFERROR(__xludf.DUMMYFUNCTION("""COMPUTED_VALUE"""),1250.0)</f>
        <v>1250</v>
      </c>
      <c r="R310" s="99">
        <f>IFERROR(__xludf.DUMMYFUNCTION("""COMPUTED_VALUE"""),1150000.0)</f>
        <v>1150000</v>
      </c>
      <c r="S310" s="99">
        <f>IFERROR(__xludf.DUMMYFUNCTION("""COMPUTED_VALUE"""),-940000.0)</f>
        <v>-940000</v>
      </c>
    </row>
    <row r="311">
      <c r="A311" s="96">
        <f>IFERROR(__xludf.DUMMYFUNCTION("""COMPUTED_VALUE"""),20.0)</f>
        <v>20</v>
      </c>
      <c r="B311" s="98">
        <f>IFERROR(__xludf.DUMMYFUNCTION("""COMPUTED_VALUE"""),44072.0)</f>
        <v>44072</v>
      </c>
      <c r="C311" s="96" t="str">
        <f>IFERROR(__xludf.DUMMYFUNCTION("""COMPUTED_VALUE"""),"RECTOR W.")</f>
        <v>RECTOR W.</v>
      </c>
      <c r="D311" s="96" t="str">
        <f>IFERROR(__xludf.DUMMYFUNCTION("""COMPUTED_VALUE"""),"RECTOR W.20")</f>
        <v>RECTOR W.20</v>
      </c>
      <c r="E311" s="96">
        <f>IFERROR(__xludf.DUMMYFUNCTION("""COMPUTED_VALUE"""),3885.0)</f>
        <v>3885</v>
      </c>
      <c r="F311" s="96">
        <f>IFERROR(__xludf.DUMMYFUNCTION("""COMPUTED_VALUE"""),749.5)</f>
        <v>749.5</v>
      </c>
      <c r="G311" s="96"/>
      <c r="H311" s="96">
        <f>IFERROR(__xludf.DUMMYFUNCTION("""COMPUTED_VALUE"""),60.0)</f>
        <v>60</v>
      </c>
      <c r="I311" s="96"/>
      <c r="J311" s="96">
        <f>IFERROR(__xludf.DUMMYFUNCTION("""COMPUTED_VALUE"""),840.0)</f>
        <v>840</v>
      </c>
      <c r="K311" s="96"/>
      <c r="L311" s="99">
        <f>IFERROR(__xludf.DUMMYFUNCTION("""COMPUTED_VALUE"""),-3068520.0)</f>
        <v>-3068520</v>
      </c>
      <c r="M311" s="96">
        <f>IFERROR(__xludf.DUMMYFUNCTION("""COMPUTED_VALUE"""),12.49)</f>
        <v>12.49</v>
      </c>
      <c r="N311" s="96">
        <f>IFERROR(__xludf.DUMMYFUNCTION("""COMPUTED_VALUE"""),172.0)</f>
        <v>172</v>
      </c>
      <c r="O311" s="96">
        <f>IFERROR(__xludf.DUMMYFUNCTION("""COMPUTED_VALUE"""),57.0)</f>
        <v>57</v>
      </c>
      <c r="P311" s="96">
        <f>IFERROR(__xludf.DUMMYFUNCTION("""COMPUTED_VALUE"""),61.0)</f>
        <v>61</v>
      </c>
      <c r="Q311" s="129">
        <f>IFERROR(__xludf.DUMMYFUNCTION("""COMPUTED_VALUE"""),3653.0)</f>
        <v>3653</v>
      </c>
      <c r="R311" s="99">
        <f>IFERROR(__xludf.DUMMYFUNCTION("""COMPUTED_VALUE"""),3068520.0)</f>
        <v>3068520</v>
      </c>
      <c r="S311" s="99">
        <f>IFERROR(__xludf.DUMMYFUNCTION("""COMPUTED_VALUE"""),1698820.0)</f>
        <v>1698820</v>
      </c>
    </row>
    <row r="312">
      <c r="A312" s="96">
        <f>IFERROR(__xludf.DUMMYFUNCTION("""COMPUTED_VALUE"""),17.0)</f>
        <v>17</v>
      </c>
      <c r="B312" s="98">
        <f>IFERROR(__xludf.DUMMYFUNCTION("""COMPUTED_VALUE"""),44074.0)</f>
        <v>44074</v>
      </c>
      <c r="C312" s="96" t="str">
        <f>IFERROR(__xludf.DUMMYFUNCTION("""COMPUTED_VALUE"""),"CONNECT")</f>
        <v>CONNECT</v>
      </c>
      <c r="D312" s="96" t="str">
        <f>IFERROR(__xludf.DUMMYFUNCTION("""COMPUTED_VALUE"""),"CONNECT17")</f>
        <v>CONNECT17</v>
      </c>
      <c r="E312" s="96">
        <f>IFERROR(__xludf.DUMMYFUNCTION("""COMPUTED_VALUE"""),2526.0)</f>
        <v>2526</v>
      </c>
      <c r="F312" s="96">
        <f>IFERROR(__xludf.DUMMYFUNCTION("""COMPUTED_VALUE"""),296.0)</f>
        <v>296</v>
      </c>
      <c r="G312" s="96"/>
      <c r="H312" s="96">
        <f>IFERROR(__xludf.DUMMYFUNCTION("""COMPUTED_VALUE"""),37.0)</f>
        <v>37</v>
      </c>
      <c r="I312" s="96"/>
      <c r="J312" s="96">
        <f>IFERROR(__xludf.DUMMYFUNCTION("""COMPUTED_VALUE"""),850.0)</f>
        <v>850</v>
      </c>
      <c r="K312" s="96"/>
      <c r="L312" s="99">
        <f>IFERROR(__xludf.DUMMYFUNCTION("""COMPUTED_VALUE"""),-2115650.0)</f>
        <v>-2115650</v>
      </c>
      <c r="M312" s="96">
        <f>IFERROR(__xludf.DUMMYFUNCTION("""COMPUTED_VALUE"""),8.0)</f>
        <v>8</v>
      </c>
      <c r="N312" s="96">
        <f>IFERROR(__xludf.DUMMYFUNCTION("""COMPUTED_VALUE"""),0.0)</f>
        <v>0</v>
      </c>
      <c r="O312" s="96">
        <f>IFERROR(__xludf.DUMMYFUNCTION("""COMPUTED_VALUE"""),39.0)</f>
        <v>39</v>
      </c>
      <c r="P312" s="96">
        <f>IFERROR(__xludf.DUMMYFUNCTION("""COMPUTED_VALUE"""),31.0)</f>
        <v>31</v>
      </c>
      <c r="Q312" s="129">
        <f>IFERROR(__xludf.DUMMYFUNCTION("""COMPUTED_VALUE"""),2489.0)</f>
        <v>2489</v>
      </c>
      <c r="R312" s="99">
        <f>IFERROR(__xludf.DUMMYFUNCTION("""COMPUTED_VALUE"""),2115650.0)</f>
        <v>2115650</v>
      </c>
      <c r="S312" s="99">
        <f>IFERROR(__xludf.DUMMYFUNCTION("""COMPUTED_VALUE"""),3007450.0)</f>
        <v>3007450</v>
      </c>
    </row>
    <row r="313">
      <c r="A313" s="96">
        <f>IFERROR(__xludf.DUMMYFUNCTION("""COMPUTED_VALUE"""),20.0)</f>
        <v>20</v>
      </c>
      <c r="B313" s="98">
        <f>IFERROR(__xludf.DUMMYFUNCTION("""COMPUTED_VALUE"""),44071.0)</f>
        <v>44071</v>
      </c>
      <c r="C313" s="96" t="str">
        <f>IFERROR(__xludf.DUMMYFUNCTION("""COMPUTED_VALUE"""),"LYDIA HNSON ")</f>
        <v>LYDIA HNSON </v>
      </c>
      <c r="D313" s="96" t="str">
        <f>IFERROR(__xludf.DUMMYFUNCTION("""COMPUTED_VALUE"""),"LYDIA HNSON 20")</f>
        <v>LYDIA HNSON 20</v>
      </c>
      <c r="E313" s="96">
        <f>IFERROR(__xludf.DUMMYFUNCTION("""COMPUTED_VALUE"""),312.0)</f>
        <v>312</v>
      </c>
      <c r="F313" s="96">
        <f>IFERROR(__xludf.DUMMYFUNCTION("""COMPUTED_VALUE"""),32.0)</f>
        <v>32</v>
      </c>
      <c r="G313" s="96"/>
      <c r="H313" s="96">
        <f>IFERROR(__xludf.DUMMYFUNCTION("""COMPUTED_VALUE"""),4.0)</f>
        <v>4</v>
      </c>
      <c r="I313" s="96">
        <f>IFERROR(__xludf.DUMMYFUNCTION("""COMPUTED_VALUE"""),4.0)</f>
        <v>4</v>
      </c>
      <c r="J313" s="96">
        <f>IFERROR(__xludf.DUMMYFUNCTION("""COMPUTED_VALUE"""),870.0)</f>
        <v>870</v>
      </c>
      <c r="K313" s="96"/>
      <c r="L313" s="99">
        <f>IFERROR(__xludf.DUMMYFUNCTION("""COMPUTED_VALUE"""),-271440.0)</f>
        <v>-271440</v>
      </c>
      <c r="M313" s="96">
        <f>IFERROR(__xludf.DUMMYFUNCTION("""COMPUTED_VALUE"""),8.0)</f>
        <v>8</v>
      </c>
      <c r="N313" s="96">
        <f>IFERROR(__xludf.DUMMYFUNCTION("""COMPUTED_VALUE"""),0.0)</f>
        <v>0</v>
      </c>
      <c r="O313" s="96">
        <f>IFERROR(__xludf.DUMMYFUNCTION("""COMPUTED_VALUE"""),4.0)</f>
        <v>4</v>
      </c>
      <c r="P313" s="96">
        <f>IFERROR(__xludf.DUMMYFUNCTION("""COMPUTED_VALUE"""),60.0)</f>
        <v>60</v>
      </c>
      <c r="Q313" s="129">
        <f>IFERROR(__xludf.DUMMYFUNCTION("""COMPUTED_VALUE"""),312.0)</f>
        <v>312</v>
      </c>
      <c r="R313" s="99">
        <f>IFERROR(__xludf.DUMMYFUNCTION("""COMPUTED_VALUE"""),271440.0)</f>
        <v>271440</v>
      </c>
      <c r="S313" s="99">
        <f>IFERROR(__xludf.DUMMYFUNCTION("""COMPUTED_VALUE"""),3253640.0)</f>
        <v>3253640</v>
      </c>
    </row>
    <row r="314">
      <c r="A314" s="96">
        <f>IFERROR(__xludf.DUMMYFUNCTION("""COMPUTED_VALUE"""),11.0)</f>
        <v>11</v>
      </c>
      <c r="B314" s="98">
        <f>IFERROR(__xludf.DUMMYFUNCTION("""COMPUTED_VALUE"""),44082.0)</f>
        <v>44082</v>
      </c>
      <c r="C314" s="96" t="str">
        <f>IFERROR(__xludf.DUMMYFUNCTION("""COMPUTED_VALUE"""),"EDWARD OKO")</f>
        <v>EDWARD OKO</v>
      </c>
      <c r="D314" s="96" t="str">
        <f>IFERROR(__xludf.DUMMYFUNCTION("""COMPUTED_VALUE"""),"EDWARD OKO11")</f>
        <v>EDWARD OKO11</v>
      </c>
      <c r="E314" s="96">
        <f>IFERROR(__xludf.DUMMYFUNCTION("""COMPUTED_VALUE"""),5590.0)</f>
        <v>5590</v>
      </c>
      <c r="F314" s="96">
        <f>IFERROR(__xludf.DUMMYFUNCTION("""COMPUTED_VALUE"""),742.0)</f>
        <v>742</v>
      </c>
      <c r="G314" s="96"/>
      <c r="H314" s="96">
        <f>IFERROR(__xludf.DUMMYFUNCTION("""COMPUTED_VALUE"""),85.0)</f>
        <v>85</v>
      </c>
      <c r="I314" s="96"/>
      <c r="J314" s="96">
        <f>IFERROR(__xludf.DUMMYFUNCTION("""COMPUTED_VALUE"""),880.0)</f>
        <v>880</v>
      </c>
      <c r="K314" s="96"/>
      <c r="L314" s="99">
        <f>IFERROR(__xludf.DUMMYFUNCTION("""COMPUTED_VALUE"""),-4809200.0)</f>
        <v>-4809200</v>
      </c>
      <c r="M314" s="96">
        <f>IFERROR(__xludf.DUMMYFUNCTION("""COMPUTED_VALUE"""),8.73)</f>
        <v>8.73</v>
      </c>
      <c r="N314" s="96">
        <f>IFERROR(__xludf.DUMMYFUNCTION("""COMPUTED_VALUE"""),40.0)</f>
        <v>40</v>
      </c>
      <c r="O314" s="96">
        <f>IFERROR(__xludf.DUMMYFUNCTION("""COMPUTED_VALUE"""),86.0)</f>
        <v>86</v>
      </c>
      <c r="P314" s="96">
        <f>IFERROR(__xludf.DUMMYFUNCTION("""COMPUTED_VALUE"""),47.0)</f>
        <v>47</v>
      </c>
      <c r="Q314" s="129">
        <f>IFERROR(__xludf.DUMMYFUNCTION("""COMPUTED_VALUE"""),5465.0)</f>
        <v>5465</v>
      </c>
      <c r="R314" s="99">
        <f>IFERROR(__xludf.DUMMYFUNCTION("""COMPUTED_VALUE"""),4809200.0)</f>
        <v>4809200</v>
      </c>
      <c r="S314" s="99">
        <f>IFERROR(__xludf.DUMMYFUNCTION("""COMPUTED_VALUE"""),-4616510.0)</f>
        <v>-4616510</v>
      </c>
    </row>
    <row r="315">
      <c r="A315" s="96">
        <f>IFERROR(__xludf.DUMMYFUNCTION("""COMPUTED_VALUE"""),9.0)</f>
        <v>9</v>
      </c>
      <c r="B315" s="98">
        <f>IFERROR(__xludf.DUMMYFUNCTION("""COMPUTED_VALUE"""),44083.0)</f>
        <v>44083</v>
      </c>
      <c r="C315" s="96" t="str">
        <f>IFERROR(__xludf.DUMMYFUNCTION("""COMPUTED_VALUE"""),"ANDRDEW GREAT")</f>
        <v>ANDRDEW GREAT</v>
      </c>
      <c r="D315" s="96" t="str">
        <f>IFERROR(__xludf.DUMMYFUNCTION("""COMPUTED_VALUE"""),"ANDRDEW GREAT9")</f>
        <v>ANDRDEW GREAT9</v>
      </c>
      <c r="E315" s="96"/>
      <c r="F315" s="96"/>
      <c r="G315" s="96"/>
      <c r="H315" s="96"/>
      <c r="I315" s="96"/>
      <c r="J315" s="96"/>
      <c r="K315" s="96">
        <f>IFERROR(__xludf.DUMMYFUNCTION("""COMPUTED_VALUE"""),700000.0)</f>
        <v>700000</v>
      </c>
      <c r="L315" s="99">
        <f>IFERROR(__xludf.DUMMYFUNCTION("""COMPUTED_VALUE"""),700000.0)</f>
        <v>700000</v>
      </c>
      <c r="M315" s="96"/>
      <c r="N315" s="96">
        <f>IFERROR(__xludf.DUMMYFUNCTION("""COMPUTED_VALUE"""),0.0)</f>
        <v>0</v>
      </c>
      <c r="O315" s="96">
        <f>IFERROR(__xludf.DUMMYFUNCTION("""COMPUTED_VALUE"""),0.0)</f>
        <v>0</v>
      </c>
      <c r="P315" s="96">
        <f>IFERROR(__xludf.DUMMYFUNCTION("""COMPUTED_VALUE"""),0.0)</f>
        <v>0</v>
      </c>
      <c r="Q315" s="129">
        <f>IFERROR(__xludf.DUMMYFUNCTION("""COMPUTED_VALUE"""),0.0)</f>
        <v>0</v>
      </c>
      <c r="R315" s="99"/>
      <c r="S315" s="99">
        <f>IFERROR(__xludf.DUMMYFUNCTION("""COMPUTED_VALUE"""),2456950.0)</f>
        <v>2456950</v>
      </c>
    </row>
    <row r="316">
      <c r="A316" s="96">
        <f>IFERROR(__xludf.DUMMYFUNCTION("""COMPUTED_VALUE"""),3.0)</f>
        <v>3</v>
      </c>
      <c r="B316" s="98">
        <f>IFERROR(__xludf.DUMMYFUNCTION("""COMPUTED_VALUE"""),44083.0)</f>
        <v>44083</v>
      </c>
      <c r="C316" s="96" t="str">
        <f>IFERROR(__xludf.DUMMYFUNCTION("""COMPUTED_VALUE"""),"REIMON ALABA")</f>
        <v>REIMON ALABA</v>
      </c>
      <c r="D316" s="96" t="str">
        <f>IFERROR(__xludf.DUMMYFUNCTION("""COMPUTED_VALUE"""),"REIMON ALABA3")</f>
        <v>REIMON ALABA3</v>
      </c>
      <c r="E316" s="96"/>
      <c r="F316" s="96"/>
      <c r="G316" s="96"/>
      <c r="H316" s="96"/>
      <c r="I316" s="96"/>
      <c r="J316" s="96"/>
      <c r="K316" s="96">
        <f>IFERROR(__xludf.DUMMYFUNCTION("""COMPUTED_VALUE"""),20000.0)</f>
        <v>20000</v>
      </c>
      <c r="L316" s="99">
        <f>IFERROR(__xludf.DUMMYFUNCTION("""COMPUTED_VALUE"""),20000.0)</f>
        <v>20000</v>
      </c>
      <c r="M316" s="96"/>
      <c r="N316" s="96">
        <f>IFERROR(__xludf.DUMMYFUNCTION("""COMPUTED_VALUE"""),0.0)</f>
        <v>0</v>
      </c>
      <c r="O316" s="96">
        <f>IFERROR(__xludf.DUMMYFUNCTION("""COMPUTED_VALUE"""),0.0)</f>
        <v>0</v>
      </c>
      <c r="P316" s="96">
        <f>IFERROR(__xludf.DUMMYFUNCTION("""COMPUTED_VALUE"""),0.0)</f>
        <v>0</v>
      </c>
      <c r="Q316" s="129">
        <f>IFERROR(__xludf.DUMMYFUNCTION("""COMPUTED_VALUE"""),0.0)</f>
        <v>0</v>
      </c>
      <c r="R316" s="99"/>
      <c r="S316" s="99">
        <f>IFERROR(__xludf.DUMMYFUNCTION("""COMPUTED_VALUE"""),370000.0)</f>
        <v>370000</v>
      </c>
    </row>
    <row r="317">
      <c r="A317" s="96">
        <f>IFERROR(__xludf.DUMMYFUNCTION("""COMPUTED_VALUE"""),4.0)</f>
        <v>4</v>
      </c>
      <c r="B317" s="98">
        <f>IFERROR(__xludf.DUMMYFUNCTION("""COMPUTED_VALUE"""),44083.0)</f>
        <v>44083</v>
      </c>
      <c r="C317" s="96" t="str">
        <f>IFERROR(__xludf.DUMMYFUNCTION("""COMPUTED_VALUE"""),"NDOMA NDOMA")</f>
        <v>NDOMA NDOMA</v>
      </c>
      <c r="D317" s="96" t="str">
        <f>IFERROR(__xludf.DUMMYFUNCTION("""COMPUTED_VALUE"""),"NDOMA NDOMA4")</f>
        <v>NDOMA NDOMA4</v>
      </c>
      <c r="E317" s="96"/>
      <c r="F317" s="96"/>
      <c r="G317" s="96"/>
      <c r="H317" s="96"/>
      <c r="I317" s="96"/>
      <c r="J317" s="96"/>
      <c r="K317" s="96">
        <f>IFERROR(__xludf.DUMMYFUNCTION("""COMPUTED_VALUE"""),1140000.0)</f>
        <v>1140000</v>
      </c>
      <c r="L317" s="99">
        <f>IFERROR(__xludf.DUMMYFUNCTION("""COMPUTED_VALUE"""),1140000.0)</f>
        <v>1140000</v>
      </c>
      <c r="M317" s="96"/>
      <c r="N317" s="96">
        <f>IFERROR(__xludf.DUMMYFUNCTION("""COMPUTED_VALUE"""),0.0)</f>
        <v>0</v>
      </c>
      <c r="O317" s="96">
        <f>IFERROR(__xludf.DUMMYFUNCTION("""COMPUTED_VALUE"""),0.0)</f>
        <v>0</v>
      </c>
      <c r="P317" s="96">
        <f>IFERROR(__xludf.DUMMYFUNCTION("""COMPUTED_VALUE"""),0.0)</f>
        <v>0</v>
      </c>
      <c r="Q317" s="129">
        <f>IFERROR(__xludf.DUMMYFUNCTION("""COMPUTED_VALUE"""),0.0)</f>
        <v>0</v>
      </c>
      <c r="R317" s="99"/>
      <c r="S317" s="99">
        <f>IFERROR(__xludf.DUMMYFUNCTION("""COMPUTED_VALUE"""),200000.0)</f>
        <v>200000</v>
      </c>
    </row>
    <row r="318">
      <c r="A318" s="96">
        <f>IFERROR(__xludf.DUMMYFUNCTION("""COMPUTED_VALUE"""),3.0)</f>
        <v>3</v>
      </c>
      <c r="B318" s="98">
        <f>IFERROR(__xludf.DUMMYFUNCTION("""COMPUTED_VALUE"""),44083.0)</f>
        <v>44083</v>
      </c>
      <c r="C318" s="96" t="str">
        <f>IFERROR(__xludf.DUMMYFUNCTION("""COMPUTED_VALUE"""),"CONFIDENCE")</f>
        <v>CONFIDENCE</v>
      </c>
      <c r="D318" s="96" t="str">
        <f>IFERROR(__xludf.DUMMYFUNCTION("""COMPUTED_VALUE"""),"CONFIDENCE3")</f>
        <v>CONFIDENCE3</v>
      </c>
      <c r="E318" s="96"/>
      <c r="F318" s="96"/>
      <c r="G318" s="96"/>
      <c r="H318" s="96"/>
      <c r="I318" s="96"/>
      <c r="J318" s="96"/>
      <c r="K318" s="96">
        <f>IFERROR(__xludf.DUMMYFUNCTION("""COMPUTED_VALUE"""),500.0)</f>
        <v>500</v>
      </c>
      <c r="L318" s="99">
        <f>IFERROR(__xludf.DUMMYFUNCTION("""COMPUTED_VALUE"""),500.0)</f>
        <v>500</v>
      </c>
      <c r="M318" s="96"/>
      <c r="N318" s="96">
        <f>IFERROR(__xludf.DUMMYFUNCTION("""COMPUTED_VALUE"""),0.0)</f>
        <v>0</v>
      </c>
      <c r="O318" s="96">
        <f>IFERROR(__xludf.DUMMYFUNCTION("""COMPUTED_VALUE"""),0.0)</f>
        <v>0</v>
      </c>
      <c r="P318" s="96">
        <f>IFERROR(__xludf.DUMMYFUNCTION("""COMPUTED_VALUE"""),0.0)</f>
        <v>0</v>
      </c>
      <c r="Q318" s="129">
        <f>IFERROR(__xludf.DUMMYFUNCTION("""COMPUTED_VALUE"""),0.0)</f>
        <v>0</v>
      </c>
      <c r="R318" s="99"/>
      <c r="S318" s="99">
        <f>IFERROR(__xludf.DUMMYFUNCTION("""COMPUTED_VALUE"""),320500.0)</f>
        <v>320500</v>
      </c>
    </row>
    <row r="319">
      <c r="A319" s="96">
        <f>IFERROR(__xludf.DUMMYFUNCTION("""COMPUTED_VALUE"""),8.0)</f>
        <v>8</v>
      </c>
      <c r="B319" s="98">
        <f>IFERROR(__xludf.DUMMYFUNCTION("""COMPUTED_VALUE"""),44084.0)</f>
        <v>44084</v>
      </c>
      <c r="C319" s="96" t="str">
        <f>IFERROR(__xludf.DUMMYFUNCTION("""COMPUTED_VALUE"""),"NDOMA PETER")</f>
        <v>NDOMA PETER</v>
      </c>
      <c r="D319" s="96" t="str">
        <f>IFERROR(__xludf.DUMMYFUNCTION("""COMPUTED_VALUE"""),"NDOMA PETER8")</f>
        <v>NDOMA PETER8</v>
      </c>
      <c r="E319" s="96"/>
      <c r="F319" s="96"/>
      <c r="G319" s="96"/>
      <c r="H319" s="96"/>
      <c r="I319" s="96"/>
      <c r="J319" s="96"/>
      <c r="K319" s="96">
        <f>IFERROR(__xludf.DUMMYFUNCTION("""COMPUTED_VALUE"""),200000.0)</f>
        <v>200000</v>
      </c>
      <c r="L319" s="99">
        <f>IFERROR(__xludf.DUMMYFUNCTION("""COMPUTED_VALUE"""),200000.0)</f>
        <v>200000</v>
      </c>
      <c r="M319" s="96"/>
      <c r="N319" s="96">
        <f>IFERROR(__xludf.DUMMYFUNCTION("""COMPUTED_VALUE"""),0.0)</f>
        <v>0</v>
      </c>
      <c r="O319" s="96">
        <f>IFERROR(__xludf.DUMMYFUNCTION("""COMPUTED_VALUE"""),0.0)</f>
        <v>0</v>
      </c>
      <c r="P319" s="96">
        <f>IFERROR(__xludf.DUMMYFUNCTION("""COMPUTED_VALUE"""),0.0)</f>
        <v>0</v>
      </c>
      <c r="Q319" s="129">
        <f>IFERROR(__xludf.DUMMYFUNCTION("""COMPUTED_VALUE"""),0.0)</f>
        <v>0</v>
      </c>
      <c r="R319" s="99"/>
      <c r="S319" s="99">
        <f>IFERROR(__xludf.DUMMYFUNCTION("""COMPUTED_VALUE"""),800000.0)</f>
        <v>800000</v>
      </c>
    </row>
    <row r="320">
      <c r="A320" s="96">
        <f>IFERROR(__xludf.DUMMYFUNCTION("""COMPUTED_VALUE"""),4.0)</f>
        <v>4</v>
      </c>
      <c r="B320" s="98">
        <f>IFERROR(__xludf.DUMMYFUNCTION("""COMPUTED_VALUE"""),44084.0)</f>
        <v>44084</v>
      </c>
      <c r="C320" s="96" t="str">
        <f>IFERROR(__xludf.DUMMYFUNCTION("""COMPUTED_VALUE"""),"CONFIDENCE")</f>
        <v>CONFIDENCE</v>
      </c>
      <c r="D320" s="96" t="str">
        <f>IFERROR(__xludf.DUMMYFUNCTION("""COMPUTED_VALUE"""),"CONFIDENCE4")</f>
        <v>CONFIDENCE4</v>
      </c>
      <c r="E320" s="96"/>
      <c r="F320" s="96"/>
      <c r="G320" s="96"/>
      <c r="H320" s="96"/>
      <c r="I320" s="96"/>
      <c r="J320" s="96"/>
      <c r="K320" s="96">
        <f>IFERROR(__xludf.DUMMYFUNCTION("""COMPUTED_VALUE"""),49500.0)</f>
        <v>49500</v>
      </c>
      <c r="L320" s="99">
        <f>IFERROR(__xludf.DUMMYFUNCTION("""COMPUTED_VALUE"""),49500.0)</f>
        <v>49500</v>
      </c>
      <c r="M320" s="96"/>
      <c r="N320" s="96">
        <f>IFERROR(__xludf.DUMMYFUNCTION("""COMPUTED_VALUE"""),0.0)</f>
        <v>0</v>
      </c>
      <c r="O320" s="96">
        <f>IFERROR(__xludf.DUMMYFUNCTION("""COMPUTED_VALUE"""),0.0)</f>
        <v>0</v>
      </c>
      <c r="P320" s="96">
        <f>IFERROR(__xludf.DUMMYFUNCTION("""COMPUTED_VALUE"""),0.0)</f>
        <v>0</v>
      </c>
      <c r="Q320" s="129">
        <f>IFERROR(__xludf.DUMMYFUNCTION("""COMPUTED_VALUE"""),0.0)</f>
        <v>0</v>
      </c>
      <c r="R320" s="99"/>
      <c r="S320" s="99">
        <f>IFERROR(__xludf.DUMMYFUNCTION("""COMPUTED_VALUE"""),370000.0)</f>
        <v>370000</v>
      </c>
    </row>
    <row r="321">
      <c r="A321" s="96">
        <f>IFERROR(__xludf.DUMMYFUNCTION("""COMPUTED_VALUE"""),1.0)</f>
        <v>1</v>
      </c>
      <c r="B321" s="98">
        <f>IFERROR(__xludf.DUMMYFUNCTION("""COMPUTED_VALUE"""),44084.0)</f>
        <v>44084</v>
      </c>
      <c r="C321" s="96" t="str">
        <f>IFERROR(__xludf.DUMMYFUNCTION("""COMPUTED_VALUE"""),"ABANGS. HNSON")</f>
        <v>ABANGS. HNSON</v>
      </c>
      <c r="D321" s="96" t="str">
        <f>IFERROR(__xludf.DUMMYFUNCTION("""COMPUTED_VALUE"""),"ABANGS. HNSON1")</f>
        <v>ABANGS. HNSON1</v>
      </c>
      <c r="E321" s="96"/>
      <c r="F321" s="96"/>
      <c r="G321" s="96"/>
      <c r="H321" s="96"/>
      <c r="I321" s="96"/>
      <c r="J321" s="96"/>
      <c r="K321" s="96">
        <f>IFERROR(__xludf.DUMMYFUNCTION("""COMPUTED_VALUE"""),74000.0)</f>
        <v>74000</v>
      </c>
      <c r="L321" s="99">
        <f>IFERROR(__xludf.DUMMYFUNCTION("""COMPUTED_VALUE"""),74000.0)</f>
        <v>74000</v>
      </c>
      <c r="M321" s="96"/>
      <c r="N321" s="96">
        <f>IFERROR(__xludf.DUMMYFUNCTION("""COMPUTED_VALUE"""),0.0)</f>
        <v>0</v>
      </c>
      <c r="O321" s="96">
        <f>IFERROR(__xludf.DUMMYFUNCTION("""COMPUTED_VALUE"""),0.0)</f>
        <v>0</v>
      </c>
      <c r="P321" s="96">
        <f>IFERROR(__xludf.DUMMYFUNCTION("""COMPUTED_VALUE"""),0.0)</f>
        <v>0</v>
      </c>
      <c r="Q321" s="129">
        <f>IFERROR(__xludf.DUMMYFUNCTION("""COMPUTED_VALUE"""),0.0)</f>
        <v>0</v>
      </c>
      <c r="R321" s="99"/>
      <c r="S321" s="99">
        <f>IFERROR(__xludf.DUMMYFUNCTION("""COMPUTED_VALUE"""),74000.0)</f>
        <v>74000</v>
      </c>
    </row>
    <row r="322">
      <c r="A322" s="96">
        <f>IFERROR(__xludf.DUMMYFUNCTION("""COMPUTED_VALUE"""),2.0)</f>
        <v>2</v>
      </c>
      <c r="B322" s="98">
        <f>IFERROR(__xludf.DUMMYFUNCTION("""COMPUTED_VALUE"""),44085.0)</f>
        <v>44085</v>
      </c>
      <c r="C322" s="96" t="str">
        <f>IFERROR(__xludf.DUMMYFUNCTION("""COMPUTED_VALUE"""),"ABANG. BEN OLUM")</f>
        <v>ABANG. BEN OLUM</v>
      </c>
      <c r="D322" s="96" t="str">
        <f>IFERROR(__xludf.DUMMYFUNCTION("""COMPUTED_VALUE"""),"ABANG. BEN OLUM2")</f>
        <v>ABANG. BEN OLUM2</v>
      </c>
      <c r="E322" s="96"/>
      <c r="F322" s="96"/>
      <c r="G322" s="96"/>
      <c r="H322" s="96"/>
      <c r="I322" s="96"/>
      <c r="J322" s="96"/>
      <c r="K322" s="96"/>
      <c r="L322" s="99">
        <f>IFERROR(__xludf.DUMMYFUNCTION("""COMPUTED_VALUE"""),-920000.0)</f>
        <v>-920000</v>
      </c>
      <c r="M322" s="96"/>
      <c r="N322" s="96">
        <f>IFERROR(__xludf.DUMMYFUNCTION("""COMPUTED_VALUE"""),0.0)</f>
        <v>0</v>
      </c>
      <c r="O322" s="96">
        <f>IFERROR(__xludf.DUMMYFUNCTION("""COMPUTED_VALUE"""),0.0)</f>
        <v>0</v>
      </c>
      <c r="P322" s="96">
        <f>IFERROR(__xludf.DUMMYFUNCTION("""COMPUTED_VALUE"""),0.0)</f>
        <v>0</v>
      </c>
      <c r="Q322" s="129">
        <f>IFERROR(__xludf.DUMMYFUNCTION("""COMPUTED_VALUE"""),0.0)</f>
        <v>0</v>
      </c>
      <c r="R322" s="99">
        <f>IFERROR(__xludf.DUMMYFUNCTION("""COMPUTED_VALUE"""),920000.0)</f>
        <v>920000</v>
      </c>
      <c r="S322" s="99">
        <f>IFERROR(__xludf.DUMMYFUNCTION("""COMPUTED_VALUE"""),0.0)</f>
        <v>0</v>
      </c>
    </row>
    <row r="323">
      <c r="A323" s="96">
        <f>IFERROR(__xludf.DUMMYFUNCTION("""COMPUTED_VALUE"""),2.0)</f>
        <v>2</v>
      </c>
      <c r="B323" s="98">
        <f>IFERROR(__xludf.DUMMYFUNCTION("""COMPUTED_VALUE"""),44085.0)</f>
        <v>44085</v>
      </c>
      <c r="C323" s="96" t="str">
        <f>IFERROR(__xludf.DUMMYFUNCTION("""COMPUTED_VALUE"""),"ABANG. EDET")</f>
        <v>ABANG. EDET</v>
      </c>
      <c r="D323" s="96" t="str">
        <f>IFERROR(__xludf.DUMMYFUNCTION("""COMPUTED_VALUE"""),"ABANG. EDET2")</f>
        <v>ABANG. EDET2</v>
      </c>
      <c r="E323" s="96"/>
      <c r="F323" s="96"/>
      <c r="G323" s="96"/>
      <c r="H323" s="96"/>
      <c r="I323" s="96"/>
      <c r="J323" s="96"/>
      <c r="K323" s="96"/>
      <c r="L323" s="99">
        <f>IFERROR(__xludf.DUMMYFUNCTION("""COMPUTED_VALUE"""),-1000.0)</f>
        <v>-1000</v>
      </c>
      <c r="M323" s="96"/>
      <c r="N323" s="96">
        <f>IFERROR(__xludf.DUMMYFUNCTION("""COMPUTED_VALUE"""),0.0)</f>
        <v>0</v>
      </c>
      <c r="O323" s="96">
        <f>IFERROR(__xludf.DUMMYFUNCTION("""COMPUTED_VALUE"""),0.0)</f>
        <v>0</v>
      </c>
      <c r="P323" s="96">
        <f>IFERROR(__xludf.DUMMYFUNCTION("""COMPUTED_VALUE"""),0.0)</f>
        <v>0</v>
      </c>
      <c r="Q323" s="129">
        <f>IFERROR(__xludf.DUMMYFUNCTION("""COMPUTED_VALUE"""),0.0)</f>
        <v>0</v>
      </c>
      <c r="R323" s="99">
        <f>IFERROR(__xludf.DUMMYFUNCTION("""COMPUTED_VALUE"""),1000.0)</f>
        <v>1000</v>
      </c>
      <c r="S323" s="99">
        <f>IFERROR(__xludf.DUMMYFUNCTION("""COMPUTED_VALUE"""),0.0)</f>
        <v>0</v>
      </c>
    </row>
    <row r="324">
      <c r="A324" s="96">
        <f>IFERROR(__xludf.DUMMYFUNCTION("""COMPUTED_VALUE"""),2.0)</f>
        <v>2</v>
      </c>
      <c r="B324" s="98">
        <f>IFERROR(__xludf.DUMMYFUNCTION("""COMPUTED_VALUE"""),44085.0)</f>
        <v>44085</v>
      </c>
      <c r="C324" s="96" t="str">
        <f>IFERROR(__xludf.DUMMYFUNCTION("""COMPUTED_VALUE"""),"ABANG. DUNLOP")</f>
        <v>ABANG. DUNLOP</v>
      </c>
      <c r="D324" s="96" t="str">
        <f>IFERROR(__xludf.DUMMYFUNCTION("""COMPUTED_VALUE"""),"ABANG. DUNLOP2")</f>
        <v>ABANG. DUNLOP2</v>
      </c>
      <c r="E324" s="96"/>
      <c r="F324" s="96"/>
      <c r="G324" s="96"/>
      <c r="H324" s="96"/>
      <c r="I324" s="96"/>
      <c r="J324" s="96"/>
      <c r="K324" s="96"/>
      <c r="L324" s="99">
        <f>IFERROR(__xludf.DUMMYFUNCTION("""COMPUTED_VALUE"""),-800000.0)</f>
        <v>-800000</v>
      </c>
      <c r="M324" s="96"/>
      <c r="N324" s="96">
        <f>IFERROR(__xludf.DUMMYFUNCTION("""COMPUTED_VALUE"""),0.0)</f>
        <v>0</v>
      </c>
      <c r="O324" s="96">
        <f>IFERROR(__xludf.DUMMYFUNCTION("""COMPUTED_VALUE"""),0.0)</f>
        <v>0</v>
      </c>
      <c r="P324" s="96">
        <f>IFERROR(__xludf.DUMMYFUNCTION("""COMPUTED_VALUE"""),0.0)</f>
        <v>0</v>
      </c>
      <c r="Q324" s="129">
        <f>IFERROR(__xludf.DUMMYFUNCTION("""COMPUTED_VALUE"""),0.0)</f>
        <v>0</v>
      </c>
      <c r="R324" s="99">
        <f>IFERROR(__xludf.DUMMYFUNCTION("""COMPUTED_VALUE"""),800000.0)</f>
        <v>800000</v>
      </c>
      <c r="S324" s="99">
        <f>IFERROR(__xludf.DUMMYFUNCTION("""COMPUTED_VALUE"""),0.0)</f>
        <v>0</v>
      </c>
    </row>
    <row r="325">
      <c r="A325" s="96">
        <f>IFERROR(__xludf.DUMMYFUNCTION("""COMPUTED_VALUE"""),4.0)</f>
        <v>4</v>
      </c>
      <c r="B325" s="98">
        <f>IFERROR(__xludf.DUMMYFUNCTION("""COMPUTED_VALUE"""),44085.0)</f>
        <v>44085</v>
      </c>
      <c r="C325" s="96" t="str">
        <f>IFERROR(__xludf.DUMMYFUNCTION("""COMPUTED_VALUE"""),"OBIM TIWA HNSON")</f>
        <v>OBIM TIWA HNSON</v>
      </c>
      <c r="D325" s="96" t="str">
        <f>IFERROR(__xludf.DUMMYFUNCTION("""COMPUTED_VALUE"""),"OBIM TIWA HNSON4")</f>
        <v>OBIM TIWA HNSON4</v>
      </c>
      <c r="E325" s="96"/>
      <c r="F325" s="96"/>
      <c r="G325" s="96"/>
      <c r="H325" s="96"/>
      <c r="I325" s="96"/>
      <c r="J325" s="96"/>
      <c r="K325" s="96"/>
      <c r="L325" s="99">
        <f>IFERROR(__xludf.DUMMYFUNCTION("""COMPUTED_VALUE"""),-610000.0)</f>
        <v>-610000</v>
      </c>
      <c r="M325" s="96"/>
      <c r="N325" s="96">
        <f>IFERROR(__xludf.DUMMYFUNCTION("""COMPUTED_VALUE"""),0.0)</f>
        <v>0</v>
      </c>
      <c r="O325" s="96">
        <f>IFERROR(__xludf.DUMMYFUNCTION("""COMPUTED_VALUE"""),0.0)</f>
        <v>0</v>
      </c>
      <c r="P325" s="96">
        <f>IFERROR(__xludf.DUMMYFUNCTION("""COMPUTED_VALUE"""),0.0)</f>
        <v>0</v>
      </c>
      <c r="Q325" s="129">
        <f>IFERROR(__xludf.DUMMYFUNCTION("""COMPUTED_VALUE"""),0.0)</f>
        <v>0</v>
      </c>
      <c r="R325" s="99">
        <f>IFERROR(__xludf.DUMMYFUNCTION("""COMPUTED_VALUE"""),610000.0)</f>
        <v>610000</v>
      </c>
      <c r="S325" s="99">
        <f>IFERROR(__xludf.DUMMYFUNCTION("""COMPUTED_VALUE"""),0.0)</f>
        <v>0</v>
      </c>
    </row>
    <row r="326">
      <c r="A326" s="96">
        <f>IFERROR(__xludf.DUMMYFUNCTION("""COMPUTED_VALUE"""),3.0)</f>
        <v>3</v>
      </c>
      <c r="B326" s="98">
        <f>IFERROR(__xludf.DUMMYFUNCTION("""COMPUTED_VALUE"""),44085.0)</f>
        <v>44085</v>
      </c>
      <c r="C326" s="96" t="str">
        <f>IFERROR(__xludf.DUMMYFUNCTION("""COMPUTED_VALUE"""),"RI SAMP")</f>
        <v>RI SAMP</v>
      </c>
      <c r="D326" s="96" t="str">
        <f>IFERROR(__xludf.DUMMYFUNCTION("""COMPUTED_VALUE"""),"RI SAMP3")</f>
        <v>RI SAMP3</v>
      </c>
      <c r="E326" s="96"/>
      <c r="F326" s="96"/>
      <c r="G326" s="96"/>
      <c r="H326" s="96"/>
      <c r="I326" s="96"/>
      <c r="J326" s="96"/>
      <c r="K326" s="96"/>
      <c r="L326" s="99">
        <f>IFERROR(__xludf.DUMMYFUNCTION("""COMPUTED_VALUE"""),-429600.0)</f>
        <v>-429600</v>
      </c>
      <c r="M326" s="96"/>
      <c r="N326" s="96">
        <f>IFERROR(__xludf.DUMMYFUNCTION("""COMPUTED_VALUE"""),0.0)</f>
        <v>0</v>
      </c>
      <c r="O326" s="96">
        <f>IFERROR(__xludf.DUMMYFUNCTION("""COMPUTED_VALUE"""),0.0)</f>
        <v>0</v>
      </c>
      <c r="P326" s="96">
        <f>IFERROR(__xludf.DUMMYFUNCTION("""COMPUTED_VALUE"""),0.0)</f>
        <v>0</v>
      </c>
      <c r="Q326" s="129">
        <f>IFERROR(__xludf.DUMMYFUNCTION("""COMPUTED_VALUE"""),0.0)</f>
        <v>0</v>
      </c>
      <c r="R326" s="99">
        <f>IFERROR(__xludf.DUMMYFUNCTION("""COMPUTED_VALUE"""),429600.0)</f>
        <v>429600</v>
      </c>
      <c r="S326" s="99">
        <f>IFERROR(__xludf.DUMMYFUNCTION("""COMPUTED_VALUE"""),1000000.0)</f>
        <v>1000000</v>
      </c>
    </row>
    <row r="327">
      <c r="A327" s="96">
        <f>IFERROR(__xludf.DUMMYFUNCTION("""COMPUTED_VALUE"""),7.0)</f>
        <v>7</v>
      </c>
      <c r="B327" s="98">
        <f>IFERROR(__xludf.DUMMYFUNCTION("""COMPUTED_VALUE"""),44085.0)</f>
        <v>44085</v>
      </c>
      <c r="C327" s="96" t="str">
        <f>IFERROR(__xludf.DUMMYFUNCTION("""COMPUTED_VALUE"""),"REMMY BODES")</f>
        <v>REMMY BODES</v>
      </c>
      <c r="D327" s="96" t="str">
        <f>IFERROR(__xludf.DUMMYFUNCTION("""COMPUTED_VALUE"""),"REMMY BODES7")</f>
        <v>REMMY BODES7</v>
      </c>
      <c r="E327" s="96"/>
      <c r="F327" s="96"/>
      <c r="G327" s="96"/>
      <c r="H327" s="96"/>
      <c r="I327" s="96"/>
      <c r="J327" s="96"/>
      <c r="K327" s="96"/>
      <c r="L327" s="99">
        <f>IFERROR(__xludf.DUMMYFUNCTION("""COMPUTED_VALUE"""),-801060.0)</f>
        <v>-801060</v>
      </c>
      <c r="M327" s="96"/>
      <c r="N327" s="96">
        <f>IFERROR(__xludf.DUMMYFUNCTION("""COMPUTED_VALUE"""),0.0)</f>
        <v>0</v>
      </c>
      <c r="O327" s="96">
        <f>IFERROR(__xludf.DUMMYFUNCTION("""COMPUTED_VALUE"""),0.0)</f>
        <v>0</v>
      </c>
      <c r="P327" s="96">
        <f>IFERROR(__xludf.DUMMYFUNCTION("""COMPUTED_VALUE"""),0.0)</f>
        <v>0</v>
      </c>
      <c r="Q327" s="129">
        <f>IFERROR(__xludf.DUMMYFUNCTION("""COMPUTED_VALUE"""),0.0)</f>
        <v>0</v>
      </c>
      <c r="R327" s="99">
        <f>IFERROR(__xludf.DUMMYFUNCTION("""COMPUTED_VALUE"""),801060.0)</f>
        <v>801060</v>
      </c>
      <c r="S327" s="99">
        <f>IFERROR(__xludf.DUMMYFUNCTION("""COMPUTED_VALUE"""),843000.0)</f>
        <v>843000</v>
      </c>
    </row>
    <row r="328">
      <c r="A328" s="96">
        <f>IFERROR(__xludf.DUMMYFUNCTION("""COMPUTED_VALUE"""),10.0)</f>
        <v>10</v>
      </c>
      <c r="B328" s="98">
        <f>IFERROR(__xludf.DUMMYFUNCTION("""COMPUTED_VALUE"""),44085.0)</f>
        <v>44085</v>
      </c>
      <c r="C328" s="96" t="str">
        <f>IFERROR(__xludf.DUMMYFUNCTION("""COMPUTED_VALUE"""),"ALFRED ALABI")</f>
        <v>ALFRED ALABI</v>
      </c>
      <c r="D328" s="96" t="str">
        <f>IFERROR(__xludf.DUMMYFUNCTION("""COMPUTED_VALUE"""),"ALFRED ALABI10")</f>
        <v>ALFRED ALABI10</v>
      </c>
      <c r="E328" s="96"/>
      <c r="F328" s="96"/>
      <c r="G328" s="96"/>
      <c r="H328" s="96"/>
      <c r="I328" s="96"/>
      <c r="J328" s="96"/>
      <c r="K328" s="96"/>
      <c r="L328" s="99">
        <f>IFERROR(__xludf.DUMMYFUNCTION("""COMPUTED_VALUE"""),-463000.0)</f>
        <v>-463000</v>
      </c>
      <c r="M328" s="96"/>
      <c r="N328" s="96">
        <f>IFERROR(__xludf.DUMMYFUNCTION("""COMPUTED_VALUE"""),0.0)</f>
        <v>0</v>
      </c>
      <c r="O328" s="96">
        <f>IFERROR(__xludf.DUMMYFUNCTION("""COMPUTED_VALUE"""),0.0)</f>
        <v>0</v>
      </c>
      <c r="P328" s="96">
        <f>IFERROR(__xludf.DUMMYFUNCTION("""COMPUTED_VALUE"""),0.0)</f>
        <v>0</v>
      </c>
      <c r="Q328" s="129">
        <f>IFERROR(__xludf.DUMMYFUNCTION("""COMPUTED_VALUE"""),0.0)</f>
        <v>0</v>
      </c>
      <c r="R328" s="99">
        <f>IFERROR(__xludf.DUMMYFUNCTION("""COMPUTED_VALUE"""),463000.0)</f>
        <v>463000</v>
      </c>
      <c r="S328" s="99">
        <f>IFERROR(__xludf.DUMMYFUNCTION("""COMPUTED_VALUE"""),1000020.0)</f>
        <v>1000020</v>
      </c>
    </row>
    <row r="329">
      <c r="A329" s="96">
        <f>IFERROR(__xludf.DUMMYFUNCTION("""COMPUTED_VALUE"""),3.0)</f>
        <v>3</v>
      </c>
      <c r="B329" s="98">
        <f>IFERROR(__xludf.DUMMYFUNCTION("""COMPUTED_VALUE"""),44085.0)</f>
        <v>44085</v>
      </c>
      <c r="C329" s="96" t="str">
        <f>IFERROR(__xludf.DUMMYFUNCTION("""COMPUTED_VALUE"""),"OMODION")</f>
        <v>OMODION</v>
      </c>
      <c r="D329" s="96" t="str">
        <f>IFERROR(__xludf.DUMMYFUNCTION("""COMPUTED_VALUE"""),"OMODION3")</f>
        <v>OMODION3</v>
      </c>
      <c r="E329" s="96"/>
      <c r="F329" s="96"/>
      <c r="G329" s="96"/>
      <c r="H329" s="96"/>
      <c r="I329" s="96"/>
      <c r="J329" s="96"/>
      <c r="K329" s="96"/>
      <c r="L329" s="99">
        <f>IFERROR(__xludf.DUMMYFUNCTION("""COMPUTED_VALUE"""),-530000.0)</f>
        <v>-530000</v>
      </c>
      <c r="M329" s="96"/>
      <c r="N329" s="96">
        <f>IFERROR(__xludf.DUMMYFUNCTION("""COMPUTED_VALUE"""),0.0)</f>
        <v>0</v>
      </c>
      <c r="O329" s="96">
        <f>IFERROR(__xludf.DUMMYFUNCTION("""COMPUTED_VALUE"""),0.0)</f>
        <v>0</v>
      </c>
      <c r="P329" s="96">
        <f>IFERROR(__xludf.DUMMYFUNCTION("""COMPUTED_VALUE"""),0.0)</f>
        <v>0</v>
      </c>
      <c r="Q329" s="129">
        <f>IFERROR(__xludf.DUMMYFUNCTION("""COMPUTED_VALUE"""),0.0)</f>
        <v>0</v>
      </c>
      <c r="R329" s="99">
        <f>IFERROR(__xludf.DUMMYFUNCTION("""COMPUTED_VALUE"""),530000.0)</f>
        <v>530000</v>
      </c>
      <c r="S329" s="99">
        <f>IFERROR(__xludf.DUMMYFUNCTION("""COMPUTED_VALUE"""),300000.0)</f>
        <v>300000</v>
      </c>
    </row>
    <row r="330">
      <c r="A330" s="96">
        <f>IFERROR(__xludf.DUMMYFUNCTION("""COMPUTED_VALUE"""),7.0)</f>
        <v>7</v>
      </c>
      <c r="B330" s="98">
        <f>IFERROR(__xludf.DUMMYFUNCTION("""COMPUTED_VALUE"""),44085.0)</f>
        <v>44085</v>
      </c>
      <c r="C330" s="96" t="str">
        <f>IFERROR(__xludf.DUMMYFUNCTION("""COMPUTED_VALUE"""),"EMMANUEL OKO ")</f>
        <v>EMMANUEL OKO </v>
      </c>
      <c r="D330" s="96" t="str">
        <f>IFERROR(__xludf.DUMMYFUNCTION("""COMPUTED_VALUE"""),"EMMANUEL OKO 7")</f>
        <v>EMMANUEL OKO 7</v>
      </c>
      <c r="E330" s="96"/>
      <c r="F330" s="96"/>
      <c r="G330" s="96"/>
      <c r="H330" s="96"/>
      <c r="I330" s="96"/>
      <c r="J330" s="96"/>
      <c r="K330" s="96"/>
      <c r="L330" s="99">
        <f>IFERROR(__xludf.DUMMYFUNCTION("""COMPUTED_VALUE"""),-636750.0)</f>
        <v>-636750</v>
      </c>
      <c r="M330" s="96"/>
      <c r="N330" s="96">
        <f>IFERROR(__xludf.DUMMYFUNCTION("""COMPUTED_VALUE"""),0.0)</f>
        <v>0</v>
      </c>
      <c r="O330" s="96">
        <f>IFERROR(__xludf.DUMMYFUNCTION("""COMPUTED_VALUE"""),0.0)</f>
        <v>0</v>
      </c>
      <c r="P330" s="96">
        <f>IFERROR(__xludf.DUMMYFUNCTION("""COMPUTED_VALUE"""),0.0)</f>
        <v>0</v>
      </c>
      <c r="Q330" s="129">
        <f>IFERROR(__xludf.DUMMYFUNCTION("""COMPUTED_VALUE"""),0.0)</f>
        <v>0</v>
      </c>
      <c r="R330" s="99">
        <f>IFERROR(__xludf.DUMMYFUNCTION("""COMPUTED_VALUE"""),636750.0)</f>
        <v>636750</v>
      </c>
      <c r="S330" s="99">
        <f>IFERROR(__xludf.DUMMYFUNCTION("""COMPUTED_VALUE"""),1040000.0)</f>
        <v>1040000</v>
      </c>
    </row>
    <row r="331">
      <c r="A331" s="96">
        <f>IFERROR(__xludf.DUMMYFUNCTION("""COMPUTED_VALUE"""),6.0)</f>
        <v>6</v>
      </c>
      <c r="B331" s="98">
        <f>IFERROR(__xludf.DUMMYFUNCTION("""COMPUTED_VALUE"""),44085.0)</f>
        <v>44085</v>
      </c>
      <c r="C331" s="96" t="str">
        <f>IFERROR(__xludf.DUMMYFUNCTION("""COMPUTED_VALUE"""),"EUGENE")</f>
        <v>EUGENE</v>
      </c>
      <c r="D331" s="96" t="str">
        <f>IFERROR(__xludf.DUMMYFUNCTION("""COMPUTED_VALUE"""),"EUGENE6")</f>
        <v>EUGENE6</v>
      </c>
      <c r="E331" s="96"/>
      <c r="F331" s="96"/>
      <c r="G331" s="96"/>
      <c r="H331" s="96"/>
      <c r="I331" s="96"/>
      <c r="J331" s="96"/>
      <c r="K331" s="96"/>
      <c r="L331" s="99">
        <f>IFERROR(__xludf.DUMMYFUNCTION("""COMPUTED_VALUE"""),-81200.0)</f>
        <v>-81200</v>
      </c>
      <c r="M331" s="96"/>
      <c r="N331" s="96">
        <f>IFERROR(__xludf.DUMMYFUNCTION("""COMPUTED_VALUE"""),0.0)</f>
        <v>0</v>
      </c>
      <c r="O331" s="96">
        <f>IFERROR(__xludf.DUMMYFUNCTION("""COMPUTED_VALUE"""),0.0)</f>
        <v>0</v>
      </c>
      <c r="P331" s="96">
        <f>IFERROR(__xludf.DUMMYFUNCTION("""COMPUTED_VALUE"""),0.0)</f>
        <v>0</v>
      </c>
      <c r="Q331" s="129">
        <f>IFERROR(__xludf.DUMMYFUNCTION("""COMPUTED_VALUE"""),0.0)</f>
        <v>0</v>
      </c>
      <c r="R331" s="99">
        <f>IFERROR(__xludf.DUMMYFUNCTION("""COMPUTED_VALUE"""),81200.0)</f>
        <v>81200</v>
      </c>
      <c r="S331" s="99">
        <f>IFERROR(__xludf.DUMMYFUNCTION("""COMPUTED_VALUE"""),1050000.0)</f>
        <v>1050000</v>
      </c>
    </row>
    <row r="332">
      <c r="A332" s="96">
        <f>IFERROR(__xludf.DUMMYFUNCTION("""COMPUTED_VALUE"""),5.0)</f>
        <v>5</v>
      </c>
      <c r="B332" s="98">
        <f>IFERROR(__xludf.DUMMYFUNCTION("""COMPUTED_VALUE"""),44085.0)</f>
        <v>44085</v>
      </c>
      <c r="C332" s="96" t="str">
        <f>IFERROR(__xludf.DUMMYFUNCTION("""COMPUTED_VALUE"""),"MAXWELL AGRO OBI")</f>
        <v>MAXWELL AGRO OBI</v>
      </c>
      <c r="D332" s="96" t="str">
        <f>IFERROR(__xludf.DUMMYFUNCTION("""COMPUTED_VALUE"""),"MAXWELL AGRO OBI5")</f>
        <v>MAXWELL AGRO OBI5</v>
      </c>
      <c r="E332" s="96"/>
      <c r="F332" s="96"/>
      <c r="G332" s="96"/>
      <c r="H332" s="96"/>
      <c r="I332" s="96"/>
      <c r="J332" s="96"/>
      <c r="K332" s="96"/>
      <c r="L332" s="99">
        <f>IFERROR(__xludf.DUMMYFUNCTION("""COMPUTED_VALUE"""),-253520.0)</f>
        <v>-253520</v>
      </c>
      <c r="M332" s="96"/>
      <c r="N332" s="96">
        <f>IFERROR(__xludf.DUMMYFUNCTION("""COMPUTED_VALUE"""),0.0)</f>
        <v>0</v>
      </c>
      <c r="O332" s="96">
        <f>IFERROR(__xludf.DUMMYFUNCTION("""COMPUTED_VALUE"""),0.0)</f>
        <v>0</v>
      </c>
      <c r="P332" s="96">
        <f>IFERROR(__xludf.DUMMYFUNCTION("""COMPUTED_VALUE"""),0.0)</f>
        <v>0</v>
      </c>
      <c r="Q332" s="129">
        <f>IFERROR(__xludf.DUMMYFUNCTION("""COMPUTED_VALUE"""),0.0)</f>
        <v>0</v>
      </c>
      <c r="R332" s="99">
        <f>IFERROR(__xludf.DUMMYFUNCTION("""COMPUTED_VALUE"""),253520.0)</f>
        <v>253520</v>
      </c>
      <c r="S332" s="99">
        <f>IFERROR(__xludf.DUMMYFUNCTION("""COMPUTED_VALUE"""),500000.0)</f>
        <v>500000</v>
      </c>
    </row>
    <row r="333">
      <c r="A333" s="96">
        <f>IFERROR(__xludf.DUMMYFUNCTION("""COMPUTED_VALUE"""),16.0)</f>
        <v>16</v>
      </c>
      <c r="B333" s="98">
        <f>IFERROR(__xludf.DUMMYFUNCTION("""COMPUTED_VALUE"""),44085.0)</f>
        <v>44085</v>
      </c>
      <c r="C333" s="96" t="str">
        <f>IFERROR(__xludf.DUMMYFUNCTION("""COMPUTED_VALUE"""),"BOSURU  BOSURU")</f>
        <v>BOSURU  BOSURU</v>
      </c>
      <c r="D333" s="96" t="str">
        <f>IFERROR(__xludf.DUMMYFUNCTION("""COMPUTED_VALUE"""),"BOSURU  BOSURU16")</f>
        <v>BOSURU  BOSURU16</v>
      </c>
      <c r="E333" s="96"/>
      <c r="F333" s="96"/>
      <c r="G333" s="96"/>
      <c r="H333" s="96"/>
      <c r="I333" s="96"/>
      <c r="J333" s="96"/>
      <c r="K333" s="96">
        <f>IFERROR(__xludf.DUMMYFUNCTION("""COMPUTED_VALUE"""),500000.0)</f>
        <v>500000</v>
      </c>
      <c r="L333" s="99">
        <f>IFERROR(__xludf.DUMMYFUNCTION("""COMPUTED_VALUE"""),500000.0)</f>
        <v>500000</v>
      </c>
      <c r="M333" s="96"/>
      <c r="N333" s="96">
        <f>IFERROR(__xludf.DUMMYFUNCTION("""COMPUTED_VALUE"""),0.0)</f>
        <v>0</v>
      </c>
      <c r="O333" s="96">
        <f>IFERROR(__xludf.DUMMYFUNCTION("""COMPUTED_VALUE"""),0.0)</f>
        <v>0</v>
      </c>
      <c r="P333" s="96">
        <f>IFERROR(__xludf.DUMMYFUNCTION("""COMPUTED_VALUE"""),0.0)</f>
        <v>0</v>
      </c>
      <c r="Q333" s="129">
        <f>IFERROR(__xludf.DUMMYFUNCTION("""COMPUTED_VALUE"""),0.0)</f>
        <v>0</v>
      </c>
      <c r="R333" s="99"/>
      <c r="S333" s="99">
        <f>IFERROR(__xludf.DUMMYFUNCTION("""COMPUTED_VALUE"""),1499700.0)</f>
        <v>1499700</v>
      </c>
    </row>
    <row r="334">
      <c r="A334" s="96">
        <f>IFERROR(__xludf.DUMMYFUNCTION("""COMPUTED_VALUE"""),12.0)</f>
        <v>12</v>
      </c>
      <c r="B334" s="98">
        <f>IFERROR(__xludf.DUMMYFUNCTION("""COMPUTED_VALUE"""),44085.0)</f>
        <v>44085</v>
      </c>
      <c r="C334" s="96" t="str">
        <f>IFERROR(__xludf.DUMMYFUNCTION("""COMPUTED_VALUE""")," MAXWELL AGRO")</f>
        <v> MAXWELL AGRO</v>
      </c>
      <c r="D334" s="96" t="str">
        <f>IFERROR(__xludf.DUMMYFUNCTION("""COMPUTED_VALUE""")," MAXWELL AGRO12")</f>
        <v> MAXWELL AGRO12</v>
      </c>
      <c r="E334" s="96"/>
      <c r="F334" s="96"/>
      <c r="G334" s="96"/>
      <c r="H334" s="96"/>
      <c r="I334" s="96"/>
      <c r="J334" s="96"/>
      <c r="K334" s="96">
        <f>IFERROR(__xludf.DUMMYFUNCTION("""COMPUTED_VALUE"""),192580.0)</f>
        <v>192580</v>
      </c>
      <c r="L334" s="99">
        <f>IFERROR(__xludf.DUMMYFUNCTION("""COMPUTED_VALUE"""),192580.0)</f>
        <v>192580</v>
      </c>
      <c r="M334" s="96"/>
      <c r="N334" s="96">
        <f>IFERROR(__xludf.DUMMYFUNCTION("""COMPUTED_VALUE"""),0.0)</f>
        <v>0</v>
      </c>
      <c r="O334" s="96">
        <f>IFERROR(__xludf.DUMMYFUNCTION("""COMPUTED_VALUE"""),0.0)</f>
        <v>0</v>
      </c>
      <c r="P334" s="96">
        <f>IFERROR(__xludf.DUMMYFUNCTION("""COMPUTED_VALUE"""),0.0)</f>
        <v>0</v>
      </c>
      <c r="Q334" s="129">
        <f>IFERROR(__xludf.DUMMYFUNCTION("""COMPUTED_VALUE"""),0.0)</f>
        <v>0</v>
      </c>
      <c r="R334" s="99"/>
      <c r="S334" s="99">
        <f>IFERROR(__xludf.DUMMYFUNCTION("""COMPUTED_VALUE"""),500000.0)</f>
        <v>500000</v>
      </c>
    </row>
    <row r="335">
      <c r="A335" s="96">
        <f>IFERROR(__xludf.DUMMYFUNCTION("""COMPUTED_VALUE"""),5.0)</f>
        <v>5</v>
      </c>
      <c r="B335" s="98">
        <f>IFERROR(__xludf.DUMMYFUNCTION("""COMPUTED_VALUE"""),44085.0)</f>
        <v>44085</v>
      </c>
      <c r="C335" s="96" t="str">
        <f>IFERROR(__xludf.DUMMYFUNCTION("""COMPUTED_VALUE"""),"NDOMA NDOMA")</f>
        <v>NDOMA NDOMA</v>
      </c>
      <c r="D335" s="96" t="str">
        <f>IFERROR(__xludf.DUMMYFUNCTION("""COMPUTED_VALUE"""),"NDOMA NDOMA5")</f>
        <v>NDOMA NDOMA5</v>
      </c>
      <c r="E335" s="96"/>
      <c r="F335" s="96"/>
      <c r="G335" s="96"/>
      <c r="H335" s="96"/>
      <c r="I335" s="96"/>
      <c r="J335" s="96"/>
      <c r="K335" s="96">
        <f>IFERROR(__xludf.DUMMYFUNCTION("""COMPUTED_VALUE"""),790000.0)</f>
        <v>790000</v>
      </c>
      <c r="L335" s="99">
        <f>IFERROR(__xludf.DUMMYFUNCTION("""COMPUTED_VALUE"""),790000.0)</f>
        <v>790000</v>
      </c>
      <c r="M335" s="96"/>
      <c r="N335" s="96">
        <f>IFERROR(__xludf.DUMMYFUNCTION("""COMPUTED_VALUE"""),0.0)</f>
        <v>0</v>
      </c>
      <c r="O335" s="96">
        <f>IFERROR(__xludf.DUMMYFUNCTION("""COMPUTED_VALUE"""),0.0)</f>
        <v>0</v>
      </c>
      <c r="P335" s="96">
        <f>IFERROR(__xludf.DUMMYFUNCTION("""COMPUTED_VALUE"""),0.0)</f>
        <v>0</v>
      </c>
      <c r="Q335" s="129">
        <f>IFERROR(__xludf.DUMMYFUNCTION("""COMPUTED_VALUE"""),0.0)</f>
        <v>0</v>
      </c>
      <c r="R335" s="99"/>
      <c r="S335" s="99">
        <f>IFERROR(__xludf.DUMMYFUNCTION("""COMPUTED_VALUE"""),990000.0)</f>
        <v>990000</v>
      </c>
    </row>
    <row r="336">
      <c r="A336" s="96">
        <f>IFERROR(__xludf.DUMMYFUNCTION("""COMPUTED_VALUE"""),6.0)</f>
        <v>6</v>
      </c>
      <c r="B336" s="98">
        <f>IFERROR(__xludf.DUMMYFUNCTION("""COMPUTED_VALUE"""),44085.0)</f>
        <v>44085</v>
      </c>
      <c r="C336" s="96" t="str">
        <f>IFERROR(__xludf.DUMMYFUNCTION("""COMPUTED_VALUE"""),"AUGUSTINE IGBA")</f>
        <v>AUGUSTINE IGBA</v>
      </c>
      <c r="D336" s="96" t="str">
        <f>IFERROR(__xludf.DUMMYFUNCTION("""COMPUTED_VALUE"""),"AUGUSTINE IGBA6")</f>
        <v>AUGUSTINE IGBA6</v>
      </c>
      <c r="E336" s="96"/>
      <c r="F336" s="96"/>
      <c r="G336" s="96"/>
      <c r="H336" s="96"/>
      <c r="I336" s="96"/>
      <c r="J336" s="96"/>
      <c r="K336" s="96">
        <f>IFERROR(__xludf.DUMMYFUNCTION("""COMPUTED_VALUE"""),3000000.0)</f>
        <v>3000000</v>
      </c>
      <c r="L336" s="99">
        <f>IFERROR(__xludf.DUMMYFUNCTION("""COMPUTED_VALUE"""),3000000.0)</f>
        <v>3000000</v>
      </c>
      <c r="M336" s="96"/>
      <c r="N336" s="96">
        <f>IFERROR(__xludf.DUMMYFUNCTION("""COMPUTED_VALUE"""),0.0)</f>
        <v>0</v>
      </c>
      <c r="O336" s="96">
        <f>IFERROR(__xludf.DUMMYFUNCTION("""COMPUTED_VALUE"""),0.0)</f>
        <v>0</v>
      </c>
      <c r="P336" s="96">
        <f>IFERROR(__xludf.DUMMYFUNCTION("""COMPUTED_VALUE"""),0.0)</f>
        <v>0</v>
      </c>
      <c r="Q336" s="129">
        <f>IFERROR(__xludf.DUMMYFUNCTION("""COMPUTED_VALUE"""),0.0)</f>
        <v>0</v>
      </c>
      <c r="R336" s="99"/>
      <c r="S336" s="99">
        <f>IFERROR(__xludf.DUMMYFUNCTION("""COMPUTED_VALUE"""),2.713414E7)</f>
        <v>27134140</v>
      </c>
    </row>
    <row r="337">
      <c r="A337" s="96">
        <f>IFERROR(__xludf.DUMMYFUNCTION("""COMPUTED_VALUE"""),3.0)</f>
        <v>3</v>
      </c>
      <c r="B337" s="98">
        <f>IFERROR(__xludf.DUMMYFUNCTION("""COMPUTED_VALUE"""),44085.0)</f>
        <v>44085</v>
      </c>
      <c r="C337" s="96" t="str">
        <f>IFERROR(__xludf.DUMMYFUNCTION("""COMPUTED_VALUE"""),"PAPA AJASCO BETTE")</f>
        <v>PAPA AJASCO BETTE</v>
      </c>
      <c r="D337" s="96" t="str">
        <f>IFERROR(__xludf.DUMMYFUNCTION("""COMPUTED_VALUE"""),"PAPA AJASCO BETTE3")</f>
        <v>PAPA AJASCO BETTE3</v>
      </c>
      <c r="E337" s="96"/>
      <c r="F337" s="96"/>
      <c r="G337" s="96"/>
      <c r="H337" s="96"/>
      <c r="I337" s="96"/>
      <c r="J337" s="96"/>
      <c r="K337" s="96">
        <f>IFERROR(__xludf.DUMMYFUNCTION("""COMPUTED_VALUE"""),160000.0)</f>
        <v>160000</v>
      </c>
      <c r="L337" s="99">
        <f>IFERROR(__xludf.DUMMYFUNCTION("""COMPUTED_VALUE"""),160000.0)</f>
        <v>160000</v>
      </c>
      <c r="M337" s="96"/>
      <c r="N337" s="96">
        <f>IFERROR(__xludf.DUMMYFUNCTION("""COMPUTED_VALUE"""),0.0)</f>
        <v>0</v>
      </c>
      <c r="O337" s="96">
        <f>IFERROR(__xludf.DUMMYFUNCTION("""COMPUTED_VALUE"""),0.0)</f>
        <v>0</v>
      </c>
      <c r="P337" s="96">
        <f>IFERROR(__xludf.DUMMYFUNCTION("""COMPUTED_VALUE"""),0.0)</f>
        <v>0</v>
      </c>
      <c r="Q337" s="129">
        <f>IFERROR(__xludf.DUMMYFUNCTION("""COMPUTED_VALUE"""),0.0)</f>
        <v>0</v>
      </c>
      <c r="R337" s="99"/>
      <c r="S337" s="99">
        <f>IFERROR(__xludf.DUMMYFUNCTION("""COMPUTED_VALUE"""),380000.0)</f>
        <v>380000</v>
      </c>
    </row>
    <row r="338">
      <c r="A338" s="96">
        <f>IFERROR(__xludf.DUMMYFUNCTION("""COMPUTED_VALUE"""),5.0)</f>
        <v>5</v>
      </c>
      <c r="B338" s="98">
        <f>IFERROR(__xludf.DUMMYFUNCTION("""COMPUTED_VALUE"""),44085.0)</f>
        <v>44085</v>
      </c>
      <c r="C338" s="96" t="str">
        <f>IFERROR(__xludf.DUMMYFUNCTION("""COMPUTED_VALUE"""),"CONFIDENCE")</f>
        <v>CONFIDENCE</v>
      </c>
      <c r="D338" s="96" t="str">
        <f>IFERROR(__xludf.DUMMYFUNCTION("""COMPUTED_VALUE"""),"CONFIDENCE5")</f>
        <v>CONFIDENCE5</v>
      </c>
      <c r="E338" s="96"/>
      <c r="F338" s="96"/>
      <c r="G338" s="96"/>
      <c r="H338" s="96"/>
      <c r="I338" s="96"/>
      <c r="J338" s="96"/>
      <c r="K338" s="96">
        <f>IFERROR(__xludf.DUMMYFUNCTION("""COMPUTED_VALUE"""),1930000.0)</f>
        <v>1930000</v>
      </c>
      <c r="L338" s="99">
        <f>IFERROR(__xludf.DUMMYFUNCTION("""COMPUTED_VALUE"""),1930000.0)</f>
        <v>1930000</v>
      </c>
      <c r="M338" s="96"/>
      <c r="N338" s="96">
        <f>IFERROR(__xludf.DUMMYFUNCTION("""COMPUTED_VALUE"""),0.0)</f>
        <v>0</v>
      </c>
      <c r="O338" s="96">
        <f>IFERROR(__xludf.DUMMYFUNCTION("""COMPUTED_VALUE"""),0.0)</f>
        <v>0</v>
      </c>
      <c r="P338" s="96">
        <f>IFERROR(__xludf.DUMMYFUNCTION("""COMPUTED_VALUE"""),0.0)</f>
        <v>0</v>
      </c>
      <c r="Q338" s="129">
        <f>IFERROR(__xludf.DUMMYFUNCTION("""COMPUTED_VALUE"""),0.0)</f>
        <v>0</v>
      </c>
      <c r="R338" s="99"/>
      <c r="S338" s="99">
        <f>IFERROR(__xludf.DUMMYFUNCTION("""COMPUTED_VALUE"""),2300000.0)</f>
        <v>2300000</v>
      </c>
    </row>
    <row r="339">
      <c r="A339" s="96">
        <f>IFERROR(__xludf.DUMMYFUNCTION("""COMPUTED_VALUE"""),12.0)</f>
        <v>12</v>
      </c>
      <c r="B339" s="98">
        <f>IFERROR(__xludf.DUMMYFUNCTION("""COMPUTED_VALUE"""),44085.0)</f>
        <v>44085</v>
      </c>
      <c r="C339" s="96" t="str">
        <f>IFERROR(__xludf.DUMMYFUNCTION("""COMPUTED_VALUE"""),"EDWARD OKO")</f>
        <v>EDWARD OKO</v>
      </c>
      <c r="D339" s="96" t="str">
        <f>IFERROR(__xludf.DUMMYFUNCTION("""COMPUTED_VALUE"""),"EDWARD OKO12")</f>
        <v>EDWARD OKO12</v>
      </c>
      <c r="E339" s="96"/>
      <c r="F339" s="96"/>
      <c r="G339" s="96"/>
      <c r="H339" s="96"/>
      <c r="I339" s="96"/>
      <c r="J339" s="96"/>
      <c r="K339" s="96">
        <f>IFERROR(__xludf.DUMMYFUNCTION("""COMPUTED_VALUE"""),9500000.0)</f>
        <v>9500000</v>
      </c>
      <c r="L339" s="99">
        <f>IFERROR(__xludf.DUMMYFUNCTION("""COMPUTED_VALUE"""),9500000.0)</f>
        <v>9500000</v>
      </c>
      <c r="M339" s="96"/>
      <c r="N339" s="96">
        <f>IFERROR(__xludf.DUMMYFUNCTION("""COMPUTED_VALUE"""),0.0)</f>
        <v>0</v>
      </c>
      <c r="O339" s="96">
        <f>IFERROR(__xludf.DUMMYFUNCTION("""COMPUTED_VALUE"""),0.0)</f>
        <v>0</v>
      </c>
      <c r="P339" s="96">
        <f>IFERROR(__xludf.DUMMYFUNCTION("""COMPUTED_VALUE"""),0.0)</f>
        <v>0</v>
      </c>
      <c r="Q339" s="129">
        <f>IFERROR(__xludf.DUMMYFUNCTION("""COMPUTED_VALUE"""),0.0)</f>
        <v>0</v>
      </c>
      <c r="R339" s="99"/>
      <c r="S339" s="99">
        <f>IFERROR(__xludf.DUMMYFUNCTION("""COMPUTED_VALUE"""),4883490.0)</f>
        <v>4883490</v>
      </c>
    </row>
    <row r="340">
      <c r="A340" s="96">
        <f>IFERROR(__xludf.DUMMYFUNCTION("""COMPUTED_VALUE"""),3.0)</f>
        <v>3</v>
      </c>
      <c r="B340" s="98">
        <f>IFERROR(__xludf.DUMMYFUNCTION("""COMPUTED_VALUE"""),44085.0)</f>
        <v>44085</v>
      </c>
      <c r="C340" s="96" t="str">
        <f>IFERROR(__xludf.DUMMYFUNCTION("""COMPUTED_VALUE"""),"FRANCIS KEIBO")</f>
        <v>FRANCIS KEIBO</v>
      </c>
      <c r="D340" s="96" t="str">
        <f>IFERROR(__xludf.DUMMYFUNCTION("""COMPUTED_VALUE"""),"FRANCIS KEIBO3")</f>
        <v>FRANCIS KEIBO3</v>
      </c>
      <c r="E340" s="96"/>
      <c r="F340" s="96"/>
      <c r="G340" s="96"/>
      <c r="H340" s="96"/>
      <c r="I340" s="96"/>
      <c r="J340" s="96"/>
      <c r="K340" s="96">
        <f>IFERROR(__xludf.DUMMYFUNCTION("""COMPUTED_VALUE"""),100000.0)</f>
        <v>100000</v>
      </c>
      <c r="L340" s="99">
        <f>IFERROR(__xludf.DUMMYFUNCTION("""COMPUTED_VALUE"""),100000.0)</f>
        <v>100000</v>
      </c>
      <c r="M340" s="96"/>
      <c r="N340" s="96">
        <f>IFERROR(__xludf.DUMMYFUNCTION("""COMPUTED_VALUE"""),0.0)</f>
        <v>0</v>
      </c>
      <c r="O340" s="96">
        <f>IFERROR(__xludf.DUMMYFUNCTION("""COMPUTED_VALUE"""),0.0)</f>
        <v>0</v>
      </c>
      <c r="P340" s="96">
        <f>IFERROR(__xludf.DUMMYFUNCTION("""COMPUTED_VALUE"""),0.0)</f>
        <v>0</v>
      </c>
      <c r="Q340" s="129">
        <f>IFERROR(__xludf.DUMMYFUNCTION("""COMPUTED_VALUE"""),0.0)</f>
        <v>0</v>
      </c>
      <c r="R340" s="99"/>
      <c r="S340" s="99">
        <f>IFERROR(__xludf.DUMMYFUNCTION("""COMPUTED_VALUE"""),587000.0)</f>
        <v>587000</v>
      </c>
    </row>
    <row r="341">
      <c r="A341" s="96">
        <f>IFERROR(__xludf.DUMMYFUNCTION("""COMPUTED_VALUE"""),2.0)</f>
        <v>2</v>
      </c>
      <c r="B341" s="98">
        <f>IFERROR(__xludf.DUMMYFUNCTION("""COMPUTED_VALUE"""),44085.0)</f>
        <v>44085</v>
      </c>
      <c r="C341" s="96" t="str">
        <f>IFERROR(__xludf.DUMMYFUNCTION("""COMPUTED_VALUE"""),"AGEGE BOY")</f>
        <v>AGEGE BOY</v>
      </c>
      <c r="D341" s="96" t="str">
        <f>IFERROR(__xludf.DUMMYFUNCTION("""COMPUTED_VALUE"""),"AGEGE BOY2")</f>
        <v>AGEGE BOY2</v>
      </c>
      <c r="E341" s="96"/>
      <c r="F341" s="96"/>
      <c r="G341" s="96"/>
      <c r="H341" s="96"/>
      <c r="I341" s="96"/>
      <c r="J341" s="96"/>
      <c r="K341" s="96">
        <f>IFERROR(__xludf.DUMMYFUNCTION("""COMPUTED_VALUE"""),311280.0)</f>
        <v>311280</v>
      </c>
      <c r="L341" s="99">
        <f>IFERROR(__xludf.DUMMYFUNCTION("""COMPUTED_VALUE"""),311280.0)</f>
        <v>311280</v>
      </c>
      <c r="M341" s="96"/>
      <c r="N341" s="96">
        <f>IFERROR(__xludf.DUMMYFUNCTION("""COMPUTED_VALUE"""),0.0)</f>
        <v>0</v>
      </c>
      <c r="O341" s="96">
        <f>IFERROR(__xludf.DUMMYFUNCTION("""COMPUTED_VALUE"""),0.0)</f>
        <v>0</v>
      </c>
      <c r="P341" s="96">
        <f>IFERROR(__xludf.DUMMYFUNCTION("""COMPUTED_VALUE"""),0.0)</f>
        <v>0</v>
      </c>
      <c r="Q341" s="129">
        <f>IFERROR(__xludf.DUMMYFUNCTION("""COMPUTED_VALUE"""),0.0)</f>
        <v>0</v>
      </c>
      <c r="R341" s="99"/>
      <c r="S341" s="99">
        <f>IFERROR(__xludf.DUMMYFUNCTION("""COMPUTED_VALUE"""),611280.0)</f>
        <v>611280</v>
      </c>
    </row>
    <row r="342">
      <c r="A342" s="96">
        <f>IFERROR(__xludf.DUMMYFUNCTION("""COMPUTED_VALUE"""),2.0)</f>
        <v>2</v>
      </c>
      <c r="B342" s="98">
        <f>IFERROR(__xludf.DUMMYFUNCTION("""COMPUTED_VALUE"""),44085.0)</f>
        <v>44085</v>
      </c>
      <c r="C342" s="96" t="str">
        <f>IFERROR(__xludf.DUMMYFUNCTION("""COMPUTED_VALUE"""),"MATIAT REINA")</f>
        <v>MATIAT REINA</v>
      </c>
      <c r="D342" s="96" t="str">
        <f>IFERROR(__xludf.DUMMYFUNCTION("""COMPUTED_VALUE"""),"MATIAT REINA2")</f>
        <v>MATIAT REINA2</v>
      </c>
      <c r="E342" s="96"/>
      <c r="F342" s="96"/>
      <c r="G342" s="96"/>
      <c r="H342" s="96"/>
      <c r="I342" s="96"/>
      <c r="J342" s="96"/>
      <c r="K342" s="96">
        <f>IFERROR(__xludf.DUMMYFUNCTION("""COMPUTED_VALUE"""),50000.0)</f>
        <v>50000</v>
      </c>
      <c r="L342" s="99">
        <f>IFERROR(__xludf.DUMMYFUNCTION("""COMPUTED_VALUE"""),50000.0)</f>
        <v>50000</v>
      </c>
      <c r="M342" s="96"/>
      <c r="N342" s="96">
        <f>IFERROR(__xludf.DUMMYFUNCTION("""COMPUTED_VALUE"""),0.0)</f>
        <v>0</v>
      </c>
      <c r="O342" s="96">
        <f>IFERROR(__xludf.DUMMYFUNCTION("""COMPUTED_VALUE"""),0.0)</f>
        <v>0</v>
      </c>
      <c r="P342" s="96">
        <f>IFERROR(__xludf.DUMMYFUNCTION("""COMPUTED_VALUE"""),0.0)</f>
        <v>0</v>
      </c>
      <c r="Q342" s="129">
        <f>IFERROR(__xludf.DUMMYFUNCTION("""COMPUTED_VALUE"""),0.0)</f>
        <v>0</v>
      </c>
      <c r="R342" s="99"/>
      <c r="S342" s="99">
        <f>IFERROR(__xludf.DUMMYFUNCTION("""COMPUTED_VALUE"""),250000.0)</f>
        <v>250000</v>
      </c>
    </row>
    <row r="343">
      <c r="A343" s="96">
        <f>IFERROR(__xludf.DUMMYFUNCTION("""COMPUTED_VALUE"""),2.0)</f>
        <v>2</v>
      </c>
      <c r="B343" s="98">
        <f>IFERROR(__xludf.DUMMYFUNCTION("""COMPUTED_VALUE"""),44085.0)</f>
        <v>44085</v>
      </c>
      <c r="C343" s="96" t="str">
        <f>IFERROR(__xludf.DUMMYFUNCTION("""COMPUTED_VALUE"""),"OSIM MARIAM")</f>
        <v>OSIM MARIAM</v>
      </c>
      <c r="D343" s="96" t="str">
        <f>IFERROR(__xludf.DUMMYFUNCTION("""COMPUTED_VALUE"""),"OSIM MARIAM2")</f>
        <v>OSIM MARIAM2</v>
      </c>
      <c r="E343" s="96"/>
      <c r="F343" s="96"/>
      <c r="G343" s="96"/>
      <c r="H343" s="96"/>
      <c r="I343" s="96"/>
      <c r="J343" s="96"/>
      <c r="K343" s="96">
        <f>IFERROR(__xludf.DUMMYFUNCTION("""COMPUTED_VALUE"""),250000.0)</f>
        <v>250000</v>
      </c>
      <c r="L343" s="99">
        <f>IFERROR(__xludf.DUMMYFUNCTION("""COMPUTED_VALUE"""),250000.0)</f>
        <v>250000</v>
      </c>
      <c r="M343" s="96"/>
      <c r="N343" s="96">
        <f>IFERROR(__xludf.DUMMYFUNCTION("""COMPUTED_VALUE"""),0.0)</f>
        <v>0</v>
      </c>
      <c r="O343" s="96">
        <f>IFERROR(__xludf.DUMMYFUNCTION("""COMPUTED_VALUE"""),0.0)</f>
        <v>0</v>
      </c>
      <c r="P343" s="96">
        <f>IFERROR(__xludf.DUMMYFUNCTION("""COMPUTED_VALUE"""),0.0)</f>
        <v>0</v>
      </c>
      <c r="Q343" s="129">
        <f>IFERROR(__xludf.DUMMYFUNCTION("""COMPUTED_VALUE"""),0.0)</f>
        <v>0</v>
      </c>
      <c r="R343" s="99"/>
      <c r="S343" s="99">
        <f>IFERROR(__xludf.DUMMYFUNCTION("""COMPUTED_VALUE"""),650000.0)</f>
        <v>650000</v>
      </c>
    </row>
    <row r="344">
      <c r="A344" s="96">
        <f>IFERROR(__xludf.DUMMYFUNCTION("""COMPUTED_VALUE"""),4.0)</f>
        <v>4</v>
      </c>
      <c r="B344" s="98">
        <f>IFERROR(__xludf.DUMMYFUNCTION("""COMPUTED_VALUE"""),44085.0)</f>
        <v>44085</v>
      </c>
      <c r="C344" s="96" t="str">
        <f>IFERROR(__xludf.DUMMYFUNCTION("""COMPUTED_VALUE"""),"PRINNESS")</f>
        <v>PRINNESS</v>
      </c>
      <c r="D344" s="96" t="str">
        <f>IFERROR(__xludf.DUMMYFUNCTION("""COMPUTED_VALUE"""),"PRINNESS4")</f>
        <v>PRINNESS4</v>
      </c>
      <c r="E344" s="96"/>
      <c r="F344" s="96"/>
      <c r="G344" s="96"/>
      <c r="H344" s="96"/>
      <c r="I344" s="96"/>
      <c r="J344" s="96"/>
      <c r="K344" s="96">
        <f>IFERROR(__xludf.DUMMYFUNCTION("""COMPUTED_VALUE"""),400000.0)</f>
        <v>400000</v>
      </c>
      <c r="L344" s="99">
        <f>IFERROR(__xludf.DUMMYFUNCTION("""COMPUTED_VALUE"""),400000.0)</f>
        <v>400000</v>
      </c>
      <c r="M344" s="96"/>
      <c r="N344" s="96">
        <f>IFERROR(__xludf.DUMMYFUNCTION("""COMPUTED_VALUE"""),0.0)</f>
        <v>0</v>
      </c>
      <c r="O344" s="96">
        <f>IFERROR(__xludf.DUMMYFUNCTION("""COMPUTED_VALUE"""),0.0)</f>
        <v>0</v>
      </c>
      <c r="P344" s="96">
        <f>IFERROR(__xludf.DUMMYFUNCTION("""COMPUTED_VALUE"""),0.0)</f>
        <v>0</v>
      </c>
      <c r="Q344" s="129">
        <f>IFERROR(__xludf.DUMMYFUNCTION("""COMPUTED_VALUE"""),0.0)</f>
        <v>0</v>
      </c>
      <c r="R344" s="99"/>
      <c r="S344" s="99">
        <f>IFERROR(__xludf.DUMMYFUNCTION("""COMPUTED_VALUE"""),814980.0)</f>
        <v>814980</v>
      </c>
    </row>
    <row r="345">
      <c r="A345" s="96">
        <f>IFERROR(__xludf.DUMMYFUNCTION("""COMPUTED_VALUE"""),1.0)</f>
        <v>1</v>
      </c>
      <c r="B345" s="98">
        <f>IFERROR(__xludf.DUMMYFUNCTION("""COMPUTED_VALUE"""),44085.0)</f>
        <v>44085</v>
      </c>
      <c r="C345" s="96" t="str">
        <f>IFERROR(__xludf.DUMMYFUNCTION("""COMPUTED_VALUE"""),"MALACHY")</f>
        <v>MALACHY</v>
      </c>
      <c r="D345" s="96" t="str">
        <f>IFERROR(__xludf.DUMMYFUNCTION("""COMPUTED_VALUE"""),"MALACHY1")</f>
        <v>MALACHY1</v>
      </c>
      <c r="E345" s="96"/>
      <c r="F345" s="96"/>
      <c r="G345" s="96"/>
      <c r="H345" s="96"/>
      <c r="I345" s="96"/>
      <c r="J345" s="96"/>
      <c r="K345" s="96">
        <f>IFERROR(__xludf.DUMMYFUNCTION("""COMPUTED_VALUE"""),100000.0)</f>
        <v>100000</v>
      </c>
      <c r="L345" s="99">
        <f>IFERROR(__xludf.DUMMYFUNCTION("""COMPUTED_VALUE"""),100000.0)</f>
        <v>100000</v>
      </c>
      <c r="M345" s="96"/>
      <c r="N345" s="96">
        <f>IFERROR(__xludf.DUMMYFUNCTION("""COMPUTED_VALUE"""),0.0)</f>
        <v>0</v>
      </c>
      <c r="O345" s="96">
        <f>IFERROR(__xludf.DUMMYFUNCTION("""COMPUTED_VALUE"""),0.0)</f>
        <v>0</v>
      </c>
      <c r="P345" s="96">
        <f>IFERROR(__xludf.DUMMYFUNCTION("""COMPUTED_VALUE"""),0.0)</f>
        <v>0</v>
      </c>
      <c r="Q345" s="129">
        <f>IFERROR(__xludf.DUMMYFUNCTION("""COMPUTED_VALUE"""),0.0)</f>
        <v>0</v>
      </c>
      <c r="R345" s="99"/>
      <c r="S345" s="99">
        <f>IFERROR(__xludf.DUMMYFUNCTION("""COMPUTED_VALUE"""),100000.0)</f>
        <v>100000</v>
      </c>
    </row>
    <row r="346">
      <c r="A346" s="96">
        <f>IFERROR(__xludf.DUMMYFUNCTION("""COMPUTED_VALUE"""),11.0)</f>
        <v>11</v>
      </c>
      <c r="B346" s="98">
        <f>IFERROR(__xludf.DUMMYFUNCTION("""COMPUTED_VALUE"""),44085.0)</f>
        <v>44085</v>
      </c>
      <c r="C346" s="96" t="str">
        <f>IFERROR(__xludf.DUMMYFUNCTION("""COMPUTED_VALUE"""),"ETUK EFFI")</f>
        <v>ETUK EFFI</v>
      </c>
      <c r="D346" s="96" t="str">
        <f>IFERROR(__xludf.DUMMYFUNCTION("""COMPUTED_VALUE"""),"ETUK EFFI11")</f>
        <v>ETUK EFFI11</v>
      </c>
      <c r="E346" s="96"/>
      <c r="F346" s="96"/>
      <c r="G346" s="96"/>
      <c r="H346" s="96"/>
      <c r="I346" s="96"/>
      <c r="J346" s="96"/>
      <c r="K346" s="96">
        <f>IFERROR(__xludf.DUMMYFUNCTION("""COMPUTED_VALUE"""),1281400.0)</f>
        <v>1281400</v>
      </c>
      <c r="L346" s="99">
        <f>IFERROR(__xludf.DUMMYFUNCTION("""COMPUTED_VALUE"""),1281400.0)</f>
        <v>1281400</v>
      </c>
      <c r="M346" s="96"/>
      <c r="N346" s="96">
        <f>IFERROR(__xludf.DUMMYFUNCTION("""COMPUTED_VALUE"""),0.0)</f>
        <v>0</v>
      </c>
      <c r="O346" s="96">
        <f>IFERROR(__xludf.DUMMYFUNCTION("""COMPUTED_VALUE"""),0.0)</f>
        <v>0</v>
      </c>
      <c r="P346" s="96">
        <f>IFERROR(__xludf.DUMMYFUNCTION("""COMPUTED_VALUE"""),0.0)</f>
        <v>0</v>
      </c>
      <c r="Q346" s="129">
        <f>IFERROR(__xludf.DUMMYFUNCTION("""COMPUTED_VALUE"""),0.0)</f>
        <v>0</v>
      </c>
      <c r="R346" s="99"/>
      <c r="S346" s="99">
        <f>IFERROR(__xludf.DUMMYFUNCTION("""COMPUTED_VALUE"""),2781400.0)</f>
        <v>2781400</v>
      </c>
    </row>
    <row r="347">
      <c r="A347" s="96">
        <f>IFERROR(__xludf.DUMMYFUNCTION("""COMPUTED_VALUE"""),2.0)</f>
        <v>2</v>
      </c>
      <c r="B347" s="98">
        <f>IFERROR(__xludf.DUMMYFUNCTION("""COMPUTED_VALUE"""),44085.0)</f>
        <v>44085</v>
      </c>
      <c r="C347" s="96" t="str">
        <f>IFERROR(__xludf.DUMMYFUNCTION("""COMPUTED_VALUE"""),"CHINWE CHIDI")</f>
        <v>CHINWE CHIDI</v>
      </c>
      <c r="D347" s="96" t="str">
        <f>IFERROR(__xludf.DUMMYFUNCTION("""COMPUTED_VALUE"""),"CHINWE CHIDI2")</f>
        <v>CHINWE CHIDI2</v>
      </c>
      <c r="E347" s="96"/>
      <c r="F347" s="96"/>
      <c r="G347" s="96"/>
      <c r="H347" s="96"/>
      <c r="I347" s="96"/>
      <c r="J347" s="96"/>
      <c r="K347" s="96">
        <f>IFERROR(__xludf.DUMMYFUNCTION("""COMPUTED_VALUE"""),6000.0)</f>
        <v>6000</v>
      </c>
      <c r="L347" s="99">
        <f>IFERROR(__xludf.DUMMYFUNCTION("""COMPUTED_VALUE"""),6000.0)</f>
        <v>6000</v>
      </c>
      <c r="M347" s="96"/>
      <c r="N347" s="96">
        <f>IFERROR(__xludf.DUMMYFUNCTION("""COMPUTED_VALUE"""),0.0)</f>
        <v>0</v>
      </c>
      <c r="O347" s="96">
        <f>IFERROR(__xludf.DUMMYFUNCTION("""COMPUTED_VALUE"""),0.0)</f>
        <v>0</v>
      </c>
      <c r="P347" s="96">
        <f>IFERROR(__xludf.DUMMYFUNCTION("""COMPUTED_VALUE"""),0.0)</f>
        <v>0</v>
      </c>
      <c r="Q347" s="129">
        <f>IFERROR(__xludf.DUMMYFUNCTION("""COMPUTED_VALUE"""),0.0)</f>
        <v>0</v>
      </c>
      <c r="R347" s="99"/>
      <c r="S347" s="99">
        <f>IFERROR(__xludf.DUMMYFUNCTION("""COMPUTED_VALUE"""),106000.0)</f>
        <v>106000</v>
      </c>
    </row>
    <row r="348">
      <c r="A348" s="96">
        <f>IFERROR(__xludf.DUMMYFUNCTION("""COMPUTED_VALUE"""),12.0)</f>
        <v>12</v>
      </c>
      <c r="B348" s="98">
        <f>IFERROR(__xludf.DUMMYFUNCTION("""COMPUTED_VALUE"""),44085.0)</f>
        <v>44085</v>
      </c>
      <c r="C348" s="96" t="str">
        <f>IFERROR(__xludf.DUMMYFUNCTION("""COMPUTED_VALUE"""),"ETUK EFFI")</f>
        <v>ETUK EFFI</v>
      </c>
      <c r="D348" s="96" t="str">
        <f>IFERROR(__xludf.DUMMYFUNCTION("""COMPUTED_VALUE"""),"ETUK EFFI12")</f>
        <v>ETUK EFFI12</v>
      </c>
      <c r="E348" s="96">
        <f>IFERROR(__xludf.DUMMYFUNCTION("""COMPUTED_VALUE"""),1531.0)</f>
        <v>1531</v>
      </c>
      <c r="F348" s="96">
        <f>IFERROR(__xludf.DUMMYFUNCTION("""COMPUTED_VALUE"""),211.0)</f>
        <v>211</v>
      </c>
      <c r="G348" s="96"/>
      <c r="H348" s="96">
        <f>IFERROR(__xludf.DUMMYFUNCTION("""COMPUTED_VALUE"""),23.0)</f>
        <v>23</v>
      </c>
      <c r="I348" s="96"/>
      <c r="J348" s="96">
        <f>IFERROR(__xludf.DUMMYFUNCTION("""COMPUTED_VALUE"""),860.0)</f>
        <v>860</v>
      </c>
      <c r="K348" s="96"/>
      <c r="L348" s="99">
        <f>IFERROR(__xludf.DUMMYFUNCTION("""COMPUTED_VALUE"""),-1281400.0)</f>
        <v>-1281400</v>
      </c>
      <c r="M348" s="96">
        <f>IFERROR(__xludf.DUMMYFUNCTION("""COMPUTED_VALUE"""),9.17)</f>
        <v>9.17</v>
      </c>
      <c r="N348" s="96">
        <f>IFERROR(__xludf.DUMMYFUNCTION("""COMPUTED_VALUE"""),18.0)</f>
        <v>18</v>
      </c>
      <c r="O348" s="96">
        <f>IFERROR(__xludf.DUMMYFUNCTION("""COMPUTED_VALUE"""),23.0)</f>
        <v>23</v>
      </c>
      <c r="P348" s="96">
        <f>IFERROR(__xludf.DUMMYFUNCTION("""COMPUTED_VALUE"""),41.0)</f>
        <v>41</v>
      </c>
      <c r="Q348" s="129">
        <f>IFERROR(__xludf.DUMMYFUNCTION("""COMPUTED_VALUE"""),1490.0)</f>
        <v>1490</v>
      </c>
      <c r="R348" s="99">
        <f>IFERROR(__xludf.DUMMYFUNCTION("""COMPUTED_VALUE"""),1281400.0)</f>
        <v>1281400</v>
      </c>
      <c r="S348" s="99">
        <f>IFERROR(__xludf.DUMMYFUNCTION("""COMPUTED_VALUE"""),1500000.0)</f>
        <v>1500000</v>
      </c>
    </row>
    <row r="349">
      <c r="A349" s="96">
        <f>IFERROR(__xludf.DUMMYFUNCTION("""COMPUTED_VALUE"""),2.0)</f>
        <v>2</v>
      </c>
      <c r="B349" s="98">
        <f>IFERROR(__xludf.DUMMYFUNCTION("""COMPUTED_VALUE"""),44086.0)</f>
        <v>44086</v>
      </c>
      <c r="C349" s="96" t="str">
        <f>IFERROR(__xludf.DUMMYFUNCTION("""COMPUTED_VALUE"""),"ABANG FREDINARD")</f>
        <v>ABANG FREDINARD</v>
      </c>
      <c r="D349" s="96" t="str">
        <f>IFERROR(__xludf.DUMMYFUNCTION("""COMPUTED_VALUE"""),"ABANG FREDINARD2")</f>
        <v>ABANG FREDINARD2</v>
      </c>
      <c r="E349" s="96">
        <f>IFERROR(__xludf.DUMMYFUNCTION("""COMPUTED_VALUE"""),122.0)</f>
        <v>122</v>
      </c>
      <c r="F349" s="96">
        <f>IFERROR(__xludf.DUMMYFUNCTION("""COMPUTED_VALUE"""),16.0)</f>
        <v>16</v>
      </c>
      <c r="G349" s="96"/>
      <c r="H349" s="96">
        <f>IFERROR(__xludf.DUMMYFUNCTION("""COMPUTED_VALUE"""),2.0)</f>
        <v>2</v>
      </c>
      <c r="I349" s="96"/>
      <c r="J349" s="96">
        <f>IFERROR(__xludf.DUMMYFUNCTION("""COMPUTED_VALUE"""),666.67)</f>
        <v>666.67</v>
      </c>
      <c r="K349" s="96"/>
      <c r="L349" s="99">
        <f>IFERROR(__xludf.DUMMYFUNCTION("""COMPUTED_VALUE"""),-80000.0)</f>
        <v>-80000</v>
      </c>
      <c r="M349" s="96">
        <f>IFERROR(__xludf.DUMMYFUNCTION("""COMPUTED_VALUE"""),8.0)</f>
        <v>8</v>
      </c>
      <c r="N349" s="96">
        <f>IFERROR(__xludf.DUMMYFUNCTION("""COMPUTED_VALUE"""),0.0)</f>
        <v>0</v>
      </c>
      <c r="O349" s="96">
        <f>IFERROR(__xludf.DUMMYFUNCTION("""COMPUTED_VALUE"""),1.0)</f>
        <v>1</v>
      </c>
      <c r="P349" s="96">
        <f>IFERROR(__xludf.DUMMYFUNCTION("""COMPUTED_VALUE"""),57.0)</f>
        <v>57</v>
      </c>
      <c r="Q349" s="129">
        <f>IFERROR(__xludf.DUMMYFUNCTION("""COMPUTED_VALUE"""),120.0)</f>
        <v>120</v>
      </c>
      <c r="R349" s="99">
        <f>IFERROR(__xludf.DUMMYFUNCTION("""COMPUTED_VALUE"""),80000.0)</f>
        <v>80000</v>
      </c>
      <c r="S349" s="99">
        <f>IFERROR(__xludf.DUMMYFUNCTION("""COMPUTED_VALUE"""),-50000.0)</f>
        <v>-50000</v>
      </c>
    </row>
    <row r="350">
      <c r="A350" s="96"/>
      <c r="B350" s="98">
        <f>IFERROR(__xludf.DUMMYFUNCTION("""COMPUTED_VALUE"""),44073.0)</f>
        <v>44073</v>
      </c>
      <c r="C350" s="96"/>
      <c r="D350" s="96"/>
      <c r="E350" s="96"/>
      <c r="F350" s="96"/>
      <c r="G350" s="96"/>
      <c r="H350" s="96"/>
      <c r="I350" s="96"/>
      <c r="J350" s="96"/>
      <c r="K350" s="96"/>
      <c r="L350" s="99">
        <f>IFERROR(__xludf.DUMMYFUNCTION("""COMPUTED_VALUE"""),0.0)</f>
        <v>0</v>
      </c>
      <c r="M350" s="96"/>
      <c r="N350" s="96"/>
      <c r="O350" s="96"/>
      <c r="P350" s="96"/>
      <c r="Q350" s="129"/>
      <c r="R350" s="99"/>
      <c r="S350" s="99"/>
    </row>
    <row r="351">
      <c r="A351" s="96">
        <f>IFERROR(__xludf.DUMMYFUNCTION("""COMPUTED_VALUE"""),13.0)</f>
        <v>13</v>
      </c>
      <c r="B351" s="98">
        <f>IFERROR(__xludf.DUMMYFUNCTION("""COMPUTED_VALUE"""),44086.0)</f>
        <v>44086</v>
      </c>
      <c r="C351" s="96" t="str">
        <f>IFERROR(__xludf.DUMMYFUNCTION("""COMPUTED_VALUE""")," MAXWELL AGRO")</f>
        <v> MAXWELL AGRO</v>
      </c>
      <c r="D351" s="96" t="str">
        <f>IFERROR(__xludf.DUMMYFUNCTION("""COMPUTED_VALUE""")," MAXWELL AGRO13")</f>
        <v> MAXWELL AGRO13</v>
      </c>
      <c r="E351" s="96"/>
      <c r="F351" s="96"/>
      <c r="G351" s="96"/>
      <c r="H351" s="96"/>
      <c r="I351" s="96"/>
      <c r="J351" s="96"/>
      <c r="K351" s="96">
        <f>IFERROR(__xludf.DUMMYFUNCTION("""COMPUTED_VALUE"""),100000.0)</f>
        <v>100000</v>
      </c>
      <c r="L351" s="99">
        <f>IFERROR(__xludf.DUMMYFUNCTION("""COMPUTED_VALUE"""),100000.0)</f>
        <v>100000</v>
      </c>
      <c r="M351" s="96"/>
      <c r="N351" s="96">
        <f>IFERROR(__xludf.DUMMYFUNCTION("""COMPUTED_VALUE"""),0.0)</f>
        <v>0</v>
      </c>
      <c r="O351" s="96">
        <f>IFERROR(__xludf.DUMMYFUNCTION("""COMPUTED_VALUE"""),0.0)</f>
        <v>0</v>
      </c>
      <c r="P351" s="96">
        <f>IFERROR(__xludf.DUMMYFUNCTION("""COMPUTED_VALUE"""),0.0)</f>
        <v>0</v>
      </c>
      <c r="Q351" s="129">
        <f>IFERROR(__xludf.DUMMYFUNCTION("""COMPUTED_VALUE"""),0.0)</f>
        <v>0</v>
      </c>
      <c r="R351" s="99"/>
      <c r="S351" s="99">
        <f>IFERROR(__xludf.DUMMYFUNCTION("""COMPUTED_VALUE"""),600000.0)</f>
        <v>600000</v>
      </c>
    </row>
    <row r="352">
      <c r="A352" s="96">
        <f>IFERROR(__xludf.DUMMYFUNCTION("""COMPUTED_VALUE"""),3.0)</f>
        <v>3</v>
      </c>
      <c r="B352" s="98">
        <f>IFERROR(__xludf.DUMMYFUNCTION("""COMPUTED_VALUE"""),44086.0)</f>
        <v>44086</v>
      </c>
      <c r="C352" s="96" t="str">
        <f>IFERROR(__xludf.DUMMYFUNCTION("""COMPUTED_VALUE"""),"ABANG FREDINARD")</f>
        <v>ABANG FREDINARD</v>
      </c>
      <c r="D352" s="96" t="str">
        <f>IFERROR(__xludf.DUMMYFUNCTION("""COMPUTED_VALUE"""),"ABANG FREDINARD3")</f>
        <v>ABANG FREDINARD3</v>
      </c>
      <c r="E352" s="96"/>
      <c r="F352" s="96"/>
      <c r="G352" s="96"/>
      <c r="H352" s="96"/>
      <c r="I352" s="96"/>
      <c r="J352" s="96"/>
      <c r="K352" s="96">
        <f>IFERROR(__xludf.DUMMYFUNCTION("""COMPUTED_VALUE"""),80000.0)</f>
        <v>80000</v>
      </c>
      <c r="L352" s="99">
        <f>IFERROR(__xludf.DUMMYFUNCTION("""COMPUTED_VALUE"""),80000.0)</f>
        <v>80000</v>
      </c>
      <c r="M352" s="96"/>
      <c r="N352" s="96">
        <f>IFERROR(__xludf.DUMMYFUNCTION("""COMPUTED_VALUE"""),0.0)</f>
        <v>0</v>
      </c>
      <c r="O352" s="96">
        <f>IFERROR(__xludf.DUMMYFUNCTION("""COMPUTED_VALUE"""),0.0)</f>
        <v>0</v>
      </c>
      <c r="P352" s="96">
        <f>IFERROR(__xludf.DUMMYFUNCTION("""COMPUTED_VALUE"""),0.0)</f>
        <v>0</v>
      </c>
      <c r="Q352" s="129">
        <f>IFERROR(__xludf.DUMMYFUNCTION("""COMPUTED_VALUE"""),0.0)</f>
        <v>0</v>
      </c>
      <c r="R352" s="99"/>
      <c r="S352" s="99">
        <f>IFERROR(__xludf.DUMMYFUNCTION("""COMPUTED_VALUE"""),30000.0)</f>
        <v>30000</v>
      </c>
    </row>
    <row r="353">
      <c r="A353" s="96">
        <f>IFERROR(__xludf.DUMMYFUNCTION("""COMPUTED_VALUE"""),1.0)</f>
        <v>1</v>
      </c>
      <c r="B353" s="98">
        <f>IFERROR(__xludf.DUMMYFUNCTION("""COMPUTED_VALUE"""),44088.0)</f>
        <v>44088</v>
      </c>
      <c r="C353" s="96" t="str">
        <f>IFERROR(__xludf.DUMMYFUNCTION("""COMPUTED_VALUE"""),"ABANG. AM")</f>
        <v>ABANG. AM</v>
      </c>
      <c r="D353" s="96" t="str">
        <f>IFERROR(__xludf.DUMMYFUNCTION("""COMPUTED_VALUE"""),"ABANG. AM1")</f>
        <v>ABANG. AM1</v>
      </c>
      <c r="E353" s="96"/>
      <c r="F353" s="96"/>
      <c r="G353" s="96"/>
      <c r="H353" s="96"/>
      <c r="I353" s="96"/>
      <c r="J353" s="96"/>
      <c r="K353" s="96">
        <f>IFERROR(__xludf.DUMMYFUNCTION("""COMPUTED_VALUE"""),100000.0)</f>
        <v>100000</v>
      </c>
      <c r="L353" s="99">
        <f>IFERROR(__xludf.DUMMYFUNCTION("""COMPUTED_VALUE"""),100000.0)</f>
        <v>100000</v>
      </c>
      <c r="M353" s="96"/>
      <c r="N353" s="96">
        <f>IFERROR(__xludf.DUMMYFUNCTION("""COMPUTED_VALUE"""),0.0)</f>
        <v>0</v>
      </c>
      <c r="O353" s="96">
        <f>IFERROR(__xludf.DUMMYFUNCTION("""COMPUTED_VALUE"""),0.0)</f>
        <v>0</v>
      </c>
      <c r="P353" s="96">
        <f>IFERROR(__xludf.DUMMYFUNCTION("""COMPUTED_VALUE"""),0.0)</f>
        <v>0</v>
      </c>
      <c r="Q353" s="129">
        <f>IFERROR(__xludf.DUMMYFUNCTION("""COMPUTED_VALUE"""),0.0)</f>
        <v>0</v>
      </c>
      <c r="R353" s="99"/>
      <c r="S353" s="99">
        <f>IFERROR(__xludf.DUMMYFUNCTION("""COMPUTED_VALUE"""),100000.0)</f>
        <v>100000</v>
      </c>
    </row>
    <row r="354">
      <c r="A354" s="96">
        <f>IFERROR(__xludf.DUMMYFUNCTION("""COMPUTED_VALUE"""),8.0)</f>
        <v>8</v>
      </c>
      <c r="B354" s="98">
        <f>IFERROR(__xludf.DUMMYFUNCTION("""COMPUTED_VALUE"""),44088.0)</f>
        <v>44088</v>
      </c>
      <c r="C354" s="96" t="str">
        <f>IFERROR(__xludf.DUMMYFUNCTION("""COMPUTED_VALUE"""),"A. D. FREDERICK")</f>
        <v>A. D. FREDERICK</v>
      </c>
      <c r="D354" s="96" t="str">
        <f>IFERROR(__xludf.DUMMYFUNCTION("""COMPUTED_VALUE"""),"A. D. FREDERICK8")</f>
        <v>A. D. FREDERICK8</v>
      </c>
      <c r="E354" s="96"/>
      <c r="F354" s="96"/>
      <c r="G354" s="96"/>
      <c r="H354" s="96"/>
      <c r="I354" s="96"/>
      <c r="J354" s="96"/>
      <c r="K354" s="96">
        <f>IFERROR(__xludf.DUMMYFUNCTION("""COMPUTED_VALUE"""),200000.0)</f>
        <v>200000</v>
      </c>
      <c r="L354" s="99">
        <f>IFERROR(__xludf.DUMMYFUNCTION("""COMPUTED_VALUE"""),200000.0)</f>
        <v>200000</v>
      </c>
      <c r="M354" s="96"/>
      <c r="N354" s="96">
        <f>IFERROR(__xludf.DUMMYFUNCTION("""COMPUTED_VALUE"""),0.0)</f>
        <v>0</v>
      </c>
      <c r="O354" s="96">
        <f>IFERROR(__xludf.DUMMYFUNCTION("""COMPUTED_VALUE"""),0.0)</f>
        <v>0</v>
      </c>
      <c r="P354" s="96">
        <f>IFERROR(__xludf.DUMMYFUNCTION("""COMPUTED_VALUE"""),0.0)</f>
        <v>0</v>
      </c>
      <c r="Q354" s="129">
        <f>IFERROR(__xludf.DUMMYFUNCTION("""COMPUTED_VALUE"""),0.0)</f>
        <v>0</v>
      </c>
      <c r="R354" s="99"/>
      <c r="S354" s="99">
        <f>IFERROR(__xludf.DUMMYFUNCTION("""COMPUTED_VALUE"""),1443410.0)</f>
        <v>1443410</v>
      </c>
    </row>
    <row r="355">
      <c r="A355" s="96">
        <f>IFERROR(__xludf.DUMMYFUNCTION("""COMPUTED_VALUE"""),1.0)</f>
        <v>1</v>
      </c>
      <c r="B355" s="98">
        <f>IFERROR(__xludf.DUMMYFUNCTION("""COMPUTED_VALUE"""),44088.0)</f>
        <v>44088</v>
      </c>
      <c r="C355" s="96" t="str">
        <f>IFERROR(__xludf.DUMMYFUNCTION("""COMPUTED_VALUE"""),"FREDERICK")</f>
        <v>FREDERICK</v>
      </c>
      <c r="D355" s="96" t="str">
        <f>IFERROR(__xludf.DUMMYFUNCTION("""COMPUTED_VALUE"""),"FREDERICK1")</f>
        <v>FREDERICK1</v>
      </c>
      <c r="E355" s="96"/>
      <c r="F355" s="96"/>
      <c r="G355" s="96"/>
      <c r="H355" s="96"/>
      <c r="I355" s="96"/>
      <c r="J355" s="96"/>
      <c r="K355" s="96">
        <f>IFERROR(__xludf.DUMMYFUNCTION("""COMPUTED_VALUE"""),50000.0)</f>
        <v>50000</v>
      </c>
      <c r="L355" s="99">
        <f>IFERROR(__xludf.DUMMYFUNCTION("""COMPUTED_VALUE"""),50000.0)</f>
        <v>50000</v>
      </c>
      <c r="M355" s="96"/>
      <c r="N355" s="96">
        <f>IFERROR(__xludf.DUMMYFUNCTION("""COMPUTED_VALUE"""),0.0)</f>
        <v>0</v>
      </c>
      <c r="O355" s="96">
        <f>IFERROR(__xludf.DUMMYFUNCTION("""COMPUTED_VALUE"""),0.0)</f>
        <v>0</v>
      </c>
      <c r="P355" s="96">
        <f>IFERROR(__xludf.DUMMYFUNCTION("""COMPUTED_VALUE"""),0.0)</f>
        <v>0</v>
      </c>
      <c r="Q355" s="129">
        <f>IFERROR(__xludf.DUMMYFUNCTION("""COMPUTED_VALUE"""),0.0)</f>
        <v>0</v>
      </c>
      <c r="R355" s="99"/>
      <c r="S355" s="99">
        <f>IFERROR(__xludf.DUMMYFUNCTION("""COMPUTED_VALUE"""),50000.0)</f>
        <v>50000</v>
      </c>
    </row>
    <row r="356">
      <c r="A356" s="96">
        <f>IFERROR(__xludf.DUMMYFUNCTION("""COMPUTED_VALUE"""),3.0)</f>
        <v>3</v>
      </c>
      <c r="B356" s="98">
        <f>IFERROR(__xludf.DUMMYFUNCTION("""COMPUTED_VALUE"""),44088.0)</f>
        <v>44088</v>
      </c>
      <c r="C356" s="96" t="str">
        <f>IFERROR(__xludf.DUMMYFUNCTION("""COMPUTED_VALUE"""),"AGEGE BOY")</f>
        <v>AGEGE BOY</v>
      </c>
      <c r="D356" s="96" t="str">
        <f>IFERROR(__xludf.DUMMYFUNCTION("""COMPUTED_VALUE"""),"AGEGE BOY3")</f>
        <v>AGEGE BOY3</v>
      </c>
      <c r="E356" s="96"/>
      <c r="F356" s="96"/>
      <c r="G356" s="96"/>
      <c r="H356" s="96"/>
      <c r="I356" s="96"/>
      <c r="J356" s="96"/>
      <c r="K356" s="96">
        <f>IFERROR(__xludf.DUMMYFUNCTION("""COMPUTED_VALUE"""),3000.0)</f>
        <v>3000</v>
      </c>
      <c r="L356" s="99">
        <f>IFERROR(__xludf.DUMMYFUNCTION("""COMPUTED_VALUE"""),3000.0)</f>
        <v>3000</v>
      </c>
      <c r="M356" s="96"/>
      <c r="N356" s="96">
        <f>IFERROR(__xludf.DUMMYFUNCTION("""COMPUTED_VALUE"""),0.0)</f>
        <v>0</v>
      </c>
      <c r="O356" s="96">
        <f>IFERROR(__xludf.DUMMYFUNCTION("""COMPUTED_VALUE"""),0.0)</f>
        <v>0</v>
      </c>
      <c r="P356" s="96">
        <f>IFERROR(__xludf.DUMMYFUNCTION("""COMPUTED_VALUE"""),0.0)</f>
        <v>0</v>
      </c>
      <c r="Q356" s="129">
        <f>IFERROR(__xludf.DUMMYFUNCTION("""COMPUTED_VALUE"""),0.0)</f>
        <v>0</v>
      </c>
      <c r="R356" s="99"/>
      <c r="S356" s="99">
        <f>IFERROR(__xludf.DUMMYFUNCTION("""COMPUTED_VALUE"""),614280.0)</f>
        <v>614280</v>
      </c>
    </row>
    <row r="357">
      <c r="A357" s="96">
        <f>IFERROR(__xludf.DUMMYFUNCTION("""COMPUTED_VALUE"""),9.0)</f>
        <v>9</v>
      </c>
      <c r="B357" s="98">
        <f>IFERROR(__xludf.DUMMYFUNCTION("""COMPUTED_VALUE"""),44088.0)</f>
        <v>44088</v>
      </c>
      <c r="C357" s="96" t="str">
        <f>IFERROR(__xludf.DUMMYFUNCTION("""COMPUTED_VALUE"""),"CORNWELL")</f>
        <v>CORNWELL</v>
      </c>
      <c r="D357" s="96" t="str">
        <f>IFERROR(__xludf.DUMMYFUNCTION("""COMPUTED_VALUE"""),"CORNWELL9")</f>
        <v>CORNWELL9</v>
      </c>
      <c r="E357" s="96"/>
      <c r="F357" s="96"/>
      <c r="G357" s="96"/>
      <c r="H357" s="96"/>
      <c r="I357" s="96"/>
      <c r="J357" s="96"/>
      <c r="K357" s="96">
        <f>IFERROR(__xludf.DUMMYFUNCTION("""COMPUTED_VALUE"""),250000.0)</f>
        <v>250000</v>
      </c>
      <c r="L357" s="99">
        <f>IFERROR(__xludf.DUMMYFUNCTION("""COMPUTED_VALUE"""),250000.0)</f>
        <v>250000</v>
      </c>
      <c r="M357" s="96"/>
      <c r="N357" s="96">
        <f>IFERROR(__xludf.DUMMYFUNCTION("""COMPUTED_VALUE"""),0.0)</f>
        <v>0</v>
      </c>
      <c r="O357" s="96">
        <f>IFERROR(__xludf.DUMMYFUNCTION("""COMPUTED_VALUE"""),0.0)</f>
        <v>0</v>
      </c>
      <c r="P357" s="96">
        <f>IFERROR(__xludf.DUMMYFUNCTION("""COMPUTED_VALUE"""),0.0)</f>
        <v>0</v>
      </c>
      <c r="Q357" s="129">
        <f>IFERROR(__xludf.DUMMYFUNCTION("""COMPUTED_VALUE"""),0.0)</f>
        <v>0</v>
      </c>
      <c r="R357" s="99"/>
      <c r="S357" s="99">
        <f>IFERROR(__xludf.DUMMYFUNCTION("""COMPUTED_VALUE"""),3.843269E7)</f>
        <v>38432690</v>
      </c>
    </row>
    <row r="358">
      <c r="A358" s="96">
        <f>IFERROR(__xludf.DUMMYFUNCTION("""COMPUTED_VALUE"""),17.0)</f>
        <v>17</v>
      </c>
      <c r="B358" s="98">
        <f>IFERROR(__xludf.DUMMYFUNCTION("""COMPUTED_VALUE"""),44088.0)</f>
        <v>44088</v>
      </c>
      <c r="C358" s="96" t="str">
        <f>IFERROR(__xludf.DUMMYFUNCTION("""COMPUTED_VALUE"""),"BOSURU  BOSURU")</f>
        <v>BOSURU  BOSURU</v>
      </c>
      <c r="D358" s="96" t="str">
        <f>IFERROR(__xludf.DUMMYFUNCTION("""COMPUTED_VALUE"""),"BOSURU  BOSURU17")</f>
        <v>BOSURU  BOSURU17</v>
      </c>
      <c r="E358" s="96"/>
      <c r="F358" s="96"/>
      <c r="G358" s="96"/>
      <c r="H358" s="96"/>
      <c r="I358" s="96"/>
      <c r="J358" s="96"/>
      <c r="K358" s="96">
        <f>IFERROR(__xludf.DUMMYFUNCTION("""COMPUTED_VALUE"""),70000.0)</f>
        <v>70000</v>
      </c>
      <c r="L358" s="99">
        <f>IFERROR(__xludf.DUMMYFUNCTION("""COMPUTED_VALUE"""),70000.0)</f>
        <v>70000</v>
      </c>
      <c r="M358" s="96"/>
      <c r="N358" s="96">
        <f>IFERROR(__xludf.DUMMYFUNCTION("""COMPUTED_VALUE"""),0.0)</f>
        <v>0</v>
      </c>
      <c r="O358" s="96">
        <f>IFERROR(__xludf.DUMMYFUNCTION("""COMPUTED_VALUE"""),0.0)</f>
        <v>0</v>
      </c>
      <c r="P358" s="96">
        <f>IFERROR(__xludf.DUMMYFUNCTION("""COMPUTED_VALUE"""),0.0)</f>
        <v>0</v>
      </c>
      <c r="Q358" s="129">
        <f>IFERROR(__xludf.DUMMYFUNCTION("""COMPUTED_VALUE"""),0.0)</f>
        <v>0</v>
      </c>
      <c r="R358" s="99"/>
      <c r="S358" s="99">
        <f>IFERROR(__xludf.DUMMYFUNCTION("""COMPUTED_VALUE"""),1569700.0)</f>
        <v>1569700</v>
      </c>
    </row>
    <row r="359">
      <c r="A359" s="96">
        <f>IFERROR(__xludf.DUMMYFUNCTION("""COMPUTED_VALUE"""),8.0)</f>
        <v>8</v>
      </c>
      <c r="B359" s="98">
        <f>IFERROR(__xludf.DUMMYFUNCTION("""COMPUTED_VALUE"""),44088.0)</f>
        <v>44088</v>
      </c>
      <c r="C359" s="96" t="str">
        <f>IFERROR(__xludf.DUMMYFUNCTION("""COMPUTED_VALUE"""),"REMMY BODES")</f>
        <v>REMMY BODES</v>
      </c>
      <c r="D359" s="96" t="str">
        <f>IFERROR(__xludf.DUMMYFUNCTION("""COMPUTED_VALUE"""),"REMMY BODES8")</f>
        <v>REMMY BODES8</v>
      </c>
      <c r="E359" s="96"/>
      <c r="F359" s="96"/>
      <c r="G359" s="96"/>
      <c r="H359" s="96"/>
      <c r="I359" s="96"/>
      <c r="J359" s="96"/>
      <c r="K359" s="96">
        <f>IFERROR(__xludf.DUMMYFUNCTION("""COMPUTED_VALUE"""),48000.0)</f>
        <v>48000</v>
      </c>
      <c r="L359" s="99">
        <f>IFERROR(__xludf.DUMMYFUNCTION("""COMPUTED_VALUE"""),48000.0)</f>
        <v>48000</v>
      </c>
      <c r="M359" s="96"/>
      <c r="N359" s="96">
        <f>IFERROR(__xludf.DUMMYFUNCTION("""COMPUTED_VALUE"""),0.0)</f>
        <v>0</v>
      </c>
      <c r="O359" s="96">
        <f>IFERROR(__xludf.DUMMYFUNCTION("""COMPUTED_VALUE"""),0.0)</f>
        <v>0</v>
      </c>
      <c r="P359" s="96">
        <f>IFERROR(__xludf.DUMMYFUNCTION("""COMPUTED_VALUE"""),0.0)</f>
        <v>0</v>
      </c>
      <c r="Q359" s="129">
        <f>IFERROR(__xludf.DUMMYFUNCTION("""COMPUTED_VALUE"""),0.0)</f>
        <v>0</v>
      </c>
      <c r="R359" s="99"/>
      <c r="S359" s="99">
        <f>IFERROR(__xludf.DUMMYFUNCTION("""COMPUTED_VALUE"""),891000.0)</f>
        <v>891000</v>
      </c>
    </row>
    <row r="360">
      <c r="A360" s="96">
        <f>IFERROR(__xludf.DUMMYFUNCTION("""COMPUTED_VALUE"""),18.0)</f>
        <v>18</v>
      </c>
      <c r="B360" s="98">
        <f>IFERROR(__xludf.DUMMYFUNCTION("""COMPUTED_VALUE"""),44088.0)</f>
        <v>44088</v>
      </c>
      <c r="C360" s="96" t="str">
        <f>IFERROR(__xludf.DUMMYFUNCTION("""COMPUTED_VALUE"""),"BOSURU  BOSURU")</f>
        <v>BOSURU  BOSURU</v>
      </c>
      <c r="D360" s="96" t="str">
        <f>IFERROR(__xludf.DUMMYFUNCTION("""COMPUTED_VALUE"""),"BOSURU  BOSURU18")</f>
        <v>BOSURU  BOSURU18</v>
      </c>
      <c r="E360" s="96"/>
      <c r="F360" s="96"/>
      <c r="G360" s="96"/>
      <c r="H360" s="96"/>
      <c r="I360" s="96"/>
      <c r="J360" s="96"/>
      <c r="K360" s="96">
        <f>IFERROR(__xludf.DUMMYFUNCTION("""COMPUTED_VALUE"""),48000.0)</f>
        <v>48000</v>
      </c>
      <c r="L360" s="99">
        <f>IFERROR(__xludf.DUMMYFUNCTION("""COMPUTED_VALUE"""),48000.0)</f>
        <v>48000</v>
      </c>
      <c r="M360" s="96"/>
      <c r="N360" s="96">
        <f>IFERROR(__xludf.DUMMYFUNCTION("""COMPUTED_VALUE"""),0.0)</f>
        <v>0</v>
      </c>
      <c r="O360" s="96">
        <f>IFERROR(__xludf.DUMMYFUNCTION("""COMPUTED_VALUE"""),0.0)</f>
        <v>0</v>
      </c>
      <c r="P360" s="96">
        <f>IFERROR(__xludf.DUMMYFUNCTION("""COMPUTED_VALUE"""),0.0)</f>
        <v>0</v>
      </c>
      <c r="Q360" s="129">
        <f>IFERROR(__xludf.DUMMYFUNCTION("""COMPUTED_VALUE"""),0.0)</f>
        <v>0</v>
      </c>
      <c r="R360" s="99"/>
      <c r="S360" s="99">
        <f>IFERROR(__xludf.DUMMYFUNCTION("""COMPUTED_VALUE"""),1617700.0)</f>
        <v>1617700</v>
      </c>
    </row>
    <row r="361">
      <c r="A361" s="96">
        <f>IFERROR(__xludf.DUMMYFUNCTION("""COMPUTED_VALUE"""),8.0)</f>
        <v>8</v>
      </c>
      <c r="B361" s="98">
        <f>IFERROR(__xludf.DUMMYFUNCTION("""COMPUTED_VALUE"""),44088.0)</f>
        <v>44088</v>
      </c>
      <c r="C361" s="96" t="str">
        <f>IFERROR(__xludf.DUMMYFUNCTION("""COMPUTED_VALUE"""),"OTU KOKO KEIBO")</f>
        <v>OTU KOKO KEIBO</v>
      </c>
      <c r="D361" s="96" t="str">
        <f>IFERROR(__xludf.DUMMYFUNCTION("""COMPUTED_VALUE"""),"OTU KOKO KEIBO8")</f>
        <v>OTU KOKO KEIBO8</v>
      </c>
      <c r="E361" s="96"/>
      <c r="F361" s="96"/>
      <c r="G361" s="96"/>
      <c r="H361" s="96"/>
      <c r="I361" s="96"/>
      <c r="J361" s="96"/>
      <c r="K361" s="96">
        <f>IFERROR(__xludf.DUMMYFUNCTION("""COMPUTED_VALUE"""),56000.0)</f>
        <v>56000</v>
      </c>
      <c r="L361" s="99">
        <f>IFERROR(__xludf.DUMMYFUNCTION("""COMPUTED_VALUE"""),56000.0)</f>
        <v>56000</v>
      </c>
      <c r="M361" s="96"/>
      <c r="N361" s="96">
        <f>IFERROR(__xludf.DUMMYFUNCTION("""COMPUTED_VALUE"""),0.0)</f>
        <v>0</v>
      </c>
      <c r="O361" s="96">
        <f>IFERROR(__xludf.DUMMYFUNCTION("""COMPUTED_VALUE"""),0.0)</f>
        <v>0</v>
      </c>
      <c r="P361" s="96">
        <f>IFERROR(__xludf.DUMMYFUNCTION("""COMPUTED_VALUE"""),0.0)</f>
        <v>0</v>
      </c>
      <c r="Q361" s="129">
        <f>IFERROR(__xludf.DUMMYFUNCTION("""COMPUTED_VALUE"""),0.0)</f>
        <v>0</v>
      </c>
      <c r="R361" s="99"/>
      <c r="S361" s="99">
        <f>IFERROR(__xludf.DUMMYFUNCTION("""COMPUTED_VALUE"""),2.6165925E7)</f>
        <v>26165925</v>
      </c>
    </row>
    <row r="362">
      <c r="A362" s="96">
        <f>IFERROR(__xludf.DUMMYFUNCTION("""COMPUTED_VALUE"""),10.0)</f>
        <v>10</v>
      </c>
      <c r="B362" s="98">
        <f>IFERROR(__xludf.DUMMYFUNCTION("""COMPUTED_VALUE"""),44088.0)</f>
        <v>44088</v>
      </c>
      <c r="C362" s="96" t="str">
        <f>IFERROR(__xludf.DUMMYFUNCTION("""COMPUTED_VALUE"""),"CORNWELL")</f>
        <v>CORNWELL</v>
      </c>
      <c r="D362" s="96" t="str">
        <f>IFERROR(__xludf.DUMMYFUNCTION("""COMPUTED_VALUE"""),"CORNWELL10")</f>
        <v>CORNWELL10</v>
      </c>
      <c r="E362" s="96"/>
      <c r="F362" s="96"/>
      <c r="G362" s="96"/>
      <c r="H362" s="96"/>
      <c r="I362" s="96"/>
      <c r="J362" s="96"/>
      <c r="K362" s="96">
        <f>IFERROR(__xludf.DUMMYFUNCTION("""COMPUTED_VALUE"""),36000.0)</f>
        <v>36000</v>
      </c>
      <c r="L362" s="99">
        <f>IFERROR(__xludf.DUMMYFUNCTION("""COMPUTED_VALUE"""),36000.0)</f>
        <v>36000</v>
      </c>
      <c r="M362" s="96"/>
      <c r="N362" s="96">
        <f>IFERROR(__xludf.DUMMYFUNCTION("""COMPUTED_VALUE"""),0.0)</f>
        <v>0</v>
      </c>
      <c r="O362" s="96">
        <f>IFERROR(__xludf.DUMMYFUNCTION("""COMPUTED_VALUE"""),0.0)</f>
        <v>0</v>
      </c>
      <c r="P362" s="96">
        <f>IFERROR(__xludf.DUMMYFUNCTION("""COMPUTED_VALUE"""),0.0)</f>
        <v>0</v>
      </c>
      <c r="Q362" s="129">
        <f>IFERROR(__xludf.DUMMYFUNCTION("""COMPUTED_VALUE"""),0.0)</f>
        <v>0</v>
      </c>
      <c r="R362" s="99"/>
      <c r="S362" s="99">
        <f>IFERROR(__xludf.DUMMYFUNCTION("""COMPUTED_VALUE"""),3.846869E7)</f>
        <v>38468690</v>
      </c>
    </row>
    <row r="363">
      <c r="A363" s="96">
        <f>IFERROR(__xludf.DUMMYFUNCTION("""COMPUTED_VALUE"""),11.0)</f>
        <v>11</v>
      </c>
      <c r="B363" s="98">
        <f>IFERROR(__xludf.DUMMYFUNCTION("""COMPUTED_VALUE"""),44089.0)</f>
        <v>44089</v>
      </c>
      <c r="C363" s="96" t="str">
        <f>IFERROR(__xludf.DUMMYFUNCTION("""COMPUTED_VALUE"""),"ALFRED ALABI")</f>
        <v>ALFRED ALABI</v>
      </c>
      <c r="D363" s="96" t="str">
        <f>IFERROR(__xludf.DUMMYFUNCTION("""COMPUTED_VALUE"""),"ALFRED ALABI11")</f>
        <v>ALFRED ALABI11</v>
      </c>
      <c r="E363" s="96">
        <f>IFERROR(__xludf.DUMMYFUNCTION("""COMPUTED_VALUE"""),1429.0)</f>
        <v>1429</v>
      </c>
      <c r="F363" s="96">
        <f>IFERROR(__xludf.DUMMYFUNCTION("""COMPUTED_VALUE"""),199.0)</f>
        <v>199</v>
      </c>
      <c r="G363" s="96"/>
      <c r="H363" s="96">
        <f>IFERROR(__xludf.DUMMYFUNCTION("""COMPUTED_VALUE"""),21.0)</f>
        <v>21</v>
      </c>
      <c r="I363" s="96">
        <f>IFERROR(__xludf.DUMMYFUNCTION("""COMPUTED_VALUE"""),0.0)</f>
        <v>0</v>
      </c>
      <c r="J363" s="96">
        <f>IFERROR(__xludf.DUMMYFUNCTION("""COMPUTED_VALUE"""),837.06)</f>
        <v>837.06</v>
      </c>
      <c r="K363" s="96"/>
      <c r="L363" s="99">
        <f>IFERROR(__xludf.DUMMYFUNCTION("""COMPUTED_VALUE"""),-1161000.0)</f>
        <v>-1161000</v>
      </c>
      <c r="M363" s="96">
        <f>IFERROR(__xludf.DUMMYFUNCTION("""COMPUTED_VALUE"""),9.48)</f>
        <v>9.48</v>
      </c>
      <c r="N363" s="96">
        <f>IFERROR(__xludf.DUMMYFUNCTION("""COMPUTED_VALUE"""),21.0)</f>
        <v>21</v>
      </c>
      <c r="O363" s="96">
        <f>IFERROR(__xludf.DUMMYFUNCTION("""COMPUTED_VALUE"""),22.0)</f>
        <v>22</v>
      </c>
      <c r="P363" s="96">
        <f>IFERROR(__xludf.DUMMYFUNCTION("""COMPUTED_VALUE"""),0.0)</f>
        <v>0</v>
      </c>
      <c r="Q363" s="129">
        <f>IFERROR(__xludf.DUMMYFUNCTION("""COMPUTED_VALUE"""),1387.0)</f>
        <v>1387</v>
      </c>
      <c r="R363" s="99">
        <f>IFERROR(__xludf.DUMMYFUNCTION("""COMPUTED_VALUE"""),1161000.0)</f>
        <v>1161000</v>
      </c>
      <c r="S363" s="99">
        <f>IFERROR(__xludf.DUMMYFUNCTION("""COMPUTED_VALUE"""),-160980.0)</f>
        <v>-160980</v>
      </c>
    </row>
    <row r="364">
      <c r="A364" s="96">
        <f>IFERROR(__xludf.DUMMYFUNCTION("""COMPUTED_VALUE"""),4.0)</f>
        <v>4</v>
      </c>
      <c r="B364" s="98">
        <f>IFERROR(__xludf.DUMMYFUNCTION("""COMPUTED_VALUE"""),44085.0)</f>
        <v>44085</v>
      </c>
      <c r="C364" s="96" t="str">
        <f>IFERROR(__xludf.DUMMYFUNCTION("""COMPUTED_VALUE"""),"AGEGE BOY")</f>
        <v>AGEGE BOY</v>
      </c>
      <c r="D364" s="96" t="str">
        <f>IFERROR(__xludf.DUMMYFUNCTION("""COMPUTED_VALUE"""),"AGEGE BOY4")</f>
        <v>AGEGE BOY4</v>
      </c>
      <c r="E364" s="96"/>
      <c r="F364" s="96"/>
      <c r="G364" s="96"/>
      <c r="H364" s="96"/>
      <c r="I364" s="96"/>
      <c r="J364" s="96"/>
      <c r="K364" s="96">
        <f>IFERROR(__xludf.DUMMYFUNCTION("""COMPUTED_VALUE"""),600.0)</f>
        <v>600</v>
      </c>
      <c r="L364" s="99">
        <f>IFERROR(__xludf.DUMMYFUNCTION("""COMPUTED_VALUE"""),600.0)</f>
        <v>600</v>
      </c>
      <c r="M364" s="96"/>
      <c r="N364" s="96">
        <f>IFERROR(__xludf.DUMMYFUNCTION("""COMPUTED_VALUE"""),0.0)</f>
        <v>0</v>
      </c>
      <c r="O364" s="96">
        <f>IFERROR(__xludf.DUMMYFUNCTION("""COMPUTED_VALUE"""),0.0)</f>
        <v>0</v>
      </c>
      <c r="P364" s="96">
        <f>IFERROR(__xludf.DUMMYFUNCTION("""COMPUTED_VALUE"""),0.0)</f>
        <v>0</v>
      </c>
      <c r="Q364" s="129">
        <f>IFERROR(__xludf.DUMMYFUNCTION("""COMPUTED_VALUE"""),0.0)</f>
        <v>0</v>
      </c>
      <c r="R364" s="99"/>
      <c r="S364" s="99">
        <f>IFERROR(__xludf.DUMMYFUNCTION("""COMPUTED_VALUE"""),614880.0)</f>
        <v>614880</v>
      </c>
    </row>
    <row r="365">
      <c r="A365" s="96">
        <f>IFERROR(__xludf.DUMMYFUNCTION("""COMPUTED_VALUE"""),21.0)</f>
        <v>21</v>
      </c>
      <c r="B365" s="98">
        <f>IFERROR(__xludf.DUMMYFUNCTION("""COMPUTED_VALUE"""),44074.0)</f>
        <v>44074</v>
      </c>
      <c r="C365" s="96" t="str">
        <f>IFERROR(__xludf.DUMMYFUNCTION("""COMPUTED_VALUE"""),"LYDIA HNSON ")</f>
        <v>LYDIA HNSON </v>
      </c>
      <c r="D365" s="96" t="str">
        <f>IFERROR(__xludf.DUMMYFUNCTION("""COMPUTED_VALUE"""),"LYDIA HNSON 21")</f>
        <v>LYDIA HNSON 21</v>
      </c>
      <c r="E365" s="96"/>
      <c r="F365" s="96"/>
      <c r="G365" s="96"/>
      <c r="H365" s="96"/>
      <c r="I365" s="96"/>
      <c r="J365" s="96"/>
      <c r="K365" s="96">
        <f>IFERROR(__xludf.DUMMYFUNCTION("""COMPUTED_VALUE"""),-35000.0)</f>
        <v>-35000</v>
      </c>
      <c r="L365" s="99">
        <f>IFERROR(__xludf.DUMMYFUNCTION("""COMPUTED_VALUE"""),-35000.0)</f>
        <v>-35000</v>
      </c>
      <c r="M365" s="96"/>
      <c r="N365" s="96">
        <f>IFERROR(__xludf.DUMMYFUNCTION("""COMPUTED_VALUE"""),0.0)</f>
        <v>0</v>
      </c>
      <c r="O365" s="96">
        <f>IFERROR(__xludf.DUMMYFUNCTION("""COMPUTED_VALUE"""),0.0)</f>
        <v>0</v>
      </c>
      <c r="P365" s="96">
        <f>IFERROR(__xludf.DUMMYFUNCTION("""COMPUTED_VALUE"""),0.0)</f>
        <v>0</v>
      </c>
      <c r="Q365" s="129">
        <f>IFERROR(__xludf.DUMMYFUNCTION("""COMPUTED_VALUE"""),0.0)</f>
        <v>0</v>
      </c>
      <c r="R365" s="99"/>
      <c r="S365" s="99">
        <f>IFERROR(__xludf.DUMMYFUNCTION("""COMPUTED_VALUE"""),3218640.0)</f>
        <v>3218640</v>
      </c>
    </row>
    <row r="366">
      <c r="A366" s="96">
        <f>IFERROR(__xludf.DUMMYFUNCTION("""COMPUTED_VALUE"""),5.0)</f>
        <v>5</v>
      </c>
      <c r="B366" s="98">
        <f>IFERROR(__xludf.DUMMYFUNCTION("""COMPUTED_VALUE"""),44074.0)</f>
        <v>44074</v>
      </c>
      <c r="C366" s="96" t="str">
        <f>IFERROR(__xludf.DUMMYFUNCTION("""COMPUTED_VALUE"""),"AGEGE BOY")</f>
        <v>AGEGE BOY</v>
      </c>
      <c r="D366" s="96" t="str">
        <f>IFERROR(__xludf.DUMMYFUNCTION("""COMPUTED_VALUE"""),"AGEGE BOY5")</f>
        <v>AGEGE BOY5</v>
      </c>
      <c r="E366" s="96"/>
      <c r="F366" s="96"/>
      <c r="G366" s="96"/>
      <c r="H366" s="96"/>
      <c r="I366" s="96"/>
      <c r="J366" s="96"/>
      <c r="K366" s="96">
        <f>IFERROR(__xludf.DUMMYFUNCTION("""COMPUTED_VALUE"""),35000.0)</f>
        <v>35000</v>
      </c>
      <c r="L366" s="99">
        <f>IFERROR(__xludf.DUMMYFUNCTION("""COMPUTED_VALUE"""),35000.0)</f>
        <v>35000</v>
      </c>
      <c r="M366" s="96"/>
      <c r="N366" s="96">
        <f>IFERROR(__xludf.DUMMYFUNCTION("""COMPUTED_VALUE"""),0.0)</f>
        <v>0</v>
      </c>
      <c r="O366" s="96">
        <f>IFERROR(__xludf.DUMMYFUNCTION("""COMPUTED_VALUE"""),0.0)</f>
        <v>0</v>
      </c>
      <c r="P366" s="96">
        <f>IFERROR(__xludf.DUMMYFUNCTION("""COMPUTED_VALUE"""),0.0)</f>
        <v>0</v>
      </c>
      <c r="Q366" s="129">
        <f>IFERROR(__xludf.DUMMYFUNCTION("""COMPUTED_VALUE"""),0.0)</f>
        <v>0</v>
      </c>
      <c r="R366" s="99"/>
      <c r="S366" s="99">
        <f>IFERROR(__xludf.DUMMYFUNCTION("""COMPUTED_VALUE"""),649880.0)</f>
        <v>649880</v>
      </c>
    </row>
    <row r="367">
      <c r="A367" s="96">
        <f>IFERROR(__xludf.DUMMYFUNCTION("""COMPUTED_VALUE"""),1.0)</f>
        <v>1</v>
      </c>
      <c r="B367" s="98">
        <f>IFERROR(__xludf.DUMMYFUNCTION("""COMPUTED_VALUE"""),44089.0)</f>
        <v>44089</v>
      </c>
      <c r="C367" s="96" t="str">
        <f>IFERROR(__xludf.DUMMYFUNCTION("""COMPUTED_VALUE"""),"ABANG. ODI")</f>
        <v>ABANG. ODI</v>
      </c>
      <c r="D367" s="96" t="str">
        <f>IFERROR(__xludf.DUMMYFUNCTION("""COMPUTED_VALUE"""),"ABANG. ODI1")</f>
        <v>ABANG. ODI1</v>
      </c>
      <c r="E367" s="96"/>
      <c r="F367" s="96"/>
      <c r="G367" s="96"/>
      <c r="H367" s="96"/>
      <c r="I367" s="96"/>
      <c r="J367" s="96"/>
      <c r="K367" s="96">
        <f>IFERROR(__xludf.DUMMYFUNCTION("""COMPUTED_VALUE"""),10000.0)</f>
        <v>10000</v>
      </c>
      <c r="L367" s="99">
        <f>IFERROR(__xludf.DUMMYFUNCTION("""COMPUTED_VALUE"""),10000.0)</f>
        <v>10000</v>
      </c>
      <c r="M367" s="96"/>
      <c r="N367" s="96">
        <f>IFERROR(__xludf.DUMMYFUNCTION("""COMPUTED_VALUE"""),0.0)</f>
        <v>0</v>
      </c>
      <c r="O367" s="96">
        <f>IFERROR(__xludf.DUMMYFUNCTION("""COMPUTED_VALUE"""),0.0)</f>
        <v>0</v>
      </c>
      <c r="P367" s="96">
        <f>IFERROR(__xludf.DUMMYFUNCTION("""COMPUTED_VALUE"""),0.0)</f>
        <v>0</v>
      </c>
      <c r="Q367" s="129">
        <f>IFERROR(__xludf.DUMMYFUNCTION("""COMPUTED_VALUE"""),0.0)</f>
        <v>0</v>
      </c>
      <c r="R367" s="99"/>
      <c r="S367" s="99">
        <f>IFERROR(__xludf.DUMMYFUNCTION("""COMPUTED_VALUE"""),10000.0)</f>
        <v>10000</v>
      </c>
    </row>
    <row r="368">
      <c r="A368" s="96">
        <f>IFERROR(__xludf.DUMMYFUNCTION("""COMPUTED_VALUE"""),1.0)</f>
        <v>1</v>
      </c>
      <c r="B368" s="98">
        <f>IFERROR(__xludf.DUMMYFUNCTION("""COMPUTED_VALUE"""),44089.0)</f>
        <v>44089</v>
      </c>
      <c r="C368" s="96" t="str">
        <f>IFERROR(__xludf.DUMMYFUNCTION("""COMPUTED_VALUE"""),"ABANG. ORU")</f>
        <v>ABANG. ORU</v>
      </c>
      <c r="D368" s="96" t="str">
        <f>IFERROR(__xludf.DUMMYFUNCTION("""COMPUTED_VALUE"""),"ABANG. ORU1")</f>
        <v>ABANG. ORU1</v>
      </c>
      <c r="E368" s="96"/>
      <c r="F368" s="96"/>
      <c r="G368" s="96"/>
      <c r="H368" s="96"/>
      <c r="I368" s="96"/>
      <c r="J368" s="96"/>
      <c r="K368" s="96">
        <f>IFERROR(__xludf.DUMMYFUNCTION("""COMPUTED_VALUE"""),50000.0)</f>
        <v>50000</v>
      </c>
      <c r="L368" s="99">
        <f>IFERROR(__xludf.DUMMYFUNCTION("""COMPUTED_VALUE"""),50000.0)</f>
        <v>50000</v>
      </c>
      <c r="M368" s="96"/>
      <c r="N368" s="96">
        <f>IFERROR(__xludf.DUMMYFUNCTION("""COMPUTED_VALUE"""),0.0)</f>
        <v>0</v>
      </c>
      <c r="O368" s="96">
        <f>IFERROR(__xludf.DUMMYFUNCTION("""COMPUTED_VALUE"""),0.0)</f>
        <v>0</v>
      </c>
      <c r="P368" s="96">
        <f>IFERROR(__xludf.DUMMYFUNCTION("""COMPUTED_VALUE"""),0.0)</f>
        <v>0</v>
      </c>
      <c r="Q368" s="129">
        <f>IFERROR(__xludf.DUMMYFUNCTION("""COMPUTED_VALUE"""),0.0)</f>
        <v>0</v>
      </c>
      <c r="R368" s="99"/>
      <c r="S368" s="99">
        <f>IFERROR(__xludf.DUMMYFUNCTION("""COMPUTED_VALUE"""),50000.0)</f>
        <v>50000</v>
      </c>
    </row>
    <row r="369">
      <c r="A369" s="96">
        <f>IFERROR(__xludf.DUMMYFUNCTION("""COMPUTED_VALUE"""),14.0)</f>
        <v>14</v>
      </c>
      <c r="B369" s="98">
        <f>IFERROR(__xludf.DUMMYFUNCTION("""COMPUTED_VALUE"""),44089.0)</f>
        <v>44089</v>
      </c>
      <c r="C369" s="96" t="str">
        <f>IFERROR(__xludf.DUMMYFUNCTION("""COMPUTED_VALUE""")," MAXWELL AGRO")</f>
        <v> MAXWELL AGRO</v>
      </c>
      <c r="D369" s="96" t="str">
        <f>IFERROR(__xludf.DUMMYFUNCTION("""COMPUTED_VALUE""")," MAXWELL AGRO14")</f>
        <v> MAXWELL AGRO14</v>
      </c>
      <c r="E369" s="96"/>
      <c r="F369" s="96"/>
      <c r="G369" s="96"/>
      <c r="H369" s="96"/>
      <c r="I369" s="96"/>
      <c r="J369" s="96"/>
      <c r="K369" s="96">
        <f>IFERROR(__xludf.DUMMYFUNCTION("""COMPUTED_VALUE"""),4500.0)</f>
        <v>4500</v>
      </c>
      <c r="L369" s="99">
        <f>IFERROR(__xludf.DUMMYFUNCTION("""COMPUTED_VALUE"""),4500.0)</f>
        <v>4500</v>
      </c>
      <c r="M369" s="96"/>
      <c r="N369" s="96">
        <f>IFERROR(__xludf.DUMMYFUNCTION("""COMPUTED_VALUE"""),0.0)</f>
        <v>0</v>
      </c>
      <c r="O369" s="96">
        <f>IFERROR(__xludf.DUMMYFUNCTION("""COMPUTED_VALUE"""),0.0)</f>
        <v>0</v>
      </c>
      <c r="P369" s="96">
        <f>IFERROR(__xludf.DUMMYFUNCTION("""COMPUTED_VALUE"""),0.0)</f>
        <v>0</v>
      </c>
      <c r="Q369" s="129">
        <f>IFERROR(__xludf.DUMMYFUNCTION("""COMPUTED_VALUE"""),0.0)</f>
        <v>0</v>
      </c>
      <c r="R369" s="99"/>
      <c r="S369" s="99">
        <f>IFERROR(__xludf.DUMMYFUNCTION("""COMPUTED_VALUE"""),604500.0)</f>
        <v>604500</v>
      </c>
    </row>
    <row r="370">
      <c r="A370" s="96">
        <f>IFERROR(__xludf.DUMMYFUNCTION("""COMPUTED_VALUE"""),19.0)</f>
        <v>19</v>
      </c>
      <c r="B370" s="98">
        <f>IFERROR(__xludf.DUMMYFUNCTION("""COMPUTED_VALUE"""),44089.0)</f>
        <v>44089</v>
      </c>
      <c r="C370" s="96" t="str">
        <f>IFERROR(__xludf.DUMMYFUNCTION("""COMPUTED_VALUE"""),"BOSURU  BOSURU")</f>
        <v>BOSURU  BOSURU</v>
      </c>
      <c r="D370" s="96" t="str">
        <f>IFERROR(__xludf.DUMMYFUNCTION("""COMPUTED_VALUE"""),"BOSURU  BOSURU19")</f>
        <v>BOSURU  BOSURU19</v>
      </c>
      <c r="E370" s="96"/>
      <c r="F370" s="96"/>
      <c r="G370" s="96"/>
      <c r="H370" s="96"/>
      <c r="I370" s="96"/>
      <c r="J370" s="96"/>
      <c r="K370" s="96">
        <f>IFERROR(__xludf.DUMMYFUNCTION("""COMPUTED_VALUE"""),750000.0)</f>
        <v>750000</v>
      </c>
      <c r="L370" s="99">
        <f>IFERROR(__xludf.DUMMYFUNCTION("""COMPUTED_VALUE"""),750000.0)</f>
        <v>750000</v>
      </c>
      <c r="M370" s="96"/>
      <c r="N370" s="96">
        <f>IFERROR(__xludf.DUMMYFUNCTION("""COMPUTED_VALUE"""),0.0)</f>
        <v>0</v>
      </c>
      <c r="O370" s="96">
        <f>IFERROR(__xludf.DUMMYFUNCTION("""COMPUTED_VALUE"""),0.0)</f>
        <v>0</v>
      </c>
      <c r="P370" s="96">
        <f>IFERROR(__xludf.DUMMYFUNCTION("""COMPUTED_VALUE"""),0.0)</f>
        <v>0</v>
      </c>
      <c r="Q370" s="129">
        <f>IFERROR(__xludf.DUMMYFUNCTION("""COMPUTED_VALUE"""),0.0)</f>
        <v>0</v>
      </c>
      <c r="R370" s="99"/>
      <c r="S370" s="99">
        <f>IFERROR(__xludf.DUMMYFUNCTION("""COMPUTED_VALUE"""),2367700.0)</f>
        <v>2367700</v>
      </c>
    </row>
    <row r="371">
      <c r="A371" s="96">
        <f>IFERROR(__xludf.DUMMYFUNCTION("""COMPUTED_VALUE"""),9.0)</f>
        <v>9</v>
      </c>
      <c r="B371" s="98">
        <f>IFERROR(__xludf.DUMMYFUNCTION("""COMPUTED_VALUE"""),44089.0)</f>
        <v>44089</v>
      </c>
      <c r="C371" s="96" t="str">
        <f>IFERROR(__xludf.DUMMYFUNCTION("""COMPUTED_VALUE"""),"REMMY BODES")</f>
        <v>REMMY BODES</v>
      </c>
      <c r="D371" s="96" t="str">
        <f>IFERROR(__xludf.DUMMYFUNCTION("""COMPUTED_VALUE"""),"REMMY BODES9")</f>
        <v>REMMY BODES9</v>
      </c>
      <c r="E371" s="96"/>
      <c r="F371" s="96"/>
      <c r="G371" s="96"/>
      <c r="H371" s="96"/>
      <c r="I371" s="96"/>
      <c r="J371" s="96"/>
      <c r="K371" s="96">
        <f>IFERROR(__xludf.DUMMYFUNCTION("""COMPUTED_VALUE"""),500000.0)</f>
        <v>500000</v>
      </c>
      <c r="L371" s="99">
        <f>IFERROR(__xludf.DUMMYFUNCTION("""COMPUTED_VALUE"""),500000.0)</f>
        <v>500000</v>
      </c>
      <c r="M371" s="96"/>
      <c r="N371" s="96">
        <f>IFERROR(__xludf.DUMMYFUNCTION("""COMPUTED_VALUE"""),0.0)</f>
        <v>0</v>
      </c>
      <c r="O371" s="96">
        <f>IFERROR(__xludf.DUMMYFUNCTION("""COMPUTED_VALUE"""),0.0)</f>
        <v>0</v>
      </c>
      <c r="P371" s="96">
        <f>IFERROR(__xludf.DUMMYFUNCTION("""COMPUTED_VALUE"""),0.0)</f>
        <v>0</v>
      </c>
      <c r="Q371" s="129">
        <f>IFERROR(__xludf.DUMMYFUNCTION("""COMPUTED_VALUE"""),0.0)</f>
        <v>0</v>
      </c>
      <c r="R371" s="99"/>
      <c r="S371" s="99">
        <f>IFERROR(__xludf.DUMMYFUNCTION("""COMPUTED_VALUE"""),1391000.0)</f>
        <v>1391000</v>
      </c>
    </row>
    <row r="372">
      <c r="A372" s="96">
        <f>IFERROR(__xludf.DUMMYFUNCTION("""COMPUTED_VALUE"""),9.0)</f>
        <v>9</v>
      </c>
      <c r="B372" s="98">
        <f>IFERROR(__xludf.DUMMYFUNCTION("""COMPUTED_VALUE"""),44089.0)</f>
        <v>44089</v>
      </c>
      <c r="C372" s="96" t="str">
        <f>IFERROR(__xludf.DUMMYFUNCTION("""COMPUTED_VALUE"""),"A. D. FREDERICK")</f>
        <v>A. D. FREDERICK</v>
      </c>
      <c r="D372" s="96" t="str">
        <f>IFERROR(__xludf.DUMMYFUNCTION("""COMPUTED_VALUE"""),"A. D. FREDERICK9")</f>
        <v>A. D. FREDERICK9</v>
      </c>
      <c r="E372" s="96"/>
      <c r="F372" s="96"/>
      <c r="G372" s="96"/>
      <c r="H372" s="96"/>
      <c r="I372" s="96"/>
      <c r="J372" s="96"/>
      <c r="K372" s="96">
        <f>IFERROR(__xludf.DUMMYFUNCTION("""COMPUTED_VALUE"""),340000.0)</f>
        <v>340000</v>
      </c>
      <c r="L372" s="99">
        <f>IFERROR(__xludf.DUMMYFUNCTION("""COMPUTED_VALUE"""),340000.0)</f>
        <v>340000</v>
      </c>
      <c r="M372" s="96"/>
      <c r="N372" s="96">
        <f>IFERROR(__xludf.DUMMYFUNCTION("""COMPUTED_VALUE"""),0.0)</f>
        <v>0</v>
      </c>
      <c r="O372" s="96">
        <f>IFERROR(__xludf.DUMMYFUNCTION("""COMPUTED_VALUE"""),0.0)</f>
        <v>0</v>
      </c>
      <c r="P372" s="96">
        <f>IFERROR(__xludf.DUMMYFUNCTION("""COMPUTED_VALUE"""),0.0)</f>
        <v>0</v>
      </c>
      <c r="Q372" s="129">
        <f>IFERROR(__xludf.DUMMYFUNCTION("""COMPUTED_VALUE"""),0.0)</f>
        <v>0</v>
      </c>
      <c r="R372" s="99"/>
      <c r="S372" s="99">
        <f>IFERROR(__xludf.DUMMYFUNCTION("""COMPUTED_VALUE"""),1783410.0)</f>
        <v>1783410</v>
      </c>
    </row>
    <row r="373">
      <c r="A373" s="96">
        <f>IFERROR(__xludf.DUMMYFUNCTION("""COMPUTED_VALUE"""),5.0)</f>
        <v>5</v>
      </c>
      <c r="B373" s="98">
        <f>IFERROR(__xludf.DUMMYFUNCTION("""COMPUTED_VALUE"""),44089.0)</f>
        <v>44089</v>
      </c>
      <c r="C373" s="96" t="str">
        <f>IFERROR(__xludf.DUMMYFUNCTION("""COMPUTED_VALUE"""),"PRINNESS")</f>
        <v>PRINNESS</v>
      </c>
      <c r="D373" s="96" t="str">
        <f>IFERROR(__xludf.DUMMYFUNCTION("""COMPUTED_VALUE"""),"PRINNESS5")</f>
        <v>PRINNESS5</v>
      </c>
      <c r="E373" s="96"/>
      <c r="F373" s="96"/>
      <c r="G373" s="96"/>
      <c r="H373" s="96"/>
      <c r="I373" s="96"/>
      <c r="J373" s="96"/>
      <c r="K373" s="96">
        <f>IFERROR(__xludf.DUMMYFUNCTION("""COMPUTED_VALUE"""),10000.0)</f>
        <v>10000</v>
      </c>
      <c r="L373" s="99">
        <f>IFERROR(__xludf.DUMMYFUNCTION("""COMPUTED_VALUE"""),10000.0)</f>
        <v>10000</v>
      </c>
      <c r="M373" s="96"/>
      <c r="N373" s="96">
        <f>IFERROR(__xludf.DUMMYFUNCTION("""COMPUTED_VALUE"""),0.0)</f>
        <v>0</v>
      </c>
      <c r="O373" s="96">
        <f>IFERROR(__xludf.DUMMYFUNCTION("""COMPUTED_VALUE"""),0.0)</f>
        <v>0</v>
      </c>
      <c r="P373" s="96">
        <f>IFERROR(__xludf.DUMMYFUNCTION("""COMPUTED_VALUE"""),0.0)</f>
        <v>0</v>
      </c>
      <c r="Q373" s="129">
        <f>IFERROR(__xludf.DUMMYFUNCTION("""COMPUTED_VALUE"""),0.0)</f>
        <v>0</v>
      </c>
      <c r="R373" s="99"/>
      <c r="S373" s="99">
        <f>IFERROR(__xludf.DUMMYFUNCTION("""COMPUTED_VALUE"""),824980.0)</f>
        <v>824980</v>
      </c>
    </row>
    <row r="374">
      <c r="A374" s="96">
        <f>IFERROR(__xludf.DUMMYFUNCTION("""COMPUTED_VALUE"""),22.0)</f>
        <v>22</v>
      </c>
      <c r="B374" s="98">
        <f>IFERROR(__xludf.DUMMYFUNCTION("""COMPUTED_VALUE"""),44076.0)</f>
        <v>44076</v>
      </c>
      <c r="C374" s="96" t="str">
        <f>IFERROR(__xludf.DUMMYFUNCTION("""COMPUTED_VALUE"""),"LYDIA HNSON ")</f>
        <v>LYDIA HNSON </v>
      </c>
      <c r="D374" s="96" t="str">
        <f>IFERROR(__xludf.DUMMYFUNCTION("""COMPUTED_VALUE"""),"LYDIA HNSON 22")</f>
        <v>LYDIA HNSON 22</v>
      </c>
      <c r="E374" s="96">
        <f>IFERROR(__xludf.DUMMYFUNCTION("""COMPUTED_VALUE"""),203.0)</f>
        <v>203</v>
      </c>
      <c r="F374" s="96">
        <f>IFERROR(__xludf.DUMMYFUNCTION("""COMPUTED_VALUE"""),32.0)</f>
        <v>32</v>
      </c>
      <c r="G374" s="96"/>
      <c r="H374" s="96">
        <f>IFERROR(__xludf.DUMMYFUNCTION("""COMPUTED_VALUE"""),4.0)</f>
        <v>4</v>
      </c>
      <c r="I374" s="96"/>
      <c r="J374" s="96">
        <f>IFERROR(__xludf.DUMMYFUNCTION("""COMPUTED_VALUE"""),890.0)</f>
        <v>890</v>
      </c>
      <c r="K374" s="96"/>
      <c r="L374" s="99">
        <f>IFERROR(__xludf.DUMMYFUNCTION("""COMPUTED_VALUE"""),-177110.0)</f>
        <v>-177110</v>
      </c>
      <c r="M374" s="96">
        <f>IFERROR(__xludf.DUMMYFUNCTION("""COMPUTED_VALUE"""),8.0)</f>
        <v>8</v>
      </c>
      <c r="N374" s="96">
        <f>IFERROR(__xludf.DUMMYFUNCTION("""COMPUTED_VALUE"""),0.0)</f>
        <v>0</v>
      </c>
      <c r="O374" s="96">
        <f>IFERROR(__xludf.DUMMYFUNCTION("""COMPUTED_VALUE"""),3.0)</f>
        <v>3</v>
      </c>
      <c r="P374" s="96">
        <f>IFERROR(__xludf.DUMMYFUNCTION("""COMPUTED_VALUE"""),9.0)</f>
        <v>9</v>
      </c>
      <c r="Q374" s="129">
        <f>IFERROR(__xludf.DUMMYFUNCTION("""COMPUTED_VALUE"""),199.0)</f>
        <v>199</v>
      </c>
      <c r="R374" s="99">
        <f>IFERROR(__xludf.DUMMYFUNCTION("""COMPUTED_VALUE"""),177110.0)</f>
        <v>177110</v>
      </c>
      <c r="S374" s="99">
        <f>IFERROR(__xludf.DUMMYFUNCTION("""COMPUTED_VALUE"""),3041530.0)</f>
        <v>3041530</v>
      </c>
    </row>
    <row r="375">
      <c r="A375" s="96">
        <f>IFERROR(__xludf.DUMMYFUNCTION("""COMPUTED_VALUE"""),23.0)</f>
        <v>23</v>
      </c>
      <c r="B375" s="98">
        <f>IFERROR(__xludf.DUMMYFUNCTION("""COMPUTED_VALUE"""),44086.0)</f>
        <v>44086</v>
      </c>
      <c r="C375" s="96" t="str">
        <f>IFERROR(__xludf.DUMMYFUNCTION("""COMPUTED_VALUE"""),"LYDIA HNSON ")</f>
        <v>LYDIA HNSON </v>
      </c>
      <c r="D375" s="96" t="str">
        <f>IFERROR(__xludf.DUMMYFUNCTION("""COMPUTED_VALUE"""),"LYDIA HNSON 23")</f>
        <v>LYDIA HNSON 23</v>
      </c>
      <c r="E375" s="96">
        <f>IFERROR(__xludf.DUMMYFUNCTION("""COMPUTED_VALUE"""),502.0)</f>
        <v>502</v>
      </c>
      <c r="F375" s="96">
        <f>IFERROR(__xludf.DUMMYFUNCTION("""COMPUTED_VALUE"""),64.0)</f>
        <v>64</v>
      </c>
      <c r="G375" s="96"/>
      <c r="H375" s="96">
        <f>IFERROR(__xludf.DUMMYFUNCTION("""COMPUTED_VALUE"""),8.0)</f>
        <v>8</v>
      </c>
      <c r="I375" s="96"/>
      <c r="J375" s="96">
        <f>IFERROR(__xludf.DUMMYFUNCTION("""COMPUTED_VALUE"""),890.0)</f>
        <v>890</v>
      </c>
      <c r="K375" s="96"/>
      <c r="L375" s="99">
        <f>IFERROR(__xludf.DUMMYFUNCTION("""COMPUTED_VALUE"""),-439660.0)</f>
        <v>-439660</v>
      </c>
      <c r="M375" s="96">
        <f>IFERROR(__xludf.DUMMYFUNCTION("""COMPUTED_VALUE"""),8.0)</f>
        <v>8</v>
      </c>
      <c r="N375" s="96">
        <f>IFERROR(__xludf.DUMMYFUNCTION("""COMPUTED_VALUE"""),0.0)</f>
        <v>0</v>
      </c>
      <c r="O375" s="96">
        <f>IFERROR(__xludf.DUMMYFUNCTION("""COMPUTED_VALUE"""),7.0)</f>
        <v>7</v>
      </c>
      <c r="P375" s="96">
        <f>IFERROR(__xludf.DUMMYFUNCTION("""COMPUTED_VALUE"""),53.0)</f>
        <v>53</v>
      </c>
      <c r="Q375" s="129">
        <f>IFERROR(__xludf.DUMMYFUNCTION("""COMPUTED_VALUE"""),494.0)</f>
        <v>494</v>
      </c>
      <c r="R375" s="99">
        <f>IFERROR(__xludf.DUMMYFUNCTION("""COMPUTED_VALUE"""),439660.0)</f>
        <v>439660</v>
      </c>
      <c r="S375" s="99">
        <f>IFERROR(__xludf.DUMMYFUNCTION("""COMPUTED_VALUE"""),2601870.0)</f>
        <v>2601870</v>
      </c>
    </row>
    <row r="376">
      <c r="A376" s="96">
        <f>IFERROR(__xludf.DUMMYFUNCTION("""COMPUTED_VALUE"""),24.0)</f>
        <v>24</v>
      </c>
      <c r="B376" s="98">
        <f>IFERROR(__xludf.DUMMYFUNCTION("""COMPUTED_VALUE"""),44088.0)</f>
        <v>44088</v>
      </c>
      <c r="C376" s="96" t="str">
        <f>IFERROR(__xludf.DUMMYFUNCTION("""COMPUTED_VALUE"""),"LYDIA HNSON ")</f>
        <v>LYDIA HNSON </v>
      </c>
      <c r="D376" s="96" t="str">
        <f>IFERROR(__xludf.DUMMYFUNCTION("""COMPUTED_VALUE"""),"LYDIA HNSON 24")</f>
        <v>LYDIA HNSON 24</v>
      </c>
      <c r="E376" s="96">
        <f>IFERROR(__xludf.DUMMYFUNCTION("""COMPUTED_VALUE"""),179.0)</f>
        <v>179</v>
      </c>
      <c r="F376" s="96">
        <f>IFERROR(__xludf.DUMMYFUNCTION("""COMPUTED_VALUE"""),24.0)</f>
        <v>24</v>
      </c>
      <c r="G376" s="96"/>
      <c r="H376" s="96">
        <f>IFERROR(__xludf.DUMMYFUNCTION("""COMPUTED_VALUE"""),3.0)</f>
        <v>3</v>
      </c>
      <c r="I376" s="96"/>
      <c r="J376" s="96">
        <f>IFERROR(__xludf.DUMMYFUNCTION("""COMPUTED_VALUE"""),890.0)</f>
        <v>890</v>
      </c>
      <c r="K376" s="96"/>
      <c r="L376" s="99">
        <f>IFERROR(__xludf.DUMMYFUNCTION("""COMPUTED_VALUE"""),-156640.0)</f>
        <v>-156640</v>
      </c>
      <c r="M376" s="96">
        <f>IFERROR(__xludf.DUMMYFUNCTION("""COMPUTED_VALUE"""),8.0)</f>
        <v>8</v>
      </c>
      <c r="N376" s="96">
        <f>IFERROR(__xludf.DUMMYFUNCTION("""COMPUTED_VALUE"""),0.0)</f>
        <v>0</v>
      </c>
      <c r="O376" s="96">
        <f>IFERROR(__xludf.DUMMYFUNCTION("""COMPUTED_VALUE"""),2.0)</f>
        <v>2</v>
      </c>
      <c r="P376" s="96">
        <f>IFERROR(__xludf.DUMMYFUNCTION("""COMPUTED_VALUE"""),50.0)</f>
        <v>50</v>
      </c>
      <c r="Q376" s="129">
        <f>IFERROR(__xludf.DUMMYFUNCTION("""COMPUTED_VALUE"""),176.0)</f>
        <v>176</v>
      </c>
      <c r="R376" s="99">
        <f>IFERROR(__xludf.DUMMYFUNCTION("""COMPUTED_VALUE"""),156640.0)</f>
        <v>156640</v>
      </c>
      <c r="S376" s="99">
        <f>IFERROR(__xludf.DUMMYFUNCTION("""COMPUTED_VALUE"""),2445230.0)</f>
        <v>2445230</v>
      </c>
    </row>
    <row r="377">
      <c r="A377" s="96">
        <f>IFERROR(__xludf.DUMMYFUNCTION("""COMPUTED_VALUE"""),25.0)</f>
        <v>25</v>
      </c>
      <c r="B377" s="98">
        <f>IFERROR(__xludf.DUMMYFUNCTION("""COMPUTED_VALUE"""),44088.0)</f>
        <v>44088</v>
      </c>
      <c r="C377" s="96" t="str">
        <f>IFERROR(__xludf.DUMMYFUNCTION("""COMPUTED_VALUE"""),"LYDIA HNSON ")</f>
        <v>LYDIA HNSON </v>
      </c>
      <c r="D377" s="96" t="str">
        <f>IFERROR(__xludf.DUMMYFUNCTION("""COMPUTED_VALUE"""),"LYDIA HNSON 25")</f>
        <v>LYDIA HNSON 25</v>
      </c>
      <c r="E377" s="96">
        <f>IFERROR(__xludf.DUMMYFUNCTION("""COMPUTED_VALUE"""),39.0)</f>
        <v>39</v>
      </c>
      <c r="F377" s="96">
        <f>IFERROR(__xludf.DUMMYFUNCTION("""COMPUTED_VALUE"""),8.0)</f>
        <v>8</v>
      </c>
      <c r="G377" s="96"/>
      <c r="H377" s="96">
        <f>IFERROR(__xludf.DUMMYFUNCTION("""COMPUTED_VALUE"""),1.0)</f>
        <v>1</v>
      </c>
      <c r="I377" s="96">
        <f>IFERROR(__xludf.DUMMYFUNCTION("""COMPUTED_VALUE"""),1.0)</f>
        <v>1</v>
      </c>
      <c r="J377" s="96">
        <f>IFERROR(__xludf.DUMMYFUNCTION("""COMPUTED_VALUE"""),890.0)</f>
        <v>890</v>
      </c>
      <c r="K377" s="96"/>
      <c r="L377" s="99">
        <f>IFERROR(__xludf.DUMMYFUNCTION("""COMPUTED_VALUE"""),-34710.0)</f>
        <v>-34710</v>
      </c>
      <c r="M377" s="96">
        <f>IFERROR(__xludf.DUMMYFUNCTION("""COMPUTED_VALUE"""),8.0)</f>
        <v>8</v>
      </c>
      <c r="N377" s="96">
        <f>IFERROR(__xludf.DUMMYFUNCTION("""COMPUTED_VALUE"""),0.0)</f>
        <v>0</v>
      </c>
      <c r="O377" s="96">
        <f>IFERROR(__xludf.DUMMYFUNCTION("""COMPUTED_VALUE"""),0.0)</f>
        <v>0</v>
      </c>
      <c r="P377" s="96">
        <f>IFERROR(__xludf.DUMMYFUNCTION("""COMPUTED_VALUE"""),39.0)</f>
        <v>39</v>
      </c>
      <c r="Q377" s="129">
        <f>IFERROR(__xludf.DUMMYFUNCTION("""COMPUTED_VALUE"""),39.0)</f>
        <v>39</v>
      </c>
      <c r="R377" s="99">
        <f>IFERROR(__xludf.DUMMYFUNCTION("""COMPUTED_VALUE"""),34710.0)</f>
        <v>34710</v>
      </c>
      <c r="S377" s="99">
        <f>IFERROR(__xludf.DUMMYFUNCTION("""COMPUTED_VALUE"""),2410520.0)</f>
        <v>2410520</v>
      </c>
    </row>
    <row r="378">
      <c r="A378" s="96">
        <f>IFERROR(__xludf.DUMMYFUNCTION("""COMPUTED_VALUE"""),15.0)</f>
        <v>15</v>
      </c>
      <c r="B378" s="98">
        <f>IFERROR(__xludf.DUMMYFUNCTION("""COMPUTED_VALUE"""),44089.0)</f>
        <v>44089</v>
      </c>
      <c r="C378" s="96" t="str">
        <f>IFERROR(__xludf.DUMMYFUNCTION("""COMPUTED_VALUE""")," MAXWELL AGRO")</f>
        <v> MAXWELL AGRO</v>
      </c>
      <c r="D378" s="96" t="str">
        <f>IFERROR(__xludf.DUMMYFUNCTION("""COMPUTED_VALUE""")," MAXWELL AGRO15")</f>
        <v> MAXWELL AGRO15</v>
      </c>
      <c r="E378" s="96">
        <f>IFERROR(__xludf.DUMMYFUNCTION("""COMPUTED_VALUE"""),668.0)</f>
        <v>668</v>
      </c>
      <c r="F378" s="96">
        <f>IFERROR(__xludf.DUMMYFUNCTION("""COMPUTED_VALUE"""),160.0)</f>
        <v>160</v>
      </c>
      <c r="G378" s="96"/>
      <c r="H378" s="96">
        <f>IFERROR(__xludf.DUMMYFUNCTION("""COMPUTED_VALUE"""),10.0)</f>
        <v>10</v>
      </c>
      <c r="I378" s="96"/>
      <c r="J378" s="96">
        <f>IFERROR(__xludf.DUMMYFUNCTION("""COMPUTED_VALUE"""),2568.54)</f>
        <v>2568.54</v>
      </c>
      <c r="K378" s="96"/>
      <c r="L378" s="99">
        <f>IFERROR(__xludf.DUMMYFUNCTION("""COMPUTED_VALUE"""),-1553968.0)</f>
        <v>-1553968</v>
      </c>
      <c r="M378" s="96">
        <f>IFERROR(__xludf.DUMMYFUNCTION("""COMPUTED_VALUE"""),16.0)</f>
        <v>16</v>
      </c>
      <c r="N378" s="96">
        <f>IFERROR(__xludf.DUMMYFUNCTION("""COMPUTED_VALUE"""),53.0)</f>
        <v>53</v>
      </c>
      <c r="O378" s="96">
        <f>IFERROR(__xludf.DUMMYFUNCTION("""COMPUTED_VALUE"""),9.0)</f>
        <v>9</v>
      </c>
      <c r="P378" s="96">
        <f>IFERROR(__xludf.DUMMYFUNCTION("""COMPUTED_VALUE"""),38.0)</f>
        <v>38</v>
      </c>
      <c r="Q378" s="129">
        <f>IFERROR(__xludf.DUMMYFUNCTION("""COMPUTED_VALUE"""),605.0)</f>
        <v>605</v>
      </c>
      <c r="R378" s="99">
        <f>IFERROR(__xludf.DUMMYFUNCTION("""COMPUTED_VALUE"""),1553968.0)</f>
        <v>1553968</v>
      </c>
      <c r="S378" s="99">
        <f>IFERROR(__xludf.DUMMYFUNCTION("""COMPUTED_VALUE"""),-949468.0)</f>
        <v>-949468</v>
      </c>
    </row>
    <row r="379">
      <c r="A379" s="96">
        <f>IFERROR(__xludf.DUMMYFUNCTION("""COMPUTED_VALUE"""),6.0)</f>
        <v>6</v>
      </c>
      <c r="B379" s="98">
        <f>IFERROR(__xludf.DUMMYFUNCTION("""COMPUTED_VALUE"""),44089.0)</f>
        <v>44089</v>
      </c>
      <c r="C379" s="96" t="str">
        <f>IFERROR(__xludf.DUMMYFUNCTION("""COMPUTED_VALUE"""),"PRINNESS")</f>
        <v>PRINNESS</v>
      </c>
      <c r="D379" s="96" t="str">
        <f>IFERROR(__xludf.DUMMYFUNCTION("""COMPUTED_VALUE"""),"PRINNESS6")</f>
        <v>PRINNESS6</v>
      </c>
      <c r="E379" s="96">
        <f>IFERROR(__xludf.DUMMYFUNCTION("""COMPUTED_VALUE"""),324.0)</f>
        <v>324</v>
      </c>
      <c r="F379" s="96">
        <f>IFERROR(__xludf.DUMMYFUNCTION("""COMPUTED_VALUE"""),57.0)</f>
        <v>57</v>
      </c>
      <c r="G379" s="96"/>
      <c r="H379" s="96">
        <f>IFERROR(__xludf.DUMMYFUNCTION("""COMPUTED_VALUE"""),4.0)</f>
        <v>4</v>
      </c>
      <c r="I379" s="96"/>
      <c r="J379" s="96">
        <f>IFERROR(__xludf.DUMMYFUNCTION("""COMPUTED_VALUE"""),1766.67)</f>
        <v>1766.67</v>
      </c>
      <c r="K379" s="96"/>
      <c r="L379" s="99">
        <f>IFERROR(__xludf.DUMMYFUNCTION("""COMPUTED_VALUE"""),-530000.0)</f>
        <v>-530000</v>
      </c>
      <c r="M379" s="96">
        <f>IFERROR(__xludf.DUMMYFUNCTION("""COMPUTED_VALUE"""),14.25)</f>
        <v>14.25</v>
      </c>
      <c r="N379" s="96">
        <f>IFERROR(__xludf.DUMMYFUNCTION("""COMPUTED_VALUE"""),20.0)</f>
        <v>20</v>
      </c>
      <c r="O379" s="96">
        <f>IFERROR(__xludf.DUMMYFUNCTION("""COMPUTED_VALUE"""),4.0)</f>
        <v>4</v>
      </c>
      <c r="P379" s="96">
        <f>IFERROR(__xludf.DUMMYFUNCTION("""COMPUTED_VALUE"""),48.0)</f>
        <v>48</v>
      </c>
      <c r="Q379" s="129">
        <f>IFERROR(__xludf.DUMMYFUNCTION("""COMPUTED_VALUE"""),300.0)</f>
        <v>300</v>
      </c>
      <c r="R379" s="99">
        <f>IFERROR(__xludf.DUMMYFUNCTION("""COMPUTED_VALUE"""),530000.0)</f>
        <v>530000</v>
      </c>
      <c r="S379" s="99">
        <f>IFERROR(__xludf.DUMMYFUNCTION("""COMPUTED_VALUE"""),294980.0)</f>
        <v>294980</v>
      </c>
    </row>
    <row r="380">
      <c r="A380" s="96">
        <f>IFERROR(__xludf.DUMMYFUNCTION("""COMPUTED_VALUE"""),10.0)</f>
        <v>10</v>
      </c>
      <c r="B380" s="98">
        <f>IFERROR(__xludf.DUMMYFUNCTION("""COMPUTED_VALUE"""),44091.0)</f>
        <v>44091</v>
      </c>
      <c r="C380" s="96" t="str">
        <f>IFERROR(__xludf.DUMMYFUNCTION("""COMPUTED_VALUE"""),"ANDRDEW GREAT")</f>
        <v>ANDRDEW GREAT</v>
      </c>
      <c r="D380" s="96" t="str">
        <f>IFERROR(__xludf.DUMMYFUNCTION("""COMPUTED_VALUE"""),"ANDRDEW GREAT10")</f>
        <v>ANDRDEW GREAT10</v>
      </c>
      <c r="E380" s="96">
        <f>IFERROR(__xludf.DUMMYFUNCTION("""COMPUTED_VALUE"""),1458.0)</f>
        <v>1458</v>
      </c>
      <c r="F380" s="96">
        <f>IFERROR(__xludf.DUMMYFUNCTION("""COMPUTED_VALUE"""),228.5)</f>
        <v>228.5</v>
      </c>
      <c r="G380" s="96"/>
      <c r="H380" s="96">
        <f>IFERROR(__xludf.DUMMYFUNCTION("""COMPUTED_VALUE"""),19.0)</f>
        <v>19</v>
      </c>
      <c r="I380" s="96"/>
      <c r="J380" s="96">
        <f>IFERROR(__xludf.DUMMYFUNCTION("""COMPUTED_VALUE"""),890.0)</f>
        <v>890</v>
      </c>
      <c r="K380" s="96"/>
      <c r="L380" s="99">
        <f>IFERROR(__xludf.DUMMYFUNCTION("""COMPUTED_VALUE"""),-1229090.0)</f>
        <v>-1229090</v>
      </c>
      <c r="M380" s="96">
        <f>IFERROR(__xludf.DUMMYFUNCTION("""COMPUTED_VALUE"""),12.03)</f>
        <v>12.03</v>
      </c>
      <c r="N380" s="96">
        <f>IFERROR(__xludf.DUMMYFUNCTION("""COMPUTED_VALUE"""),58.0)</f>
        <v>58</v>
      </c>
      <c r="O380" s="96">
        <f>IFERROR(__xludf.DUMMYFUNCTION("""COMPUTED_VALUE"""),21.0)</f>
        <v>21</v>
      </c>
      <c r="P380" s="96">
        <f>IFERROR(__xludf.DUMMYFUNCTION("""COMPUTED_VALUE"""),58.0)</f>
        <v>58</v>
      </c>
      <c r="Q380" s="129">
        <f>IFERROR(__xludf.DUMMYFUNCTION("""COMPUTED_VALUE"""),1381.0)</f>
        <v>1381</v>
      </c>
      <c r="R380" s="99">
        <f>IFERROR(__xludf.DUMMYFUNCTION("""COMPUTED_VALUE"""),1229090.0)</f>
        <v>1229090</v>
      </c>
      <c r="S380" s="99">
        <f>IFERROR(__xludf.DUMMYFUNCTION("""COMPUTED_VALUE"""),1227860.0)</f>
        <v>1227860</v>
      </c>
    </row>
    <row r="381">
      <c r="A381" s="96">
        <f>IFERROR(__xludf.DUMMYFUNCTION("""COMPUTED_VALUE"""),16.0)</f>
        <v>16</v>
      </c>
      <c r="B381" s="98">
        <f>IFERROR(__xludf.DUMMYFUNCTION("""COMPUTED_VALUE"""),44090.0)</f>
        <v>44090</v>
      </c>
      <c r="C381" s="96" t="str">
        <f>IFERROR(__xludf.DUMMYFUNCTION("""COMPUTED_VALUE""")," MAXWELL AGRO")</f>
        <v> MAXWELL AGRO</v>
      </c>
      <c r="D381" s="96" t="str">
        <f>IFERROR(__xludf.DUMMYFUNCTION("""COMPUTED_VALUE""")," MAXWELL AGRO16")</f>
        <v> MAXWELL AGRO16</v>
      </c>
      <c r="E381" s="96"/>
      <c r="F381" s="96"/>
      <c r="G381" s="96"/>
      <c r="H381" s="96"/>
      <c r="I381" s="96"/>
      <c r="J381" s="96"/>
      <c r="K381" s="96">
        <f>IFERROR(__xludf.DUMMYFUNCTION("""COMPUTED_VALUE"""),1553900.0)</f>
        <v>1553900</v>
      </c>
      <c r="L381" s="99">
        <f>IFERROR(__xludf.DUMMYFUNCTION("""COMPUTED_VALUE"""),1553900.0)</f>
        <v>1553900</v>
      </c>
      <c r="M381" s="96"/>
      <c r="N381" s="96">
        <f>IFERROR(__xludf.DUMMYFUNCTION("""COMPUTED_VALUE"""),0.0)</f>
        <v>0</v>
      </c>
      <c r="O381" s="96">
        <f>IFERROR(__xludf.DUMMYFUNCTION("""COMPUTED_VALUE"""),0.0)</f>
        <v>0</v>
      </c>
      <c r="P381" s="96">
        <f>IFERROR(__xludf.DUMMYFUNCTION("""COMPUTED_VALUE"""),0.0)</f>
        <v>0</v>
      </c>
      <c r="Q381" s="129">
        <f>IFERROR(__xludf.DUMMYFUNCTION("""COMPUTED_VALUE"""),0.0)</f>
        <v>0</v>
      </c>
      <c r="R381" s="99"/>
      <c r="S381" s="99">
        <f>IFERROR(__xludf.DUMMYFUNCTION("""COMPUTED_VALUE"""),604432.0)</f>
        <v>604432</v>
      </c>
    </row>
    <row r="382">
      <c r="A382" s="96">
        <f>IFERROR(__xludf.DUMMYFUNCTION("""COMPUTED_VALUE"""),12.0)</f>
        <v>12</v>
      </c>
      <c r="B382" s="98">
        <f>IFERROR(__xludf.DUMMYFUNCTION("""COMPUTED_VALUE"""),44090.0)</f>
        <v>44090</v>
      </c>
      <c r="C382" s="96" t="str">
        <f>IFERROR(__xludf.DUMMYFUNCTION("""COMPUTED_VALUE"""),"ALFRED ALABI")</f>
        <v>ALFRED ALABI</v>
      </c>
      <c r="D382" s="96" t="str">
        <f>IFERROR(__xludf.DUMMYFUNCTION("""COMPUTED_VALUE"""),"ALFRED ALABI12")</f>
        <v>ALFRED ALABI12</v>
      </c>
      <c r="E382" s="96"/>
      <c r="F382" s="96"/>
      <c r="G382" s="96"/>
      <c r="H382" s="96"/>
      <c r="I382" s="96"/>
      <c r="J382" s="96"/>
      <c r="K382" s="96">
        <f>IFERROR(__xludf.DUMMYFUNCTION("""COMPUTED_VALUE"""),1161000.0)</f>
        <v>1161000</v>
      </c>
      <c r="L382" s="99">
        <f>IFERROR(__xludf.DUMMYFUNCTION("""COMPUTED_VALUE"""),1161000.0)</f>
        <v>1161000</v>
      </c>
      <c r="M382" s="96"/>
      <c r="N382" s="96">
        <f>IFERROR(__xludf.DUMMYFUNCTION("""COMPUTED_VALUE"""),0.0)</f>
        <v>0</v>
      </c>
      <c r="O382" s="96">
        <f>IFERROR(__xludf.DUMMYFUNCTION("""COMPUTED_VALUE"""),0.0)</f>
        <v>0</v>
      </c>
      <c r="P382" s="96">
        <f>IFERROR(__xludf.DUMMYFUNCTION("""COMPUTED_VALUE"""),0.0)</f>
        <v>0</v>
      </c>
      <c r="Q382" s="129">
        <f>IFERROR(__xludf.DUMMYFUNCTION("""COMPUTED_VALUE"""),0.0)</f>
        <v>0</v>
      </c>
      <c r="R382" s="99"/>
      <c r="S382" s="99">
        <f>IFERROR(__xludf.DUMMYFUNCTION("""COMPUTED_VALUE"""),1000020.0)</f>
        <v>1000020</v>
      </c>
    </row>
    <row r="383">
      <c r="A383" s="96">
        <f>IFERROR(__xludf.DUMMYFUNCTION("""COMPUTED_VALUE"""),7.0)</f>
        <v>7</v>
      </c>
      <c r="B383" s="98">
        <f>IFERROR(__xludf.DUMMYFUNCTION("""COMPUTED_VALUE"""),44090.0)</f>
        <v>44090</v>
      </c>
      <c r="C383" s="96" t="str">
        <f>IFERROR(__xludf.DUMMYFUNCTION("""COMPUTED_VALUE"""),"AUGUSTINE IGBA")</f>
        <v>AUGUSTINE IGBA</v>
      </c>
      <c r="D383" s="96" t="str">
        <f>IFERROR(__xludf.DUMMYFUNCTION("""COMPUTED_VALUE"""),"AUGUSTINE IGBA7")</f>
        <v>AUGUSTINE IGBA7</v>
      </c>
      <c r="E383" s="96"/>
      <c r="F383" s="96"/>
      <c r="G383" s="96"/>
      <c r="H383" s="96"/>
      <c r="I383" s="96"/>
      <c r="J383" s="96"/>
      <c r="K383" s="96">
        <f>IFERROR(__xludf.DUMMYFUNCTION("""COMPUTED_VALUE"""),2000000.0)</f>
        <v>2000000</v>
      </c>
      <c r="L383" s="99">
        <f>IFERROR(__xludf.DUMMYFUNCTION("""COMPUTED_VALUE"""),2000000.0)</f>
        <v>2000000</v>
      </c>
      <c r="M383" s="96"/>
      <c r="N383" s="96">
        <f>IFERROR(__xludf.DUMMYFUNCTION("""COMPUTED_VALUE"""),0.0)</f>
        <v>0</v>
      </c>
      <c r="O383" s="96">
        <f>IFERROR(__xludf.DUMMYFUNCTION("""COMPUTED_VALUE"""),0.0)</f>
        <v>0</v>
      </c>
      <c r="P383" s="96">
        <f>IFERROR(__xludf.DUMMYFUNCTION("""COMPUTED_VALUE"""),0.0)</f>
        <v>0</v>
      </c>
      <c r="Q383" s="129">
        <f>IFERROR(__xludf.DUMMYFUNCTION("""COMPUTED_VALUE"""),0.0)</f>
        <v>0</v>
      </c>
      <c r="R383" s="99"/>
      <c r="S383" s="99">
        <f>IFERROR(__xludf.DUMMYFUNCTION("""COMPUTED_VALUE"""),2.913414E7)</f>
        <v>29134140</v>
      </c>
    </row>
    <row r="384">
      <c r="A384" s="96">
        <f>IFERROR(__xludf.DUMMYFUNCTION("""COMPUTED_VALUE"""),4.0)</f>
        <v>4</v>
      </c>
      <c r="B384" s="98">
        <f>IFERROR(__xludf.DUMMYFUNCTION("""COMPUTED_VALUE"""),44090.0)</f>
        <v>44090</v>
      </c>
      <c r="C384" s="96" t="str">
        <f>IFERROR(__xludf.DUMMYFUNCTION("""COMPUTED_VALUE"""),"NDOMA PRIN")</f>
        <v>NDOMA PRIN</v>
      </c>
      <c r="D384" s="96" t="str">
        <f>IFERROR(__xludf.DUMMYFUNCTION("""COMPUTED_VALUE"""),"NDOMA PRIN4")</f>
        <v>NDOMA PRIN4</v>
      </c>
      <c r="E384" s="96"/>
      <c r="F384" s="96"/>
      <c r="G384" s="96"/>
      <c r="H384" s="96"/>
      <c r="I384" s="96"/>
      <c r="J384" s="96"/>
      <c r="K384" s="96">
        <f>IFERROR(__xludf.DUMMYFUNCTION("""COMPUTED_VALUE"""),261700.0)</f>
        <v>261700</v>
      </c>
      <c r="L384" s="99">
        <f>IFERROR(__xludf.DUMMYFUNCTION("""COMPUTED_VALUE"""),261700.0)</f>
        <v>261700</v>
      </c>
      <c r="M384" s="96"/>
      <c r="N384" s="96">
        <f>IFERROR(__xludf.DUMMYFUNCTION("""COMPUTED_VALUE"""),0.0)</f>
        <v>0</v>
      </c>
      <c r="O384" s="96">
        <f>IFERROR(__xludf.DUMMYFUNCTION("""COMPUTED_VALUE"""),0.0)</f>
        <v>0</v>
      </c>
      <c r="P384" s="96">
        <f>IFERROR(__xludf.DUMMYFUNCTION("""COMPUTED_VALUE"""),0.0)</f>
        <v>0</v>
      </c>
      <c r="Q384" s="129">
        <f>IFERROR(__xludf.DUMMYFUNCTION("""COMPUTED_VALUE"""),0.0)</f>
        <v>0</v>
      </c>
      <c r="R384" s="99"/>
      <c r="S384" s="99">
        <f>IFERROR(__xludf.DUMMYFUNCTION("""COMPUTED_VALUE"""),419900.0)</f>
        <v>419900</v>
      </c>
    </row>
    <row r="385">
      <c r="A385" s="96">
        <f>IFERROR(__xludf.DUMMYFUNCTION("""COMPUTED_VALUE"""),7.0)</f>
        <v>7</v>
      </c>
      <c r="B385" s="98">
        <f>IFERROR(__xludf.DUMMYFUNCTION("""COMPUTED_VALUE"""),44090.0)</f>
        <v>44090</v>
      </c>
      <c r="C385" s="96" t="str">
        <f>IFERROR(__xludf.DUMMYFUNCTION("""COMPUTED_VALUE"""),"PRINNESS")</f>
        <v>PRINNESS</v>
      </c>
      <c r="D385" s="96" t="str">
        <f>IFERROR(__xludf.DUMMYFUNCTION("""COMPUTED_VALUE"""),"PRINNESS7")</f>
        <v>PRINNESS7</v>
      </c>
      <c r="E385" s="96"/>
      <c r="F385" s="96"/>
      <c r="G385" s="96"/>
      <c r="H385" s="96"/>
      <c r="I385" s="96"/>
      <c r="J385" s="96"/>
      <c r="K385" s="96">
        <f>IFERROR(__xludf.DUMMYFUNCTION("""COMPUTED_VALUE"""),520000.0)</f>
        <v>520000</v>
      </c>
      <c r="L385" s="99">
        <f>IFERROR(__xludf.DUMMYFUNCTION("""COMPUTED_VALUE"""),520000.0)</f>
        <v>520000</v>
      </c>
      <c r="M385" s="96"/>
      <c r="N385" s="96">
        <f>IFERROR(__xludf.DUMMYFUNCTION("""COMPUTED_VALUE"""),0.0)</f>
        <v>0</v>
      </c>
      <c r="O385" s="96">
        <f>IFERROR(__xludf.DUMMYFUNCTION("""COMPUTED_VALUE"""),0.0)</f>
        <v>0</v>
      </c>
      <c r="P385" s="96">
        <f>IFERROR(__xludf.DUMMYFUNCTION("""COMPUTED_VALUE"""),0.0)</f>
        <v>0</v>
      </c>
      <c r="Q385" s="129">
        <f>IFERROR(__xludf.DUMMYFUNCTION("""COMPUTED_VALUE"""),0.0)</f>
        <v>0</v>
      </c>
      <c r="R385" s="99"/>
      <c r="S385" s="99">
        <f>IFERROR(__xludf.DUMMYFUNCTION("""COMPUTED_VALUE"""),814980.0)</f>
        <v>814980</v>
      </c>
    </row>
    <row r="386">
      <c r="A386" s="96">
        <f>IFERROR(__xludf.DUMMYFUNCTION("""COMPUTED_VALUE"""),17.0)</f>
        <v>17</v>
      </c>
      <c r="B386" s="98">
        <f>IFERROR(__xludf.DUMMYFUNCTION("""COMPUTED_VALUE"""),44091.0)</f>
        <v>44091</v>
      </c>
      <c r="C386" s="96" t="str">
        <f>IFERROR(__xludf.DUMMYFUNCTION("""COMPUTED_VALUE"""),"LIVINUS")</f>
        <v>LIVINUS</v>
      </c>
      <c r="D386" s="96" t="str">
        <f>IFERROR(__xludf.DUMMYFUNCTION("""COMPUTED_VALUE"""),"LIVINUS17")</f>
        <v>LIVINUS17</v>
      </c>
      <c r="E386" s="96"/>
      <c r="F386" s="96"/>
      <c r="G386" s="96"/>
      <c r="H386" s="96"/>
      <c r="I386" s="96"/>
      <c r="J386" s="96"/>
      <c r="K386" s="96">
        <f>IFERROR(__xludf.DUMMYFUNCTION("""COMPUTED_VALUE"""),1060000.0)</f>
        <v>1060000</v>
      </c>
      <c r="L386" s="99">
        <f>IFERROR(__xludf.DUMMYFUNCTION("""COMPUTED_VALUE"""),1060000.0)</f>
        <v>1060000</v>
      </c>
      <c r="M386" s="96"/>
      <c r="N386" s="96">
        <f>IFERROR(__xludf.DUMMYFUNCTION("""COMPUTED_VALUE"""),0.0)</f>
        <v>0</v>
      </c>
      <c r="O386" s="96">
        <f>IFERROR(__xludf.DUMMYFUNCTION("""COMPUTED_VALUE"""),0.0)</f>
        <v>0</v>
      </c>
      <c r="P386" s="96">
        <f>IFERROR(__xludf.DUMMYFUNCTION("""COMPUTED_VALUE"""),0.0)</f>
        <v>0</v>
      </c>
      <c r="Q386" s="129">
        <f>IFERROR(__xludf.DUMMYFUNCTION("""COMPUTED_VALUE"""),0.0)</f>
        <v>0</v>
      </c>
      <c r="R386" s="99"/>
      <c r="S386" s="99">
        <f>IFERROR(__xludf.DUMMYFUNCTION("""COMPUTED_VALUE"""),1.04145E7)</f>
        <v>10414500</v>
      </c>
    </row>
    <row r="387">
      <c r="A387" s="96">
        <f>IFERROR(__xludf.DUMMYFUNCTION("""COMPUTED_VALUE"""),11.0)</f>
        <v>11</v>
      </c>
      <c r="B387" s="98">
        <f>IFERROR(__xludf.DUMMYFUNCTION("""COMPUTED_VALUE"""),44091.0)</f>
        <v>44091</v>
      </c>
      <c r="C387" s="96" t="str">
        <f>IFERROR(__xludf.DUMMYFUNCTION("""COMPUTED_VALUE"""),"ANDRDEW GREAT")</f>
        <v>ANDRDEW GREAT</v>
      </c>
      <c r="D387" s="96" t="str">
        <f>IFERROR(__xludf.DUMMYFUNCTION("""COMPUTED_VALUE"""),"ANDRDEW GREAT11")</f>
        <v>ANDRDEW GREAT11</v>
      </c>
      <c r="E387" s="96"/>
      <c r="F387" s="96"/>
      <c r="G387" s="96"/>
      <c r="H387" s="96"/>
      <c r="I387" s="96"/>
      <c r="J387" s="96"/>
      <c r="K387" s="96">
        <f>IFERROR(__xludf.DUMMYFUNCTION("""COMPUTED_VALUE"""),1229000.0)</f>
        <v>1229000</v>
      </c>
      <c r="L387" s="99">
        <f>IFERROR(__xludf.DUMMYFUNCTION("""COMPUTED_VALUE"""),1229000.0)</f>
        <v>1229000</v>
      </c>
      <c r="M387" s="96"/>
      <c r="N387" s="96">
        <f>IFERROR(__xludf.DUMMYFUNCTION("""COMPUTED_VALUE"""),0.0)</f>
        <v>0</v>
      </c>
      <c r="O387" s="96">
        <f>IFERROR(__xludf.DUMMYFUNCTION("""COMPUTED_VALUE"""),0.0)</f>
        <v>0</v>
      </c>
      <c r="P387" s="96">
        <f>IFERROR(__xludf.DUMMYFUNCTION("""COMPUTED_VALUE"""),0.0)</f>
        <v>0</v>
      </c>
      <c r="Q387" s="129">
        <f>IFERROR(__xludf.DUMMYFUNCTION("""COMPUTED_VALUE"""),0.0)</f>
        <v>0</v>
      </c>
      <c r="R387" s="99"/>
      <c r="S387" s="99">
        <f>IFERROR(__xludf.DUMMYFUNCTION("""COMPUTED_VALUE"""),2456860.0)</f>
        <v>2456860</v>
      </c>
    </row>
    <row r="388">
      <c r="A388" s="96">
        <f>IFERROR(__xludf.DUMMYFUNCTION("""COMPUTED_VALUE"""),18.0)</f>
        <v>18</v>
      </c>
      <c r="B388" s="98">
        <f>IFERROR(__xludf.DUMMYFUNCTION("""COMPUTED_VALUE"""),44091.0)</f>
        <v>44091</v>
      </c>
      <c r="C388" s="96" t="str">
        <f>IFERROR(__xludf.DUMMYFUNCTION("""COMPUTED_VALUE"""),"CONNECT")</f>
        <v>CONNECT</v>
      </c>
      <c r="D388" s="96" t="str">
        <f>IFERROR(__xludf.DUMMYFUNCTION("""COMPUTED_VALUE"""),"CONNECT18")</f>
        <v>CONNECT18</v>
      </c>
      <c r="E388" s="96"/>
      <c r="F388" s="96"/>
      <c r="G388" s="96"/>
      <c r="H388" s="96"/>
      <c r="I388" s="96"/>
      <c r="J388" s="96"/>
      <c r="K388" s="96">
        <f>IFERROR(__xludf.DUMMYFUNCTION("""COMPUTED_VALUE"""),1000000.0)</f>
        <v>1000000</v>
      </c>
      <c r="L388" s="99">
        <f>IFERROR(__xludf.DUMMYFUNCTION("""COMPUTED_VALUE"""),1000000.0)</f>
        <v>1000000</v>
      </c>
      <c r="M388" s="96"/>
      <c r="N388" s="96">
        <f>IFERROR(__xludf.DUMMYFUNCTION("""COMPUTED_VALUE"""),0.0)</f>
        <v>0</v>
      </c>
      <c r="O388" s="96">
        <f>IFERROR(__xludf.DUMMYFUNCTION("""COMPUTED_VALUE"""),0.0)</f>
        <v>0</v>
      </c>
      <c r="P388" s="96">
        <f>IFERROR(__xludf.DUMMYFUNCTION("""COMPUTED_VALUE"""),0.0)</f>
        <v>0</v>
      </c>
      <c r="Q388" s="129">
        <f>IFERROR(__xludf.DUMMYFUNCTION("""COMPUTED_VALUE"""),0.0)</f>
        <v>0</v>
      </c>
      <c r="R388" s="99"/>
      <c r="S388" s="99">
        <f>IFERROR(__xludf.DUMMYFUNCTION("""COMPUTED_VALUE"""),4007450.0)</f>
        <v>4007450</v>
      </c>
    </row>
    <row r="389">
      <c r="A389" s="96">
        <f>IFERROR(__xludf.DUMMYFUNCTION("""COMPUTED_VALUE"""),26.0)</f>
        <v>26</v>
      </c>
      <c r="B389" s="98">
        <f>IFERROR(__xludf.DUMMYFUNCTION("""COMPUTED_VALUE"""),44092.0)</f>
        <v>44092</v>
      </c>
      <c r="C389" s="96" t="str">
        <f>IFERROR(__xludf.DUMMYFUNCTION("""COMPUTED_VALUE"""),"LYDIA HNSON ")</f>
        <v>LYDIA HNSON </v>
      </c>
      <c r="D389" s="96" t="str">
        <f>IFERROR(__xludf.DUMMYFUNCTION("""COMPUTED_VALUE"""),"LYDIA HNSON 26")</f>
        <v>LYDIA HNSON 26</v>
      </c>
      <c r="E389" s="96"/>
      <c r="F389" s="96"/>
      <c r="G389" s="96"/>
      <c r="H389" s="96"/>
      <c r="I389" s="96"/>
      <c r="J389" s="96"/>
      <c r="K389" s="96">
        <f>IFERROR(__xludf.DUMMYFUNCTION("""COMPUTED_VALUE"""),2000000.0)</f>
        <v>2000000</v>
      </c>
      <c r="L389" s="99">
        <f>IFERROR(__xludf.DUMMYFUNCTION("""COMPUTED_VALUE"""),2000000.0)</f>
        <v>2000000</v>
      </c>
      <c r="M389" s="96"/>
      <c r="N389" s="96">
        <f>IFERROR(__xludf.DUMMYFUNCTION("""COMPUTED_VALUE"""),0.0)</f>
        <v>0</v>
      </c>
      <c r="O389" s="96">
        <f>IFERROR(__xludf.DUMMYFUNCTION("""COMPUTED_VALUE"""),0.0)</f>
        <v>0</v>
      </c>
      <c r="P389" s="96">
        <f>IFERROR(__xludf.DUMMYFUNCTION("""COMPUTED_VALUE"""),0.0)</f>
        <v>0</v>
      </c>
      <c r="Q389" s="129">
        <f>IFERROR(__xludf.DUMMYFUNCTION("""COMPUTED_VALUE"""),0.0)</f>
        <v>0</v>
      </c>
      <c r="R389" s="99"/>
      <c r="S389" s="99">
        <f>IFERROR(__xludf.DUMMYFUNCTION("""COMPUTED_VALUE"""),4410520.0)</f>
        <v>4410520</v>
      </c>
    </row>
    <row r="390">
      <c r="A390" s="96">
        <f>IFERROR(__xludf.DUMMYFUNCTION("""COMPUTED_VALUE"""),27.0)</f>
        <v>27</v>
      </c>
      <c r="B390" s="98">
        <f>IFERROR(__xludf.DUMMYFUNCTION("""COMPUTED_VALUE"""),44092.0)</f>
        <v>44092</v>
      </c>
      <c r="C390" s="96" t="str">
        <f>IFERROR(__xludf.DUMMYFUNCTION("""COMPUTED_VALUE"""),"LYDIA HNSON ")</f>
        <v>LYDIA HNSON </v>
      </c>
      <c r="D390" s="96" t="str">
        <f>IFERROR(__xludf.DUMMYFUNCTION("""COMPUTED_VALUE"""),"LYDIA HNSON 27")</f>
        <v>LYDIA HNSON 27</v>
      </c>
      <c r="E390" s="96"/>
      <c r="F390" s="96"/>
      <c r="G390" s="96"/>
      <c r="H390" s="96"/>
      <c r="I390" s="96"/>
      <c r="J390" s="96"/>
      <c r="K390" s="96">
        <f>IFERROR(__xludf.DUMMYFUNCTION("""COMPUTED_VALUE"""),300000.0)</f>
        <v>300000</v>
      </c>
      <c r="L390" s="99">
        <f>IFERROR(__xludf.DUMMYFUNCTION("""COMPUTED_VALUE"""),300000.0)</f>
        <v>300000</v>
      </c>
      <c r="M390" s="96"/>
      <c r="N390" s="96">
        <f>IFERROR(__xludf.DUMMYFUNCTION("""COMPUTED_VALUE"""),0.0)</f>
        <v>0</v>
      </c>
      <c r="O390" s="96">
        <f>IFERROR(__xludf.DUMMYFUNCTION("""COMPUTED_VALUE"""),0.0)</f>
        <v>0</v>
      </c>
      <c r="P390" s="96">
        <f>IFERROR(__xludf.DUMMYFUNCTION("""COMPUTED_VALUE"""),0.0)</f>
        <v>0</v>
      </c>
      <c r="Q390" s="129">
        <f>IFERROR(__xludf.DUMMYFUNCTION("""COMPUTED_VALUE"""),0.0)</f>
        <v>0</v>
      </c>
      <c r="R390" s="99"/>
      <c r="S390" s="99">
        <f>IFERROR(__xludf.DUMMYFUNCTION("""COMPUTED_VALUE"""),4710520.0)</f>
        <v>4710520</v>
      </c>
    </row>
    <row r="391">
      <c r="A391" s="96">
        <f>IFERROR(__xludf.DUMMYFUNCTION("""COMPUTED_VALUE"""),3.0)</f>
        <v>3</v>
      </c>
      <c r="B391" s="98">
        <f>IFERROR(__xludf.DUMMYFUNCTION("""COMPUTED_VALUE"""),44092.0)</f>
        <v>44092</v>
      </c>
      <c r="C391" s="96" t="str">
        <f>IFERROR(__xludf.DUMMYFUNCTION("""COMPUTED_VALUE"""),"ZULU ")</f>
        <v>ZULU </v>
      </c>
      <c r="D391" s="96" t="str">
        <f>IFERROR(__xludf.DUMMYFUNCTION("""COMPUTED_VALUE"""),"ZULU 3")</f>
        <v>ZULU 3</v>
      </c>
      <c r="E391" s="96"/>
      <c r="F391" s="96"/>
      <c r="G391" s="96"/>
      <c r="H391" s="96"/>
      <c r="I391" s="96"/>
      <c r="J391" s="96"/>
      <c r="K391" s="96">
        <f>IFERROR(__xludf.DUMMYFUNCTION("""COMPUTED_VALUE"""),275000.0)</f>
        <v>275000</v>
      </c>
      <c r="L391" s="99">
        <f>IFERROR(__xludf.DUMMYFUNCTION("""COMPUTED_VALUE"""),275000.0)</f>
        <v>275000</v>
      </c>
      <c r="M391" s="96"/>
      <c r="N391" s="96">
        <f>IFERROR(__xludf.DUMMYFUNCTION("""COMPUTED_VALUE"""),0.0)</f>
        <v>0</v>
      </c>
      <c r="O391" s="96">
        <f>IFERROR(__xludf.DUMMYFUNCTION("""COMPUTED_VALUE"""),0.0)</f>
        <v>0</v>
      </c>
      <c r="P391" s="96">
        <f>IFERROR(__xludf.DUMMYFUNCTION("""COMPUTED_VALUE"""),0.0)</f>
        <v>0</v>
      </c>
      <c r="Q391" s="129">
        <f>IFERROR(__xludf.DUMMYFUNCTION("""COMPUTED_VALUE"""),0.0)</f>
        <v>0</v>
      </c>
      <c r="R391" s="99"/>
      <c r="S391" s="99">
        <f>IFERROR(__xludf.DUMMYFUNCTION("""COMPUTED_VALUE"""),479000.0)</f>
        <v>479000</v>
      </c>
    </row>
    <row r="392">
      <c r="A392" s="96">
        <f>IFERROR(__xludf.DUMMYFUNCTION("""COMPUTED_VALUE"""),9.0)</f>
        <v>9</v>
      </c>
      <c r="B392" s="98">
        <f>IFERROR(__xludf.DUMMYFUNCTION("""COMPUTED_VALUE"""),44092.0)</f>
        <v>44092</v>
      </c>
      <c r="C392" s="96" t="str">
        <f>IFERROR(__xludf.DUMMYFUNCTION("""COMPUTED_VALUE"""),"OTU KOKO KEIBO")</f>
        <v>OTU KOKO KEIBO</v>
      </c>
      <c r="D392" s="96" t="str">
        <f>IFERROR(__xludf.DUMMYFUNCTION("""COMPUTED_VALUE"""),"OTU KOKO KEIBO9")</f>
        <v>OTU KOKO KEIBO9</v>
      </c>
      <c r="E392" s="96"/>
      <c r="F392" s="96"/>
      <c r="G392" s="96"/>
      <c r="H392" s="96"/>
      <c r="I392" s="96"/>
      <c r="J392" s="96"/>
      <c r="K392" s="96">
        <f>IFERROR(__xludf.DUMMYFUNCTION("""COMPUTED_VALUE"""),20500.0)</f>
        <v>20500</v>
      </c>
      <c r="L392" s="99">
        <f>IFERROR(__xludf.DUMMYFUNCTION("""COMPUTED_VALUE"""),20500.0)</f>
        <v>20500</v>
      </c>
      <c r="M392" s="96"/>
      <c r="N392" s="96">
        <f>IFERROR(__xludf.DUMMYFUNCTION("""COMPUTED_VALUE"""),0.0)</f>
        <v>0</v>
      </c>
      <c r="O392" s="96">
        <f>IFERROR(__xludf.DUMMYFUNCTION("""COMPUTED_VALUE"""),0.0)</f>
        <v>0</v>
      </c>
      <c r="P392" s="96">
        <f>IFERROR(__xludf.DUMMYFUNCTION("""COMPUTED_VALUE"""),0.0)</f>
        <v>0</v>
      </c>
      <c r="Q392" s="129">
        <f>IFERROR(__xludf.DUMMYFUNCTION("""COMPUTED_VALUE"""),0.0)</f>
        <v>0</v>
      </c>
      <c r="R392" s="99"/>
      <c r="S392" s="99">
        <f>IFERROR(__xludf.DUMMYFUNCTION("""COMPUTED_VALUE"""),2.6186425E7)</f>
        <v>26186425</v>
      </c>
    </row>
    <row r="393">
      <c r="A393" s="96">
        <f>IFERROR(__xludf.DUMMYFUNCTION("""COMPUTED_VALUE"""),10.0)</f>
        <v>10</v>
      </c>
      <c r="B393" s="98">
        <f>IFERROR(__xludf.DUMMYFUNCTION("""COMPUTED_VALUE"""),44092.0)</f>
        <v>44092</v>
      </c>
      <c r="C393" s="96" t="str">
        <f>IFERROR(__xludf.DUMMYFUNCTION("""COMPUTED_VALUE"""),"OTU KOKO KEIBO")</f>
        <v>OTU KOKO KEIBO</v>
      </c>
      <c r="D393" s="96" t="str">
        <f>IFERROR(__xludf.DUMMYFUNCTION("""COMPUTED_VALUE"""),"OTU KOKO KEIBO10")</f>
        <v>OTU KOKO KEIBO10</v>
      </c>
      <c r="E393" s="96"/>
      <c r="F393" s="96"/>
      <c r="G393" s="96"/>
      <c r="H393" s="96"/>
      <c r="I393" s="96"/>
      <c r="J393" s="96"/>
      <c r="K393" s="96">
        <f>IFERROR(__xludf.DUMMYFUNCTION("""COMPUTED_VALUE"""),116000.0)</f>
        <v>116000</v>
      </c>
      <c r="L393" s="99">
        <f>IFERROR(__xludf.DUMMYFUNCTION("""COMPUTED_VALUE"""),116000.0)</f>
        <v>116000</v>
      </c>
      <c r="M393" s="96"/>
      <c r="N393" s="96">
        <f>IFERROR(__xludf.DUMMYFUNCTION("""COMPUTED_VALUE"""),0.0)</f>
        <v>0</v>
      </c>
      <c r="O393" s="96">
        <f>IFERROR(__xludf.DUMMYFUNCTION("""COMPUTED_VALUE"""),0.0)</f>
        <v>0</v>
      </c>
      <c r="P393" s="96">
        <f>IFERROR(__xludf.DUMMYFUNCTION("""COMPUTED_VALUE"""),0.0)</f>
        <v>0</v>
      </c>
      <c r="Q393" s="129">
        <f>IFERROR(__xludf.DUMMYFUNCTION("""COMPUTED_VALUE"""),0.0)</f>
        <v>0</v>
      </c>
      <c r="R393" s="99"/>
      <c r="S393" s="99">
        <f>IFERROR(__xludf.DUMMYFUNCTION("""COMPUTED_VALUE"""),2.6302425E7)</f>
        <v>26302425</v>
      </c>
    </row>
    <row r="394">
      <c r="A394" s="96">
        <f>IFERROR(__xludf.DUMMYFUNCTION("""COMPUTED_VALUE"""),3.0)</f>
        <v>3</v>
      </c>
      <c r="B394" s="98">
        <f>IFERROR(__xludf.DUMMYFUNCTION("""COMPUTED_VALUE"""),44092.0)</f>
        <v>44092</v>
      </c>
      <c r="C394" s="96" t="str">
        <f>IFERROR(__xludf.DUMMYFUNCTION("""COMPUTED_VALUE"""),"ABANG. DUNLOP")</f>
        <v>ABANG. DUNLOP</v>
      </c>
      <c r="D394" s="96" t="str">
        <f>IFERROR(__xludf.DUMMYFUNCTION("""COMPUTED_VALUE"""),"ABANG. DUNLOP3")</f>
        <v>ABANG. DUNLOP3</v>
      </c>
      <c r="E394" s="96"/>
      <c r="F394" s="96"/>
      <c r="G394" s="96"/>
      <c r="H394" s="96"/>
      <c r="I394" s="96"/>
      <c r="J394" s="96"/>
      <c r="K394" s="96">
        <f>IFERROR(__xludf.DUMMYFUNCTION("""COMPUTED_VALUE"""),500000.0)</f>
        <v>500000</v>
      </c>
      <c r="L394" s="99">
        <f>IFERROR(__xludf.DUMMYFUNCTION("""COMPUTED_VALUE"""),500000.0)</f>
        <v>500000</v>
      </c>
      <c r="M394" s="96"/>
      <c r="N394" s="96">
        <f>IFERROR(__xludf.DUMMYFUNCTION("""COMPUTED_VALUE"""),0.0)</f>
        <v>0</v>
      </c>
      <c r="O394" s="96">
        <f>IFERROR(__xludf.DUMMYFUNCTION("""COMPUTED_VALUE"""),0.0)</f>
        <v>0</v>
      </c>
      <c r="P394" s="96">
        <f>IFERROR(__xludf.DUMMYFUNCTION("""COMPUTED_VALUE"""),0.0)</f>
        <v>0</v>
      </c>
      <c r="Q394" s="129">
        <f>IFERROR(__xludf.DUMMYFUNCTION("""COMPUTED_VALUE"""),0.0)</f>
        <v>0</v>
      </c>
      <c r="R394" s="99"/>
      <c r="S394" s="99">
        <f>IFERROR(__xludf.DUMMYFUNCTION("""COMPUTED_VALUE"""),500000.0)</f>
        <v>500000</v>
      </c>
    </row>
    <row r="395">
      <c r="A395" s="96">
        <f>IFERROR(__xludf.DUMMYFUNCTION("""COMPUTED_VALUE"""),19.0)</f>
        <v>19</v>
      </c>
      <c r="B395" s="98">
        <f>IFERROR(__xludf.DUMMYFUNCTION("""COMPUTED_VALUE"""),44093.0)</f>
        <v>44093</v>
      </c>
      <c r="C395" s="96" t="str">
        <f>IFERROR(__xludf.DUMMYFUNCTION("""COMPUTED_VALUE"""),"CONNECT")</f>
        <v>CONNECT</v>
      </c>
      <c r="D395" s="96" t="str">
        <f>IFERROR(__xludf.DUMMYFUNCTION("""COMPUTED_VALUE"""),"CONNECT19")</f>
        <v>CONNECT19</v>
      </c>
      <c r="E395" s="96">
        <f>IFERROR(__xludf.DUMMYFUNCTION("""COMPUTED_VALUE"""),1907.0)</f>
        <v>1907</v>
      </c>
      <c r="F395" s="96">
        <f>IFERROR(__xludf.DUMMYFUNCTION("""COMPUTED_VALUE"""),232.0)</f>
        <v>232</v>
      </c>
      <c r="G395" s="96"/>
      <c r="H395" s="96">
        <f>IFERROR(__xludf.DUMMYFUNCTION("""COMPUTED_VALUE"""),29.0)</f>
        <v>29</v>
      </c>
      <c r="I395" s="96"/>
      <c r="J395" s="96">
        <f>IFERROR(__xludf.DUMMYFUNCTION("""COMPUTED_VALUE"""),900.0)</f>
        <v>900</v>
      </c>
      <c r="K395" s="96"/>
      <c r="L395" s="99">
        <f>IFERROR(__xludf.DUMMYFUNCTION("""COMPUTED_VALUE"""),-1690200.0)</f>
        <v>-1690200</v>
      </c>
      <c r="M395" s="96">
        <f>IFERROR(__xludf.DUMMYFUNCTION("""COMPUTED_VALUE"""),8.0)</f>
        <v>8</v>
      </c>
      <c r="N395" s="96">
        <f>IFERROR(__xludf.DUMMYFUNCTION("""COMPUTED_VALUE"""),0.0)</f>
        <v>0</v>
      </c>
      <c r="O395" s="96">
        <f>IFERROR(__xludf.DUMMYFUNCTION("""COMPUTED_VALUE"""),29.0)</f>
        <v>29</v>
      </c>
      <c r="P395" s="96">
        <f>IFERROR(__xludf.DUMMYFUNCTION("""COMPUTED_VALUE"""),51.0)</f>
        <v>51</v>
      </c>
      <c r="Q395" s="129">
        <f>IFERROR(__xludf.DUMMYFUNCTION("""COMPUTED_VALUE"""),1878.0)</f>
        <v>1878</v>
      </c>
      <c r="R395" s="99">
        <f>IFERROR(__xludf.DUMMYFUNCTION("""COMPUTED_VALUE"""),1690200.0)</f>
        <v>1690200</v>
      </c>
      <c r="S395" s="99">
        <f>IFERROR(__xludf.DUMMYFUNCTION("""COMPUTED_VALUE"""),2317250.0)</f>
        <v>2317250</v>
      </c>
    </row>
    <row r="396">
      <c r="A396" s="96">
        <f>IFERROR(__xludf.DUMMYFUNCTION("""COMPUTED_VALUE"""),3.0)</f>
        <v>3</v>
      </c>
      <c r="B396" s="98">
        <f>IFERROR(__xludf.DUMMYFUNCTION("""COMPUTED_VALUE"""),44093.0)</f>
        <v>44093</v>
      </c>
      <c r="C396" s="96" t="str">
        <f>IFERROR(__xludf.DUMMYFUNCTION("""COMPUTED_VALUE"""),"OSIM MARIAM")</f>
        <v>OSIM MARIAM</v>
      </c>
      <c r="D396" s="96" t="str">
        <f>IFERROR(__xludf.DUMMYFUNCTION("""COMPUTED_VALUE"""),"OSIM MARIAM3")</f>
        <v>OSIM MARIAM3</v>
      </c>
      <c r="E396" s="96"/>
      <c r="F396" s="96"/>
      <c r="G396" s="96"/>
      <c r="H396" s="96"/>
      <c r="I396" s="96"/>
      <c r="J396" s="96"/>
      <c r="K396" s="96">
        <f>IFERROR(__xludf.DUMMYFUNCTION("""COMPUTED_VALUE"""),50000.0)</f>
        <v>50000</v>
      </c>
      <c r="L396" s="99">
        <f>IFERROR(__xludf.DUMMYFUNCTION("""COMPUTED_VALUE"""),50000.0)</f>
        <v>50000</v>
      </c>
      <c r="M396" s="96"/>
      <c r="N396" s="96">
        <f>IFERROR(__xludf.DUMMYFUNCTION("""COMPUTED_VALUE"""),0.0)</f>
        <v>0</v>
      </c>
      <c r="O396" s="96">
        <f>IFERROR(__xludf.DUMMYFUNCTION("""COMPUTED_VALUE"""),0.0)</f>
        <v>0</v>
      </c>
      <c r="P396" s="96">
        <f>IFERROR(__xludf.DUMMYFUNCTION("""COMPUTED_VALUE"""),0.0)</f>
        <v>0</v>
      </c>
      <c r="Q396" s="129">
        <f>IFERROR(__xludf.DUMMYFUNCTION("""COMPUTED_VALUE"""),0.0)</f>
        <v>0</v>
      </c>
      <c r="R396" s="99"/>
      <c r="S396" s="99">
        <f>IFERROR(__xludf.DUMMYFUNCTION("""COMPUTED_VALUE"""),700000.0)</f>
        <v>700000</v>
      </c>
    </row>
    <row r="397">
      <c r="A397" s="96">
        <f>IFERROR(__xludf.DUMMYFUNCTION("""COMPUTED_VALUE"""),4.0)</f>
        <v>4</v>
      </c>
      <c r="B397" s="98">
        <f>IFERROR(__xludf.DUMMYFUNCTION("""COMPUTED_VALUE"""),44095.0)</f>
        <v>44095</v>
      </c>
      <c r="C397" s="96" t="str">
        <f>IFERROR(__xludf.DUMMYFUNCTION("""COMPUTED_VALUE"""),"OSIM MARIAM")</f>
        <v>OSIM MARIAM</v>
      </c>
      <c r="D397" s="96" t="str">
        <f>IFERROR(__xludf.DUMMYFUNCTION("""COMPUTED_VALUE"""),"OSIM MARIAM4")</f>
        <v>OSIM MARIAM4</v>
      </c>
      <c r="E397" s="96"/>
      <c r="F397" s="96"/>
      <c r="G397" s="96"/>
      <c r="H397" s="96"/>
      <c r="I397" s="96"/>
      <c r="J397" s="96"/>
      <c r="K397" s="96">
        <f>IFERROR(__xludf.DUMMYFUNCTION("""COMPUTED_VALUE"""),500000.0)</f>
        <v>500000</v>
      </c>
      <c r="L397" s="99">
        <f>IFERROR(__xludf.DUMMYFUNCTION("""COMPUTED_VALUE"""),500000.0)</f>
        <v>500000</v>
      </c>
      <c r="M397" s="96"/>
      <c r="N397" s="96">
        <f>IFERROR(__xludf.DUMMYFUNCTION("""COMPUTED_VALUE"""),0.0)</f>
        <v>0</v>
      </c>
      <c r="O397" s="96">
        <f>IFERROR(__xludf.DUMMYFUNCTION("""COMPUTED_VALUE"""),0.0)</f>
        <v>0</v>
      </c>
      <c r="P397" s="96">
        <f>IFERROR(__xludf.DUMMYFUNCTION("""COMPUTED_VALUE"""),0.0)</f>
        <v>0</v>
      </c>
      <c r="Q397" s="129">
        <f>IFERROR(__xludf.DUMMYFUNCTION("""COMPUTED_VALUE"""),0.0)</f>
        <v>0</v>
      </c>
      <c r="R397" s="99"/>
      <c r="S397" s="99">
        <f>IFERROR(__xludf.DUMMYFUNCTION("""COMPUTED_VALUE"""),1200000.0)</f>
        <v>1200000</v>
      </c>
    </row>
    <row r="398">
      <c r="A398" s="96">
        <f>IFERROR(__xludf.DUMMYFUNCTION("""COMPUTED_VALUE"""),7.0)</f>
        <v>7</v>
      </c>
      <c r="B398" s="98">
        <f>IFERROR(__xludf.DUMMYFUNCTION("""COMPUTED_VALUE"""),44095.0)</f>
        <v>44095</v>
      </c>
      <c r="C398" s="96" t="str">
        <f>IFERROR(__xludf.DUMMYFUNCTION("""COMPUTED_VALUE"""),"EUGENE")</f>
        <v>EUGENE</v>
      </c>
      <c r="D398" s="96" t="str">
        <f>IFERROR(__xludf.DUMMYFUNCTION("""COMPUTED_VALUE"""),"EUGENE7")</f>
        <v>EUGENE7</v>
      </c>
      <c r="E398" s="96"/>
      <c r="F398" s="96"/>
      <c r="G398" s="96"/>
      <c r="H398" s="96"/>
      <c r="I398" s="96"/>
      <c r="J398" s="96"/>
      <c r="K398" s="96">
        <f>IFERROR(__xludf.DUMMYFUNCTION("""COMPUTED_VALUE"""),600000.0)</f>
        <v>600000</v>
      </c>
      <c r="L398" s="99">
        <f>IFERROR(__xludf.DUMMYFUNCTION("""COMPUTED_VALUE"""),600000.0)</f>
        <v>600000</v>
      </c>
      <c r="M398" s="96"/>
      <c r="N398" s="96">
        <f>IFERROR(__xludf.DUMMYFUNCTION("""COMPUTED_VALUE"""),0.0)</f>
        <v>0</v>
      </c>
      <c r="O398" s="96">
        <f>IFERROR(__xludf.DUMMYFUNCTION("""COMPUTED_VALUE"""),0.0)</f>
        <v>0</v>
      </c>
      <c r="P398" s="96">
        <f>IFERROR(__xludf.DUMMYFUNCTION("""COMPUTED_VALUE"""),0.0)</f>
        <v>0</v>
      </c>
      <c r="Q398" s="129">
        <f>IFERROR(__xludf.DUMMYFUNCTION("""COMPUTED_VALUE"""),0.0)</f>
        <v>0</v>
      </c>
      <c r="R398" s="99"/>
      <c r="S398" s="99">
        <f>IFERROR(__xludf.DUMMYFUNCTION("""COMPUTED_VALUE"""),1650000.0)</f>
        <v>1650000</v>
      </c>
    </row>
    <row r="399">
      <c r="A399" s="96">
        <f>IFERROR(__xludf.DUMMYFUNCTION("""COMPUTED_VALUE"""),11.0)</f>
        <v>11</v>
      </c>
      <c r="B399" s="98">
        <f>IFERROR(__xludf.DUMMYFUNCTION("""COMPUTED_VALUE"""),44095.0)</f>
        <v>44095</v>
      </c>
      <c r="C399" s="96" t="str">
        <f>IFERROR(__xludf.DUMMYFUNCTION("""COMPUTED_VALUE"""),"OTU KOKO KEIBO")</f>
        <v>OTU KOKO KEIBO</v>
      </c>
      <c r="D399" s="96" t="str">
        <f>IFERROR(__xludf.DUMMYFUNCTION("""COMPUTED_VALUE"""),"OTU KOKO KEIBO11")</f>
        <v>OTU KOKO KEIBO11</v>
      </c>
      <c r="E399" s="96"/>
      <c r="F399" s="96"/>
      <c r="G399" s="96"/>
      <c r="H399" s="96"/>
      <c r="I399" s="96"/>
      <c r="J399" s="96"/>
      <c r="K399" s="96">
        <f>IFERROR(__xludf.DUMMYFUNCTION("""COMPUTED_VALUE"""),200000.0)</f>
        <v>200000</v>
      </c>
      <c r="L399" s="99">
        <f>IFERROR(__xludf.DUMMYFUNCTION("""COMPUTED_VALUE"""),200000.0)</f>
        <v>200000</v>
      </c>
      <c r="M399" s="96"/>
      <c r="N399" s="96">
        <f>IFERROR(__xludf.DUMMYFUNCTION("""COMPUTED_VALUE"""),0.0)</f>
        <v>0</v>
      </c>
      <c r="O399" s="96">
        <f>IFERROR(__xludf.DUMMYFUNCTION("""COMPUTED_VALUE"""),0.0)</f>
        <v>0</v>
      </c>
      <c r="P399" s="96">
        <f>IFERROR(__xludf.DUMMYFUNCTION("""COMPUTED_VALUE"""),0.0)</f>
        <v>0</v>
      </c>
      <c r="Q399" s="129">
        <f>IFERROR(__xludf.DUMMYFUNCTION("""COMPUTED_VALUE"""),0.0)</f>
        <v>0</v>
      </c>
      <c r="R399" s="99"/>
      <c r="S399" s="99">
        <f>IFERROR(__xludf.DUMMYFUNCTION("""COMPUTED_VALUE"""),2.6502425E7)</f>
        <v>26502425</v>
      </c>
    </row>
    <row r="400">
      <c r="A400" s="96">
        <f>IFERROR(__xludf.DUMMYFUNCTION("""COMPUTED_VALUE"""),20.0)</f>
        <v>20</v>
      </c>
      <c r="B400" s="98">
        <f>IFERROR(__xludf.DUMMYFUNCTION("""COMPUTED_VALUE"""),44096.0)</f>
        <v>44096</v>
      </c>
      <c r="C400" s="96" t="str">
        <f>IFERROR(__xludf.DUMMYFUNCTION("""COMPUTED_VALUE"""),"CONNECT")</f>
        <v>CONNECT</v>
      </c>
      <c r="D400" s="96" t="str">
        <f>IFERROR(__xludf.DUMMYFUNCTION("""COMPUTED_VALUE"""),"CONNECT20")</f>
        <v>CONNECT20</v>
      </c>
      <c r="E400" s="96"/>
      <c r="F400" s="96"/>
      <c r="G400" s="96"/>
      <c r="H400" s="96"/>
      <c r="I400" s="96"/>
      <c r="J400" s="96"/>
      <c r="K400" s="96">
        <f>IFERROR(__xludf.DUMMYFUNCTION("""COMPUTED_VALUE"""),4000000.0)</f>
        <v>4000000</v>
      </c>
      <c r="L400" s="99">
        <f>IFERROR(__xludf.DUMMYFUNCTION("""COMPUTED_VALUE"""),4000000.0)</f>
        <v>4000000</v>
      </c>
      <c r="M400" s="96"/>
      <c r="N400" s="96">
        <f>IFERROR(__xludf.DUMMYFUNCTION("""COMPUTED_VALUE"""),0.0)</f>
        <v>0</v>
      </c>
      <c r="O400" s="96">
        <f>IFERROR(__xludf.DUMMYFUNCTION("""COMPUTED_VALUE"""),0.0)</f>
        <v>0</v>
      </c>
      <c r="P400" s="96">
        <f>IFERROR(__xludf.DUMMYFUNCTION("""COMPUTED_VALUE"""),0.0)</f>
        <v>0</v>
      </c>
      <c r="Q400" s="129">
        <f>IFERROR(__xludf.DUMMYFUNCTION("""COMPUTED_VALUE"""),0.0)</f>
        <v>0</v>
      </c>
      <c r="R400" s="99"/>
      <c r="S400" s="99">
        <f>IFERROR(__xludf.DUMMYFUNCTION("""COMPUTED_VALUE"""),6317250.0)</f>
        <v>6317250</v>
      </c>
    </row>
    <row r="401">
      <c r="A401" s="96">
        <f>IFERROR(__xludf.DUMMYFUNCTION("""COMPUTED_VALUE"""),2.0)</f>
        <v>2</v>
      </c>
      <c r="B401" s="98">
        <f>IFERROR(__xludf.DUMMYFUNCTION("""COMPUTED_VALUE"""),44096.0)</f>
        <v>44096</v>
      </c>
      <c r="C401" s="96" t="str">
        <f>IFERROR(__xludf.DUMMYFUNCTION("""COMPUTED_VALUE"""),"COLLABS")</f>
        <v>COLLABS</v>
      </c>
      <c r="D401" s="96" t="str">
        <f>IFERROR(__xludf.DUMMYFUNCTION("""COMPUTED_VALUE"""),"COLLABS2")</f>
        <v>COLLABS2</v>
      </c>
      <c r="E401" s="96"/>
      <c r="F401" s="96"/>
      <c r="G401" s="96"/>
      <c r="H401" s="96"/>
      <c r="I401" s="96"/>
      <c r="J401" s="96"/>
      <c r="K401" s="96">
        <f>IFERROR(__xludf.DUMMYFUNCTION("""COMPUTED_VALUE"""),200000.0)</f>
        <v>200000</v>
      </c>
      <c r="L401" s="99">
        <f>IFERROR(__xludf.DUMMYFUNCTION("""COMPUTED_VALUE"""),200000.0)</f>
        <v>200000</v>
      </c>
      <c r="M401" s="96"/>
      <c r="N401" s="96">
        <f>IFERROR(__xludf.DUMMYFUNCTION("""COMPUTED_VALUE"""),0.0)</f>
        <v>0</v>
      </c>
      <c r="O401" s="96">
        <f>IFERROR(__xludf.DUMMYFUNCTION("""COMPUTED_VALUE"""),0.0)</f>
        <v>0</v>
      </c>
      <c r="P401" s="96">
        <f>IFERROR(__xludf.DUMMYFUNCTION("""COMPUTED_VALUE"""),0.0)</f>
        <v>0</v>
      </c>
      <c r="Q401" s="129">
        <f>IFERROR(__xludf.DUMMYFUNCTION("""COMPUTED_VALUE"""),0.0)</f>
        <v>0</v>
      </c>
      <c r="R401" s="99"/>
      <c r="S401" s="99">
        <f>IFERROR(__xludf.DUMMYFUNCTION("""COMPUTED_VALUE"""),420000.0)</f>
        <v>420000</v>
      </c>
    </row>
    <row r="402">
      <c r="A402" s="96">
        <f>IFERROR(__xludf.DUMMYFUNCTION("""COMPUTED_VALUE"""),8.0)</f>
        <v>8</v>
      </c>
      <c r="B402" s="98">
        <f>IFERROR(__xludf.DUMMYFUNCTION("""COMPUTED_VALUE"""),44096.0)</f>
        <v>44096</v>
      </c>
      <c r="C402" s="96" t="str">
        <f>IFERROR(__xludf.DUMMYFUNCTION("""COMPUTED_VALUE"""),"KARIEN EBAN")</f>
        <v>KARIEN EBAN</v>
      </c>
      <c r="D402" s="96" t="str">
        <f>IFERROR(__xludf.DUMMYFUNCTION("""COMPUTED_VALUE"""),"KARIEN EBAN8")</f>
        <v>KARIEN EBAN8</v>
      </c>
      <c r="E402" s="96"/>
      <c r="F402" s="96"/>
      <c r="G402" s="96"/>
      <c r="H402" s="96"/>
      <c r="I402" s="96"/>
      <c r="J402" s="96"/>
      <c r="K402" s="96">
        <f>IFERROR(__xludf.DUMMYFUNCTION("""COMPUTED_VALUE"""),5000.0)</f>
        <v>5000</v>
      </c>
      <c r="L402" s="99">
        <f>IFERROR(__xludf.DUMMYFUNCTION("""COMPUTED_VALUE"""),5000.0)</f>
        <v>5000</v>
      </c>
      <c r="M402" s="96"/>
      <c r="N402" s="96">
        <f>IFERROR(__xludf.DUMMYFUNCTION("""COMPUTED_VALUE"""),0.0)</f>
        <v>0</v>
      </c>
      <c r="O402" s="96">
        <f>IFERROR(__xludf.DUMMYFUNCTION("""COMPUTED_VALUE"""),0.0)</f>
        <v>0</v>
      </c>
      <c r="P402" s="96">
        <f>IFERROR(__xludf.DUMMYFUNCTION("""COMPUTED_VALUE"""),0.0)</f>
        <v>0</v>
      </c>
      <c r="Q402" s="129">
        <f>IFERROR(__xludf.DUMMYFUNCTION("""COMPUTED_VALUE"""),0.0)</f>
        <v>0</v>
      </c>
      <c r="R402" s="99"/>
      <c r="S402" s="99">
        <f>IFERROR(__xludf.DUMMYFUNCTION("""COMPUTED_VALUE"""),3004810.0)</f>
        <v>3004810</v>
      </c>
    </row>
    <row r="403">
      <c r="A403" s="96">
        <f>IFERROR(__xludf.DUMMYFUNCTION("""COMPUTED_VALUE"""),5.0)</f>
        <v>5</v>
      </c>
      <c r="B403" s="98">
        <f>IFERROR(__xludf.DUMMYFUNCTION("""COMPUTED_VALUE"""),44096.0)</f>
        <v>44096</v>
      </c>
      <c r="C403" s="96" t="str">
        <f>IFERROR(__xludf.DUMMYFUNCTION("""COMPUTED_VALUE"""),"NDOMA PRIN")</f>
        <v>NDOMA PRIN</v>
      </c>
      <c r="D403" s="96" t="str">
        <f>IFERROR(__xludf.DUMMYFUNCTION("""COMPUTED_VALUE"""),"NDOMA PRIN5")</f>
        <v>NDOMA PRIN5</v>
      </c>
      <c r="E403" s="96"/>
      <c r="F403" s="96"/>
      <c r="G403" s="96"/>
      <c r="H403" s="96"/>
      <c r="I403" s="96"/>
      <c r="J403" s="96"/>
      <c r="K403" s="96">
        <f>IFERROR(__xludf.DUMMYFUNCTION("""COMPUTED_VALUE"""),456000.0)</f>
        <v>456000</v>
      </c>
      <c r="L403" s="99">
        <f>IFERROR(__xludf.DUMMYFUNCTION("""COMPUTED_VALUE"""),456000.0)</f>
        <v>456000</v>
      </c>
      <c r="M403" s="96"/>
      <c r="N403" s="96">
        <f>IFERROR(__xludf.DUMMYFUNCTION("""COMPUTED_VALUE"""),0.0)</f>
        <v>0</v>
      </c>
      <c r="O403" s="96">
        <f>IFERROR(__xludf.DUMMYFUNCTION("""COMPUTED_VALUE"""),0.0)</f>
        <v>0</v>
      </c>
      <c r="P403" s="96">
        <f>IFERROR(__xludf.DUMMYFUNCTION("""COMPUTED_VALUE"""),0.0)</f>
        <v>0</v>
      </c>
      <c r="Q403" s="129">
        <f>IFERROR(__xludf.DUMMYFUNCTION("""COMPUTED_VALUE"""),0.0)</f>
        <v>0</v>
      </c>
      <c r="R403" s="99"/>
      <c r="S403" s="99">
        <f>IFERROR(__xludf.DUMMYFUNCTION("""COMPUTED_VALUE"""),875900.0)</f>
        <v>875900</v>
      </c>
    </row>
    <row r="404">
      <c r="A404" s="96">
        <f>IFERROR(__xludf.DUMMYFUNCTION("""COMPUTED_VALUE"""),3.0)</f>
        <v>3</v>
      </c>
      <c r="B404" s="98">
        <f>IFERROR(__xludf.DUMMYFUNCTION("""COMPUTED_VALUE"""),44096.0)</f>
        <v>44096</v>
      </c>
      <c r="C404" s="96" t="str">
        <f>IFERROR(__xludf.DUMMYFUNCTION("""COMPUTED_VALUE"""),"MAXWELL AGRO PRIN")</f>
        <v>MAXWELL AGRO PRIN</v>
      </c>
      <c r="D404" s="96" t="str">
        <f>IFERROR(__xludf.DUMMYFUNCTION("""COMPUTED_VALUE"""),"MAXWELL AGRO PRIN3")</f>
        <v>MAXWELL AGRO PRIN3</v>
      </c>
      <c r="E404" s="96"/>
      <c r="F404" s="96"/>
      <c r="G404" s="96"/>
      <c r="H404" s="96"/>
      <c r="I404" s="96"/>
      <c r="J404" s="96"/>
      <c r="K404" s="96">
        <f>IFERROR(__xludf.DUMMYFUNCTION("""COMPUTED_VALUE"""),10000.0)</f>
        <v>10000</v>
      </c>
      <c r="L404" s="99">
        <f>IFERROR(__xludf.DUMMYFUNCTION("""COMPUTED_VALUE"""),10000.0)</f>
        <v>10000</v>
      </c>
      <c r="M404" s="96"/>
      <c r="N404" s="96">
        <f>IFERROR(__xludf.DUMMYFUNCTION("""COMPUTED_VALUE"""),0.0)</f>
        <v>0</v>
      </c>
      <c r="O404" s="96">
        <f>IFERROR(__xludf.DUMMYFUNCTION("""COMPUTED_VALUE"""),0.0)</f>
        <v>0</v>
      </c>
      <c r="P404" s="96">
        <f>IFERROR(__xludf.DUMMYFUNCTION("""COMPUTED_VALUE"""),0.0)</f>
        <v>0</v>
      </c>
      <c r="Q404" s="129">
        <f>IFERROR(__xludf.DUMMYFUNCTION("""COMPUTED_VALUE"""),0.0)</f>
        <v>0</v>
      </c>
      <c r="R404" s="99"/>
      <c r="S404" s="99">
        <f>IFERROR(__xludf.DUMMYFUNCTION("""COMPUTED_VALUE"""),340000.0)</f>
        <v>340000</v>
      </c>
    </row>
    <row r="405">
      <c r="A405" s="96">
        <f>IFERROR(__xludf.DUMMYFUNCTION("""COMPUTED_VALUE"""),18.0)</f>
        <v>18</v>
      </c>
      <c r="B405" s="98">
        <f>IFERROR(__xludf.DUMMYFUNCTION("""COMPUTED_VALUE"""),44096.0)</f>
        <v>44096</v>
      </c>
      <c r="C405" s="96" t="str">
        <f>IFERROR(__xludf.DUMMYFUNCTION("""COMPUTED_VALUE"""),"LIVINUS")</f>
        <v>LIVINUS</v>
      </c>
      <c r="D405" s="96" t="str">
        <f>IFERROR(__xludf.DUMMYFUNCTION("""COMPUTED_VALUE"""),"LIVINUS18")</f>
        <v>LIVINUS18</v>
      </c>
      <c r="E405" s="96"/>
      <c r="F405" s="96"/>
      <c r="G405" s="96"/>
      <c r="H405" s="96"/>
      <c r="I405" s="96"/>
      <c r="J405" s="96"/>
      <c r="K405" s="96">
        <f>IFERROR(__xludf.DUMMYFUNCTION("""COMPUTED_VALUE"""),367000.0)</f>
        <v>367000</v>
      </c>
      <c r="L405" s="99">
        <f>IFERROR(__xludf.DUMMYFUNCTION("""COMPUTED_VALUE"""),367000.0)</f>
        <v>367000</v>
      </c>
      <c r="M405" s="96"/>
      <c r="N405" s="96">
        <f>IFERROR(__xludf.DUMMYFUNCTION("""COMPUTED_VALUE"""),0.0)</f>
        <v>0</v>
      </c>
      <c r="O405" s="96">
        <f>IFERROR(__xludf.DUMMYFUNCTION("""COMPUTED_VALUE"""),0.0)</f>
        <v>0</v>
      </c>
      <c r="P405" s="96">
        <f>IFERROR(__xludf.DUMMYFUNCTION("""COMPUTED_VALUE"""),0.0)</f>
        <v>0</v>
      </c>
      <c r="Q405" s="129">
        <f>IFERROR(__xludf.DUMMYFUNCTION("""COMPUTED_VALUE"""),0.0)</f>
        <v>0</v>
      </c>
      <c r="R405" s="99"/>
      <c r="S405" s="99">
        <f>IFERROR(__xludf.DUMMYFUNCTION("""COMPUTED_VALUE"""),1.07815E7)</f>
        <v>10781500</v>
      </c>
    </row>
    <row r="406">
      <c r="A406" s="96">
        <f>IFERROR(__xludf.DUMMYFUNCTION("""COMPUTED_VALUE"""),13.0)</f>
        <v>13</v>
      </c>
      <c r="B406" s="98">
        <f>IFERROR(__xludf.DUMMYFUNCTION("""COMPUTED_VALUE"""),44096.0)</f>
        <v>44096</v>
      </c>
      <c r="C406" s="96" t="str">
        <f>IFERROR(__xludf.DUMMYFUNCTION("""COMPUTED_VALUE"""),"ETUK EFFI")</f>
        <v>ETUK EFFI</v>
      </c>
      <c r="D406" s="96" t="str">
        <f>IFERROR(__xludf.DUMMYFUNCTION("""COMPUTED_VALUE"""),"ETUK EFFI13")</f>
        <v>ETUK EFFI13</v>
      </c>
      <c r="E406" s="96"/>
      <c r="F406" s="96"/>
      <c r="G406" s="96"/>
      <c r="H406" s="96"/>
      <c r="I406" s="96"/>
      <c r="J406" s="96"/>
      <c r="K406" s="96">
        <f>IFERROR(__xludf.DUMMYFUNCTION("""COMPUTED_VALUE"""),1500000.0)</f>
        <v>1500000</v>
      </c>
      <c r="L406" s="99">
        <f>IFERROR(__xludf.DUMMYFUNCTION("""COMPUTED_VALUE"""),1500000.0)</f>
        <v>1500000</v>
      </c>
      <c r="M406" s="96"/>
      <c r="N406" s="96">
        <f>IFERROR(__xludf.DUMMYFUNCTION("""COMPUTED_VALUE"""),0.0)</f>
        <v>0</v>
      </c>
      <c r="O406" s="96">
        <f>IFERROR(__xludf.DUMMYFUNCTION("""COMPUTED_VALUE"""),0.0)</f>
        <v>0</v>
      </c>
      <c r="P406" s="96">
        <f>IFERROR(__xludf.DUMMYFUNCTION("""COMPUTED_VALUE"""),0.0)</f>
        <v>0</v>
      </c>
      <c r="Q406" s="129">
        <f>IFERROR(__xludf.DUMMYFUNCTION("""COMPUTED_VALUE"""),0.0)</f>
        <v>0</v>
      </c>
      <c r="R406" s="99"/>
      <c r="S406" s="99">
        <f>IFERROR(__xludf.DUMMYFUNCTION("""COMPUTED_VALUE"""),3000000.0)</f>
        <v>3000000</v>
      </c>
    </row>
    <row r="407">
      <c r="A407" s="96">
        <f>IFERROR(__xludf.DUMMYFUNCTION("""COMPUTED_VALUE"""),15.0)</f>
        <v>15</v>
      </c>
      <c r="B407" s="98">
        <f>IFERROR(__xludf.DUMMYFUNCTION("""COMPUTED_VALUE"""),44096.0)</f>
        <v>44096</v>
      </c>
      <c r="C407" s="96" t="str">
        <f>IFERROR(__xludf.DUMMYFUNCTION("""COMPUTED_VALUE"""),"NDOMA BODE I.D")</f>
        <v>NDOMA BODE I.D</v>
      </c>
      <c r="D407" s="96" t="str">
        <f>IFERROR(__xludf.DUMMYFUNCTION("""COMPUTED_VALUE"""),"NDOMA BODE I.D15")</f>
        <v>NDOMA BODE I.D15</v>
      </c>
      <c r="E407" s="96"/>
      <c r="F407" s="96"/>
      <c r="G407" s="96"/>
      <c r="H407" s="96"/>
      <c r="I407" s="96"/>
      <c r="J407" s="96"/>
      <c r="K407" s="96">
        <f>IFERROR(__xludf.DUMMYFUNCTION("""COMPUTED_VALUE"""),500000.0)</f>
        <v>500000</v>
      </c>
      <c r="L407" s="99">
        <f>IFERROR(__xludf.DUMMYFUNCTION("""COMPUTED_VALUE"""),500000.0)</f>
        <v>500000</v>
      </c>
      <c r="M407" s="96"/>
      <c r="N407" s="96">
        <f>IFERROR(__xludf.DUMMYFUNCTION("""COMPUTED_VALUE"""),0.0)</f>
        <v>0</v>
      </c>
      <c r="O407" s="96">
        <f>IFERROR(__xludf.DUMMYFUNCTION("""COMPUTED_VALUE"""),0.0)</f>
        <v>0</v>
      </c>
      <c r="P407" s="96">
        <f>IFERROR(__xludf.DUMMYFUNCTION("""COMPUTED_VALUE"""),0.0)</f>
        <v>0</v>
      </c>
      <c r="Q407" s="129">
        <f>IFERROR(__xludf.DUMMYFUNCTION("""COMPUTED_VALUE"""),0.0)</f>
        <v>0</v>
      </c>
      <c r="R407" s="99"/>
      <c r="S407" s="99">
        <f>IFERROR(__xludf.DUMMYFUNCTION("""COMPUTED_VALUE"""),1499940.0)</f>
        <v>1499940</v>
      </c>
    </row>
    <row r="408">
      <c r="A408" s="96">
        <f>IFERROR(__xludf.DUMMYFUNCTION("""COMPUTED_VALUE"""),10.0)</f>
        <v>10</v>
      </c>
      <c r="B408" s="98">
        <f>IFERROR(__xludf.DUMMYFUNCTION("""COMPUTED_VALUE"""),44097.0)</f>
        <v>44097</v>
      </c>
      <c r="C408" s="96" t="str">
        <f>IFERROR(__xludf.DUMMYFUNCTION("""COMPUTED_VALUE"""),"A. D. FREDERICK")</f>
        <v>A. D. FREDERICK</v>
      </c>
      <c r="D408" s="96" t="str">
        <f>IFERROR(__xludf.DUMMYFUNCTION("""COMPUTED_VALUE"""),"A. D. FREDERICK10")</f>
        <v>A. D. FREDERICK10</v>
      </c>
      <c r="E408" s="96"/>
      <c r="F408" s="96"/>
      <c r="G408" s="96"/>
      <c r="H408" s="96"/>
      <c r="I408" s="96"/>
      <c r="J408" s="96"/>
      <c r="K408" s="96">
        <f>IFERROR(__xludf.DUMMYFUNCTION("""COMPUTED_VALUE"""),1824000.0)</f>
        <v>1824000</v>
      </c>
      <c r="L408" s="99">
        <f>IFERROR(__xludf.DUMMYFUNCTION("""COMPUTED_VALUE"""),1824000.0)</f>
        <v>1824000</v>
      </c>
      <c r="M408" s="96"/>
      <c r="N408" s="96">
        <f>IFERROR(__xludf.DUMMYFUNCTION("""COMPUTED_VALUE"""),0.0)</f>
        <v>0</v>
      </c>
      <c r="O408" s="96">
        <f>IFERROR(__xludf.DUMMYFUNCTION("""COMPUTED_VALUE"""),0.0)</f>
        <v>0</v>
      </c>
      <c r="P408" s="96">
        <f>IFERROR(__xludf.DUMMYFUNCTION("""COMPUTED_VALUE"""),0.0)</f>
        <v>0</v>
      </c>
      <c r="Q408" s="129">
        <f>IFERROR(__xludf.DUMMYFUNCTION("""COMPUTED_VALUE"""),0.0)</f>
        <v>0</v>
      </c>
      <c r="R408" s="99"/>
      <c r="S408" s="99">
        <f>IFERROR(__xludf.DUMMYFUNCTION("""COMPUTED_VALUE"""),3607410.0)</f>
        <v>3607410</v>
      </c>
    </row>
    <row r="409">
      <c r="A409" s="96">
        <f>IFERROR(__xludf.DUMMYFUNCTION("""COMPUTED_VALUE"""),5.0)</f>
        <v>5</v>
      </c>
      <c r="B409" s="98">
        <f>IFERROR(__xludf.DUMMYFUNCTION("""COMPUTED_VALUE"""),44097.0)</f>
        <v>44097</v>
      </c>
      <c r="C409" s="96" t="str">
        <f>IFERROR(__xludf.DUMMYFUNCTION("""COMPUTED_VALUE"""),"MATIAT LOVE")</f>
        <v>MATIAT LOVE</v>
      </c>
      <c r="D409" s="96" t="str">
        <f>IFERROR(__xludf.DUMMYFUNCTION("""COMPUTED_VALUE"""),"MATIAT LOVE5")</f>
        <v>MATIAT LOVE5</v>
      </c>
      <c r="E409" s="96"/>
      <c r="F409" s="96"/>
      <c r="G409" s="96"/>
      <c r="H409" s="96"/>
      <c r="I409" s="96"/>
      <c r="J409" s="96"/>
      <c r="K409" s="96">
        <f>IFERROR(__xludf.DUMMYFUNCTION("""COMPUTED_VALUE"""),20000.0)</f>
        <v>20000</v>
      </c>
      <c r="L409" s="99">
        <f>IFERROR(__xludf.DUMMYFUNCTION("""COMPUTED_VALUE"""),20000.0)</f>
        <v>20000</v>
      </c>
      <c r="M409" s="96"/>
      <c r="N409" s="96">
        <f>IFERROR(__xludf.DUMMYFUNCTION("""COMPUTED_VALUE"""),0.0)</f>
        <v>0</v>
      </c>
      <c r="O409" s="96">
        <f>IFERROR(__xludf.DUMMYFUNCTION("""COMPUTED_VALUE"""),0.0)</f>
        <v>0</v>
      </c>
      <c r="P409" s="96">
        <f>IFERROR(__xludf.DUMMYFUNCTION("""COMPUTED_VALUE"""),0.0)</f>
        <v>0</v>
      </c>
      <c r="Q409" s="129">
        <f>IFERROR(__xludf.DUMMYFUNCTION("""COMPUTED_VALUE"""),0.0)</f>
        <v>0</v>
      </c>
      <c r="R409" s="99"/>
      <c r="S409" s="99">
        <f>IFERROR(__xludf.DUMMYFUNCTION("""COMPUTED_VALUE"""),69920.0)</f>
        <v>69920</v>
      </c>
    </row>
    <row r="410">
      <c r="A410" s="96">
        <f>IFERROR(__xludf.DUMMYFUNCTION("""COMPUTED_VALUE"""),12.0)</f>
        <v>12</v>
      </c>
      <c r="B410" s="98">
        <f>IFERROR(__xludf.DUMMYFUNCTION("""COMPUTED_VALUE"""),44097.0)</f>
        <v>44097</v>
      </c>
      <c r="C410" s="96" t="str">
        <f>IFERROR(__xludf.DUMMYFUNCTION("""COMPUTED_VALUE"""),"OTU KOKO KEIBO")</f>
        <v>OTU KOKO KEIBO</v>
      </c>
      <c r="D410" s="96" t="str">
        <f>IFERROR(__xludf.DUMMYFUNCTION("""COMPUTED_VALUE"""),"OTU KOKO KEIBO12")</f>
        <v>OTU KOKO KEIBO12</v>
      </c>
      <c r="E410" s="96"/>
      <c r="F410" s="96"/>
      <c r="G410" s="96"/>
      <c r="H410" s="96"/>
      <c r="I410" s="96"/>
      <c r="J410" s="96"/>
      <c r="K410" s="96">
        <f>IFERROR(__xludf.DUMMYFUNCTION("""COMPUTED_VALUE"""),1600000.0)</f>
        <v>1600000</v>
      </c>
      <c r="L410" s="99">
        <f>IFERROR(__xludf.DUMMYFUNCTION("""COMPUTED_VALUE"""),1600000.0)</f>
        <v>1600000</v>
      </c>
      <c r="M410" s="96"/>
      <c r="N410" s="96">
        <f>IFERROR(__xludf.DUMMYFUNCTION("""COMPUTED_VALUE"""),0.0)</f>
        <v>0</v>
      </c>
      <c r="O410" s="96">
        <f>IFERROR(__xludf.DUMMYFUNCTION("""COMPUTED_VALUE"""),0.0)</f>
        <v>0</v>
      </c>
      <c r="P410" s="96">
        <f>IFERROR(__xludf.DUMMYFUNCTION("""COMPUTED_VALUE"""),0.0)</f>
        <v>0</v>
      </c>
      <c r="Q410" s="129">
        <f>IFERROR(__xludf.DUMMYFUNCTION("""COMPUTED_VALUE"""),0.0)</f>
        <v>0</v>
      </c>
      <c r="R410" s="99"/>
      <c r="S410" s="99">
        <f>IFERROR(__xludf.DUMMYFUNCTION("""COMPUTED_VALUE"""),2.8102425E7)</f>
        <v>28102425</v>
      </c>
    </row>
    <row r="411">
      <c r="A411" s="96">
        <f>IFERROR(__xludf.DUMMYFUNCTION("""COMPUTED_VALUE"""),11.0)</f>
        <v>11</v>
      </c>
      <c r="B411" s="98">
        <f>IFERROR(__xludf.DUMMYFUNCTION("""COMPUTED_VALUE"""),44097.0)</f>
        <v>44097</v>
      </c>
      <c r="C411" s="96" t="str">
        <f>IFERROR(__xludf.DUMMYFUNCTION("""COMPUTED_VALUE"""),"A. D. FREDERICK")</f>
        <v>A. D. FREDERICK</v>
      </c>
      <c r="D411" s="96" t="str">
        <f>IFERROR(__xludf.DUMMYFUNCTION("""COMPUTED_VALUE"""),"A. D. FREDERICK11")</f>
        <v>A. D. FREDERICK11</v>
      </c>
      <c r="E411" s="96">
        <f>IFERROR(__xludf.DUMMYFUNCTION("""COMPUTED_VALUE"""),1960.0)</f>
        <v>1960</v>
      </c>
      <c r="F411" s="96">
        <f>IFERROR(__xludf.DUMMYFUNCTION("""COMPUTED_VALUE"""),269.0)</f>
        <v>269</v>
      </c>
      <c r="G411" s="96"/>
      <c r="H411" s="96">
        <f>IFERROR(__xludf.DUMMYFUNCTION("""COMPUTED_VALUE"""),29.0)</f>
        <v>29</v>
      </c>
      <c r="I411" s="96"/>
      <c r="J411" s="96">
        <f>IFERROR(__xludf.DUMMYFUNCTION("""COMPUTED_VALUE"""),935.68)</f>
        <v>935.68</v>
      </c>
      <c r="K411" s="96"/>
      <c r="L411" s="99">
        <f>IFERROR(__xludf.DUMMYFUNCTION("""COMPUTED_VALUE"""),-1783410.0)</f>
        <v>-1783410</v>
      </c>
      <c r="M411" s="96">
        <f>IFERROR(__xludf.DUMMYFUNCTION("""COMPUTED_VALUE"""),9.28)</f>
        <v>9.28</v>
      </c>
      <c r="N411" s="96">
        <f>IFERROR(__xludf.DUMMYFUNCTION("""COMPUTED_VALUE"""),25.0)</f>
        <v>25</v>
      </c>
      <c r="O411" s="96">
        <f>IFERROR(__xludf.DUMMYFUNCTION("""COMPUTED_VALUE"""),30.0)</f>
        <v>30</v>
      </c>
      <c r="P411" s="96">
        <f>IFERROR(__xludf.DUMMYFUNCTION("""COMPUTED_VALUE"""),15.0)</f>
        <v>15</v>
      </c>
      <c r="Q411" s="129">
        <f>IFERROR(__xludf.DUMMYFUNCTION("""COMPUTED_VALUE"""),1906.0)</f>
        <v>1906</v>
      </c>
      <c r="R411" s="99">
        <f>IFERROR(__xludf.DUMMYFUNCTION("""COMPUTED_VALUE"""),1783410.0)</f>
        <v>1783410</v>
      </c>
      <c r="S411" s="99">
        <f>IFERROR(__xludf.DUMMYFUNCTION("""COMPUTED_VALUE"""),1824000.0)</f>
        <v>1824000</v>
      </c>
    </row>
    <row r="412">
      <c r="A412" s="96">
        <f>IFERROR(__xludf.DUMMYFUNCTION("""COMPUTED_VALUE"""),14.0)</f>
        <v>14</v>
      </c>
      <c r="B412" s="98">
        <f>IFERROR(__xludf.DUMMYFUNCTION("""COMPUTED_VALUE"""),44097.0)</f>
        <v>44097</v>
      </c>
      <c r="C412" s="96" t="str">
        <f>IFERROR(__xludf.DUMMYFUNCTION("""COMPUTED_VALUE"""),"ETUK EFFI")</f>
        <v>ETUK EFFI</v>
      </c>
      <c r="D412" s="96" t="str">
        <f>IFERROR(__xludf.DUMMYFUNCTION("""COMPUTED_VALUE"""),"ETUK EFFI14")</f>
        <v>ETUK EFFI14</v>
      </c>
      <c r="E412" s="96">
        <f>IFERROR(__xludf.DUMMYFUNCTION("""COMPUTED_VALUE"""),1697.0)</f>
        <v>1697</v>
      </c>
      <c r="F412" s="96">
        <f>IFERROR(__xludf.DUMMYFUNCTION("""COMPUTED_VALUE"""),208.0)</f>
        <v>208</v>
      </c>
      <c r="G412" s="96"/>
      <c r="H412" s="96">
        <f>IFERROR(__xludf.DUMMYFUNCTION("""COMPUTED_VALUE"""),26.0)</f>
        <v>26</v>
      </c>
      <c r="I412" s="96"/>
      <c r="J412" s="96">
        <f>IFERROR(__xludf.DUMMYFUNCTION("""COMPUTED_VALUE"""),900.0)</f>
        <v>900</v>
      </c>
      <c r="K412" s="96"/>
      <c r="L412" s="99">
        <f>IFERROR(__xludf.DUMMYFUNCTION("""COMPUTED_VALUE"""),-1503900.0)</f>
        <v>-1503900</v>
      </c>
      <c r="M412" s="96">
        <f>IFERROR(__xludf.DUMMYFUNCTION("""COMPUTED_VALUE"""),8.0)</f>
        <v>8</v>
      </c>
      <c r="N412" s="96">
        <f>IFERROR(__xludf.DUMMYFUNCTION("""COMPUTED_VALUE"""),0.0)</f>
        <v>0</v>
      </c>
      <c r="O412" s="96">
        <f>IFERROR(__xludf.DUMMYFUNCTION("""COMPUTED_VALUE"""),26.0)</f>
        <v>26</v>
      </c>
      <c r="P412" s="96">
        <f>IFERROR(__xludf.DUMMYFUNCTION("""COMPUTED_VALUE"""),33.0)</f>
        <v>33</v>
      </c>
      <c r="Q412" s="129">
        <f>IFERROR(__xludf.DUMMYFUNCTION("""COMPUTED_VALUE"""),1671.0)</f>
        <v>1671</v>
      </c>
      <c r="R412" s="99">
        <f>IFERROR(__xludf.DUMMYFUNCTION("""COMPUTED_VALUE"""),1503900.0)</f>
        <v>1503900</v>
      </c>
      <c r="S412" s="99">
        <f>IFERROR(__xludf.DUMMYFUNCTION("""COMPUTED_VALUE"""),1496100.0)</f>
        <v>1496100</v>
      </c>
    </row>
    <row r="413">
      <c r="A413" s="96">
        <f>IFERROR(__xludf.DUMMYFUNCTION("""COMPUTED_VALUE"""),9.0)</f>
        <v>9</v>
      </c>
      <c r="B413" s="98">
        <f>IFERROR(__xludf.DUMMYFUNCTION("""COMPUTED_VALUE"""),44088.0)</f>
        <v>44088</v>
      </c>
      <c r="C413" s="96" t="str">
        <f>IFERROR(__xludf.DUMMYFUNCTION("""COMPUTED_VALUE"""),"KARIEN EBAN")</f>
        <v>KARIEN EBAN</v>
      </c>
      <c r="D413" s="96" t="str">
        <f>IFERROR(__xludf.DUMMYFUNCTION("""COMPUTED_VALUE"""),"KARIEN EBAN9")</f>
        <v>KARIEN EBAN9</v>
      </c>
      <c r="E413" s="96">
        <f>IFERROR(__xludf.DUMMYFUNCTION("""COMPUTED_VALUE"""),1412.0)</f>
        <v>1412</v>
      </c>
      <c r="F413" s="96">
        <f>IFERROR(__xludf.DUMMYFUNCTION("""COMPUTED_VALUE"""),200.5)</f>
        <v>200.5</v>
      </c>
      <c r="G413" s="96"/>
      <c r="H413" s="96">
        <f>IFERROR(__xludf.DUMMYFUNCTION("""COMPUTED_VALUE"""),22.0)</f>
        <v>22</v>
      </c>
      <c r="I413" s="96"/>
      <c r="J413" s="96">
        <f>IFERROR(__xludf.DUMMYFUNCTION("""COMPUTED_VALUE"""),900.0)</f>
        <v>900</v>
      </c>
      <c r="K413" s="96"/>
      <c r="L413" s="99">
        <f>IFERROR(__xludf.DUMMYFUNCTION("""COMPUTED_VALUE"""),-1237500.0)</f>
        <v>-1237500</v>
      </c>
      <c r="M413" s="96">
        <f>IFERROR(__xludf.DUMMYFUNCTION("""COMPUTED_VALUE"""),9.11)</f>
        <v>9.11</v>
      </c>
      <c r="N413" s="96">
        <f>IFERROR(__xludf.DUMMYFUNCTION("""COMPUTED_VALUE"""),15.0)</f>
        <v>15</v>
      </c>
      <c r="O413" s="96">
        <f>IFERROR(__xludf.DUMMYFUNCTION("""COMPUTED_VALUE"""),21.0)</f>
        <v>21</v>
      </c>
      <c r="P413" s="96">
        <f>IFERROR(__xludf.DUMMYFUNCTION("""COMPUTED_VALUE"""),52.0)</f>
        <v>52</v>
      </c>
      <c r="Q413" s="129">
        <f>IFERROR(__xludf.DUMMYFUNCTION("""COMPUTED_VALUE"""),1375.0)</f>
        <v>1375</v>
      </c>
      <c r="R413" s="99">
        <f>IFERROR(__xludf.DUMMYFUNCTION("""COMPUTED_VALUE"""),1237500.0)</f>
        <v>1237500</v>
      </c>
      <c r="S413" s="99">
        <f>IFERROR(__xludf.DUMMYFUNCTION("""COMPUTED_VALUE"""),1767310.0)</f>
        <v>1767310</v>
      </c>
    </row>
    <row r="414">
      <c r="A414" s="96">
        <f>IFERROR(__xludf.DUMMYFUNCTION("""COMPUTED_VALUE"""),10.0)</f>
        <v>10</v>
      </c>
      <c r="B414" s="98">
        <f>IFERROR(__xludf.DUMMYFUNCTION("""COMPUTED_VALUE"""),44097.0)</f>
        <v>44097</v>
      </c>
      <c r="C414" s="96" t="str">
        <f>IFERROR(__xludf.DUMMYFUNCTION("""COMPUTED_VALUE"""),"KARIEN EBAN")</f>
        <v>KARIEN EBAN</v>
      </c>
      <c r="D414" s="96" t="str">
        <f>IFERROR(__xludf.DUMMYFUNCTION("""COMPUTED_VALUE"""),"KARIEN EBAN10")</f>
        <v>KARIEN EBAN10</v>
      </c>
      <c r="E414" s="96">
        <f>IFERROR(__xludf.DUMMYFUNCTION("""COMPUTED_VALUE"""),398.0)</f>
        <v>398</v>
      </c>
      <c r="F414" s="96">
        <f>IFERROR(__xludf.DUMMYFUNCTION("""COMPUTED_VALUE"""),55.0)</f>
        <v>55</v>
      </c>
      <c r="G414" s="96"/>
      <c r="H414" s="96">
        <f>IFERROR(__xludf.DUMMYFUNCTION("""COMPUTED_VALUE"""),6.0)</f>
        <v>6</v>
      </c>
      <c r="I414" s="96"/>
      <c r="J414" s="96">
        <f>IFERROR(__xludf.DUMMYFUNCTION("""COMPUTED_VALUE"""),940.0)</f>
        <v>940</v>
      </c>
      <c r="K414" s="96"/>
      <c r="L414" s="99">
        <f>IFERROR(__xludf.DUMMYFUNCTION("""COMPUTED_VALUE"""),-363780.0)</f>
        <v>-363780</v>
      </c>
      <c r="M414" s="96">
        <f>IFERROR(__xludf.DUMMYFUNCTION("""COMPUTED_VALUE"""),9.17)</f>
        <v>9.17</v>
      </c>
      <c r="N414" s="96">
        <f>IFERROR(__xludf.DUMMYFUNCTION("""COMPUTED_VALUE"""),5.0)</f>
        <v>5</v>
      </c>
      <c r="O414" s="96">
        <f>IFERROR(__xludf.DUMMYFUNCTION("""COMPUTED_VALUE"""),6.0)</f>
        <v>6</v>
      </c>
      <c r="P414" s="96">
        <f>IFERROR(__xludf.DUMMYFUNCTION("""COMPUTED_VALUE"""),9.0)</f>
        <v>9</v>
      </c>
      <c r="Q414" s="129">
        <f>IFERROR(__xludf.DUMMYFUNCTION("""COMPUTED_VALUE"""),387.0)</f>
        <v>387</v>
      </c>
      <c r="R414" s="99">
        <f>IFERROR(__xludf.DUMMYFUNCTION("""COMPUTED_VALUE"""),363780.0)</f>
        <v>363780</v>
      </c>
      <c r="S414" s="99">
        <f>IFERROR(__xludf.DUMMYFUNCTION("""COMPUTED_VALUE"""),1403530.0)</f>
        <v>1403530</v>
      </c>
    </row>
    <row r="415">
      <c r="A415" s="96">
        <f>IFERROR(__xludf.DUMMYFUNCTION("""COMPUTED_VALUE"""),8.0)</f>
        <v>8</v>
      </c>
      <c r="B415" s="98">
        <f>IFERROR(__xludf.DUMMYFUNCTION("""COMPUTED_VALUE"""),44083.0)</f>
        <v>44083</v>
      </c>
      <c r="C415" s="96" t="str">
        <f>IFERROR(__xludf.DUMMYFUNCTION("""COMPUTED_VALUE"""),"AUGUSTINE IGBA")</f>
        <v>AUGUSTINE IGBA</v>
      </c>
      <c r="D415" s="96" t="str">
        <f>IFERROR(__xludf.DUMMYFUNCTION("""COMPUTED_VALUE"""),"AUGUSTINE IGBA8")</f>
        <v>AUGUSTINE IGBA8</v>
      </c>
      <c r="E415" s="96">
        <f>IFERROR(__xludf.DUMMYFUNCTION("""COMPUTED_VALUE"""),2828.0)</f>
        <v>2828</v>
      </c>
      <c r="F415" s="96">
        <f>IFERROR(__xludf.DUMMYFUNCTION("""COMPUTED_VALUE"""),328.0)</f>
        <v>328</v>
      </c>
      <c r="G415" s="96"/>
      <c r="H415" s="96">
        <f>IFERROR(__xludf.DUMMYFUNCTION("""COMPUTED_VALUE"""),41.0)</f>
        <v>41</v>
      </c>
      <c r="I415" s="96"/>
      <c r="J415" s="96">
        <f>IFERROR(__xludf.DUMMYFUNCTION("""COMPUTED_VALUE"""),900.0)</f>
        <v>900</v>
      </c>
      <c r="K415" s="96"/>
      <c r="L415" s="99">
        <f>IFERROR(__xludf.DUMMYFUNCTION("""COMPUTED_VALUE"""),-2508300.0)</f>
        <v>-2508300</v>
      </c>
      <c r="M415" s="96">
        <f>IFERROR(__xludf.DUMMYFUNCTION("""COMPUTED_VALUE"""),8.0)</f>
        <v>8</v>
      </c>
      <c r="N415" s="96">
        <f>IFERROR(__xludf.DUMMYFUNCTION("""COMPUTED_VALUE"""),0.0)</f>
        <v>0</v>
      </c>
      <c r="O415" s="96">
        <f>IFERROR(__xludf.DUMMYFUNCTION("""COMPUTED_VALUE"""),44.0)</f>
        <v>44</v>
      </c>
      <c r="P415" s="96">
        <f>IFERROR(__xludf.DUMMYFUNCTION("""COMPUTED_VALUE"""),15.0)</f>
        <v>15</v>
      </c>
      <c r="Q415" s="129">
        <f>IFERROR(__xludf.DUMMYFUNCTION("""COMPUTED_VALUE"""),2787.0)</f>
        <v>2787</v>
      </c>
      <c r="R415" s="99">
        <f>IFERROR(__xludf.DUMMYFUNCTION("""COMPUTED_VALUE"""),2508300.0)</f>
        <v>2508300</v>
      </c>
      <c r="S415" s="99">
        <f>IFERROR(__xludf.DUMMYFUNCTION("""COMPUTED_VALUE"""),2.662584E7)</f>
        <v>26625840</v>
      </c>
    </row>
    <row r="416">
      <c r="A416" s="96">
        <f>IFERROR(__xludf.DUMMYFUNCTION("""COMPUTED_VALUE"""),9.0)</f>
        <v>9</v>
      </c>
      <c r="B416" s="98">
        <f>IFERROR(__xludf.DUMMYFUNCTION("""COMPUTED_VALUE"""),44088.0)</f>
        <v>44088</v>
      </c>
      <c r="C416" s="96" t="str">
        <f>IFERROR(__xludf.DUMMYFUNCTION("""COMPUTED_VALUE"""),"AUGUSTINE IGBA")</f>
        <v>AUGUSTINE IGBA</v>
      </c>
      <c r="D416" s="96" t="str">
        <f>IFERROR(__xludf.DUMMYFUNCTION("""COMPUTED_VALUE"""),"AUGUSTINE IGBA9")</f>
        <v>AUGUSTINE IGBA9</v>
      </c>
      <c r="E416" s="96">
        <f>IFERROR(__xludf.DUMMYFUNCTION("""COMPUTED_VALUE"""),2070.0)</f>
        <v>2070</v>
      </c>
      <c r="F416" s="96">
        <f>IFERROR(__xludf.DUMMYFUNCTION("""COMPUTED_VALUE"""),348.0)</f>
        <v>348</v>
      </c>
      <c r="G416" s="96"/>
      <c r="H416" s="96">
        <f>IFERROR(__xludf.DUMMYFUNCTION("""COMPUTED_VALUE"""),33.0)</f>
        <v>33</v>
      </c>
      <c r="I416" s="96"/>
      <c r="J416" s="96">
        <f>IFERROR(__xludf.DUMMYFUNCTION("""COMPUTED_VALUE"""),900.0)</f>
        <v>900</v>
      </c>
      <c r="K416" s="96"/>
      <c r="L416" s="99">
        <f>IFERROR(__xludf.DUMMYFUNCTION("""COMPUTED_VALUE"""),-1786500.0)</f>
        <v>-1786500</v>
      </c>
      <c r="M416" s="96">
        <f>IFERROR(__xludf.DUMMYFUNCTION("""COMPUTED_VALUE"""),10.55)</f>
        <v>10.55</v>
      </c>
      <c r="N416" s="96">
        <f>IFERROR(__xludf.DUMMYFUNCTION("""COMPUTED_VALUE"""),52.0)</f>
        <v>52</v>
      </c>
      <c r="O416" s="96">
        <f>IFERROR(__xludf.DUMMYFUNCTION("""COMPUTED_VALUE"""),31.0)</f>
        <v>31</v>
      </c>
      <c r="P416" s="96">
        <f>IFERROR(__xludf.DUMMYFUNCTION("""COMPUTED_VALUE"""),32.0)</f>
        <v>32</v>
      </c>
      <c r="Q416" s="129">
        <f>IFERROR(__xludf.DUMMYFUNCTION("""COMPUTED_VALUE"""),1985.0)</f>
        <v>1985</v>
      </c>
      <c r="R416" s="99">
        <f>IFERROR(__xludf.DUMMYFUNCTION("""COMPUTED_VALUE"""),1786500.0)</f>
        <v>1786500</v>
      </c>
      <c r="S416" s="99">
        <f>IFERROR(__xludf.DUMMYFUNCTION("""COMPUTED_VALUE"""),2.483934E7)</f>
        <v>24839340</v>
      </c>
    </row>
    <row r="417">
      <c r="A417" s="96">
        <f>IFERROR(__xludf.DUMMYFUNCTION("""COMPUTED_VALUE"""),10.0)</f>
        <v>10</v>
      </c>
      <c r="B417" s="98">
        <f>IFERROR(__xludf.DUMMYFUNCTION("""COMPUTED_VALUE"""),44093.0)</f>
        <v>44093</v>
      </c>
      <c r="C417" s="96" t="str">
        <f>IFERROR(__xludf.DUMMYFUNCTION("""COMPUTED_VALUE"""),"AUGUSTINE IGBA")</f>
        <v>AUGUSTINE IGBA</v>
      </c>
      <c r="D417" s="96" t="str">
        <f>IFERROR(__xludf.DUMMYFUNCTION("""COMPUTED_VALUE"""),"AUGUSTINE IGBA10")</f>
        <v>AUGUSTINE IGBA10</v>
      </c>
      <c r="E417" s="96">
        <f>IFERROR(__xludf.DUMMYFUNCTION("""COMPUTED_VALUE"""),1509.0)</f>
        <v>1509</v>
      </c>
      <c r="F417" s="96">
        <f>IFERROR(__xludf.DUMMYFUNCTION("""COMPUTED_VALUE"""),325.5)</f>
        <v>325.5</v>
      </c>
      <c r="G417" s="96"/>
      <c r="H417" s="96">
        <f>IFERROR(__xludf.DUMMYFUNCTION("""COMPUTED_VALUE"""),24.0)</f>
        <v>24</v>
      </c>
      <c r="I417" s="96"/>
      <c r="J417" s="96">
        <f>IFERROR(__xludf.DUMMYFUNCTION("""COMPUTED_VALUE"""),900.0)</f>
        <v>900</v>
      </c>
      <c r="K417" s="96"/>
      <c r="L417" s="99">
        <f>IFERROR(__xludf.DUMMYFUNCTION("""COMPUTED_VALUE"""),-1261800.0)</f>
        <v>-1261800</v>
      </c>
      <c r="M417" s="96">
        <f>IFERROR(__xludf.DUMMYFUNCTION("""COMPUTED_VALUE"""),13.56)</f>
        <v>13.56</v>
      </c>
      <c r="N417" s="96">
        <f>IFERROR(__xludf.DUMMYFUNCTION("""COMPUTED_VALUE"""),83.0)</f>
        <v>83</v>
      </c>
      <c r="O417" s="96">
        <f>IFERROR(__xludf.DUMMYFUNCTION("""COMPUTED_VALUE"""),22.0)</f>
        <v>22</v>
      </c>
      <c r="P417" s="96">
        <f>IFERROR(__xludf.DUMMYFUNCTION("""COMPUTED_VALUE"""),15.0)</f>
        <v>15</v>
      </c>
      <c r="Q417" s="129">
        <f>IFERROR(__xludf.DUMMYFUNCTION("""COMPUTED_VALUE"""),1402.0)</f>
        <v>1402</v>
      </c>
      <c r="R417" s="99">
        <f>IFERROR(__xludf.DUMMYFUNCTION("""COMPUTED_VALUE"""),1261800.0)</f>
        <v>1261800</v>
      </c>
      <c r="S417" s="99">
        <f>IFERROR(__xludf.DUMMYFUNCTION("""COMPUTED_VALUE"""),2.357754E7)</f>
        <v>23577540</v>
      </c>
    </row>
    <row r="418">
      <c r="A418" s="96">
        <f>IFERROR(__xludf.DUMMYFUNCTION("""COMPUTED_VALUE"""),1.0)</f>
        <v>1</v>
      </c>
      <c r="B418" s="98">
        <f>IFERROR(__xludf.DUMMYFUNCTION("""COMPUTED_VALUE"""),44099.0)</f>
        <v>44099</v>
      </c>
      <c r="C418" s="96" t="str">
        <f>IFERROR(__xludf.DUMMYFUNCTION("""COMPUTED_VALUE"""),"ABANG. MOSES")</f>
        <v>ABANG. MOSES</v>
      </c>
      <c r="D418" s="96" t="str">
        <f>IFERROR(__xludf.DUMMYFUNCTION("""COMPUTED_VALUE"""),"ABANG. MOSES1")</f>
        <v>ABANG. MOSES1</v>
      </c>
      <c r="E418" s="96"/>
      <c r="F418" s="96"/>
      <c r="G418" s="96"/>
      <c r="H418" s="96"/>
      <c r="I418" s="96"/>
      <c r="J418" s="96"/>
      <c r="K418" s="96">
        <f>IFERROR(__xludf.DUMMYFUNCTION("""COMPUTED_VALUE"""),1000000.0)</f>
        <v>1000000</v>
      </c>
      <c r="L418" s="99">
        <f>IFERROR(__xludf.DUMMYFUNCTION("""COMPUTED_VALUE"""),1000000.0)</f>
        <v>1000000</v>
      </c>
      <c r="M418" s="96"/>
      <c r="N418" s="96">
        <f>IFERROR(__xludf.DUMMYFUNCTION("""COMPUTED_VALUE"""),0.0)</f>
        <v>0</v>
      </c>
      <c r="O418" s="96">
        <f>IFERROR(__xludf.DUMMYFUNCTION("""COMPUTED_VALUE"""),0.0)</f>
        <v>0</v>
      </c>
      <c r="P418" s="96">
        <f>IFERROR(__xludf.DUMMYFUNCTION("""COMPUTED_VALUE"""),0.0)</f>
        <v>0</v>
      </c>
      <c r="Q418" s="129">
        <f>IFERROR(__xludf.DUMMYFUNCTION("""COMPUTED_VALUE"""),0.0)</f>
        <v>0</v>
      </c>
      <c r="R418" s="99"/>
      <c r="S418" s="99">
        <f>IFERROR(__xludf.DUMMYFUNCTION("""COMPUTED_VALUE"""),1000000.0)</f>
        <v>1000000</v>
      </c>
    </row>
    <row r="419">
      <c r="A419" s="96">
        <f>IFERROR(__xludf.DUMMYFUNCTION("""COMPUTED_VALUE"""),12.0)</f>
        <v>12</v>
      </c>
      <c r="B419" s="98">
        <f>IFERROR(__xludf.DUMMYFUNCTION("""COMPUTED_VALUE"""),44102.0)</f>
        <v>44102</v>
      </c>
      <c r="C419" s="96" t="str">
        <f>IFERROR(__xludf.DUMMYFUNCTION("""COMPUTED_VALUE"""),"ANDRDEW GREAT")</f>
        <v>ANDRDEW GREAT</v>
      </c>
      <c r="D419" s="96" t="str">
        <f>IFERROR(__xludf.DUMMYFUNCTION("""COMPUTED_VALUE"""),"ANDRDEW GREAT12")</f>
        <v>ANDRDEW GREAT12</v>
      </c>
      <c r="E419" s="96">
        <f>IFERROR(__xludf.DUMMYFUNCTION("""COMPUTED_VALUE"""),1689.0)</f>
        <v>1689</v>
      </c>
      <c r="F419" s="96">
        <f>IFERROR(__xludf.DUMMYFUNCTION("""COMPUTED_VALUE"""),164.0)</f>
        <v>164</v>
      </c>
      <c r="G419" s="96"/>
      <c r="H419" s="96">
        <f>IFERROR(__xludf.DUMMYFUNCTION("""COMPUTED_VALUE"""),16.0)</f>
        <v>16</v>
      </c>
      <c r="I419" s="96"/>
      <c r="J419" s="96">
        <f>IFERROR(__xludf.DUMMYFUNCTION("""COMPUTED_VALUE"""),950.0)</f>
        <v>950</v>
      </c>
      <c r="K419" s="96"/>
      <c r="L419" s="99">
        <f>IFERROR(__xludf.DUMMYFUNCTION("""COMPUTED_VALUE"""),-1553250.0)</f>
        <v>-1553250</v>
      </c>
      <c r="M419" s="96">
        <f>IFERROR(__xludf.DUMMYFUNCTION("""COMPUTED_VALUE"""),10.25)</f>
        <v>10.25</v>
      </c>
      <c r="N419" s="96">
        <f>IFERROR(__xludf.DUMMYFUNCTION("""COMPUTED_VALUE"""),38.0)</f>
        <v>38</v>
      </c>
      <c r="O419" s="96">
        <f>IFERROR(__xludf.DUMMYFUNCTION("""COMPUTED_VALUE"""),25.0)</f>
        <v>25</v>
      </c>
      <c r="P419" s="96">
        <f>IFERROR(__xludf.DUMMYFUNCTION("""COMPUTED_VALUE"""),60.0)</f>
        <v>60</v>
      </c>
      <c r="Q419" s="129">
        <f>IFERROR(__xludf.DUMMYFUNCTION("""COMPUTED_VALUE"""),1635.0)</f>
        <v>1635</v>
      </c>
      <c r="R419" s="99">
        <f>IFERROR(__xludf.DUMMYFUNCTION("""COMPUTED_VALUE"""),1553250.0)</f>
        <v>1553250</v>
      </c>
      <c r="S419" s="99">
        <f>IFERROR(__xludf.DUMMYFUNCTION("""COMPUTED_VALUE"""),903610.0)</f>
        <v>903610</v>
      </c>
    </row>
    <row r="420">
      <c r="A420" s="96">
        <f>IFERROR(__xludf.DUMMYFUNCTION("""COMPUTED_VALUE"""),2.0)</f>
        <v>2</v>
      </c>
      <c r="B420" s="98">
        <f>IFERROR(__xludf.DUMMYFUNCTION("""COMPUTED_VALUE"""),44100.0)</f>
        <v>44100</v>
      </c>
      <c r="C420" s="96" t="str">
        <f>IFERROR(__xludf.DUMMYFUNCTION("""COMPUTED_VALUE""")," OP OCHICHIE")</f>
        <v> OP OCHICHIE</v>
      </c>
      <c r="D420" s="96" t="str">
        <f>IFERROR(__xludf.DUMMYFUNCTION("""COMPUTED_VALUE""")," OP OCHICHIE2")</f>
        <v> OP OCHICHIE2</v>
      </c>
      <c r="E420" s="96"/>
      <c r="F420" s="96"/>
      <c r="G420" s="96"/>
      <c r="H420" s="96"/>
      <c r="I420" s="96"/>
      <c r="J420" s="96"/>
      <c r="K420" s="96">
        <f>IFERROR(__xludf.DUMMYFUNCTION("""COMPUTED_VALUE"""),10000.0)</f>
        <v>10000</v>
      </c>
      <c r="L420" s="99">
        <f>IFERROR(__xludf.DUMMYFUNCTION("""COMPUTED_VALUE"""),10000.0)</f>
        <v>10000</v>
      </c>
      <c r="M420" s="96"/>
      <c r="N420" s="96">
        <f>IFERROR(__xludf.DUMMYFUNCTION("""COMPUTED_VALUE"""),0.0)</f>
        <v>0</v>
      </c>
      <c r="O420" s="96">
        <f>IFERROR(__xludf.DUMMYFUNCTION("""COMPUTED_VALUE"""),0.0)</f>
        <v>0</v>
      </c>
      <c r="P420" s="96">
        <f>IFERROR(__xludf.DUMMYFUNCTION("""COMPUTED_VALUE"""),0.0)</f>
        <v>0</v>
      </c>
      <c r="Q420" s="129">
        <f>IFERROR(__xludf.DUMMYFUNCTION("""COMPUTED_VALUE"""),0.0)</f>
        <v>0</v>
      </c>
      <c r="R420" s="99"/>
      <c r="S420" s="99">
        <f>IFERROR(__xludf.DUMMYFUNCTION("""COMPUTED_VALUE"""),545525.0)</f>
        <v>545525</v>
      </c>
    </row>
    <row r="421">
      <c r="A421" s="96">
        <f>IFERROR(__xludf.DUMMYFUNCTION("""COMPUTED_VALUE"""),3.0)</f>
        <v>3</v>
      </c>
      <c r="B421" s="98">
        <f>IFERROR(__xludf.DUMMYFUNCTION("""COMPUTED_VALUE"""),44100.0)</f>
        <v>44100</v>
      </c>
      <c r="C421" s="96" t="str">
        <f>IFERROR(__xludf.DUMMYFUNCTION("""COMPUTED_VALUE"""),"R.  MAXWELL AGRO")</f>
        <v>R.  MAXWELL AGRO</v>
      </c>
      <c r="D421" s="96" t="str">
        <f>IFERROR(__xludf.DUMMYFUNCTION("""COMPUTED_VALUE"""),"R.  MAXWELL AGRO3")</f>
        <v>R.  MAXWELL AGRO3</v>
      </c>
      <c r="E421" s="96"/>
      <c r="F421" s="96"/>
      <c r="G421" s="96"/>
      <c r="H421" s="96"/>
      <c r="I421" s="96"/>
      <c r="J421" s="96"/>
      <c r="K421" s="96">
        <f>IFERROR(__xludf.DUMMYFUNCTION("""COMPUTED_VALUE"""),7980000.0)</f>
        <v>7980000</v>
      </c>
      <c r="L421" s="99">
        <f>IFERROR(__xludf.DUMMYFUNCTION("""COMPUTED_VALUE"""),7980000.0)</f>
        <v>7980000</v>
      </c>
      <c r="M421" s="96"/>
      <c r="N421" s="96">
        <f>IFERROR(__xludf.DUMMYFUNCTION("""COMPUTED_VALUE"""),0.0)</f>
        <v>0</v>
      </c>
      <c r="O421" s="96">
        <f>IFERROR(__xludf.DUMMYFUNCTION("""COMPUTED_VALUE"""),0.0)</f>
        <v>0</v>
      </c>
      <c r="P421" s="96">
        <f>IFERROR(__xludf.DUMMYFUNCTION("""COMPUTED_VALUE"""),0.0)</f>
        <v>0</v>
      </c>
      <c r="Q421" s="129">
        <f>IFERROR(__xludf.DUMMYFUNCTION("""COMPUTED_VALUE"""),0.0)</f>
        <v>0</v>
      </c>
      <c r="R421" s="99"/>
      <c r="S421" s="99">
        <f>IFERROR(__xludf.DUMMYFUNCTION("""COMPUTED_VALUE"""),8870000.0)</f>
        <v>8870000</v>
      </c>
    </row>
    <row r="422">
      <c r="A422" s="96">
        <f>IFERROR(__xludf.DUMMYFUNCTION("""COMPUTED_VALUE"""),13.0)</f>
        <v>13</v>
      </c>
      <c r="B422" s="98">
        <f>IFERROR(__xludf.DUMMYFUNCTION("""COMPUTED_VALUE"""),44102.0)</f>
        <v>44102</v>
      </c>
      <c r="C422" s="96" t="str">
        <f>IFERROR(__xludf.DUMMYFUNCTION("""COMPUTED_VALUE"""),"EDWARD OKO")</f>
        <v>EDWARD OKO</v>
      </c>
      <c r="D422" s="96" t="str">
        <f>IFERROR(__xludf.DUMMYFUNCTION("""COMPUTED_VALUE"""),"EDWARD OKO13")</f>
        <v>EDWARD OKO13</v>
      </c>
      <c r="E422" s="96"/>
      <c r="F422" s="96"/>
      <c r="G422" s="96"/>
      <c r="H422" s="96"/>
      <c r="I422" s="96"/>
      <c r="J422" s="96"/>
      <c r="K422" s="96">
        <f>IFERROR(__xludf.DUMMYFUNCTION("""COMPUTED_VALUE"""),3000000.0)</f>
        <v>3000000</v>
      </c>
      <c r="L422" s="99">
        <f>IFERROR(__xludf.DUMMYFUNCTION("""COMPUTED_VALUE"""),3000000.0)</f>
        <v>3000000</v>
      </c>
      <c r="M422" s="96"/>
      <c r="N422" s="96">
        <f>IFERROR(__xludf.DUMMYFUNCTION("""COMPUTED_VALUE"""),0.0)</f>
        <v>0</v>
      </c>
      <c r="O422" s="96">
        <f>IFERROR(__xludf.DUMMYFUNCTION("""COMPUTED_VALUE"""),0.0)</f>
        <v>0</v>
      </c>
      <c r="P422" s="96">
        <f>IFERROR(__xludf.DUMMYFUNCTION("""COMPUTED_VALUE"""),0.0)</f>
        <v>0</v>
      </c>
      <c r="Q422" s="129">
        <f>IFERROR(__xludf.DUMMYFUNCTION("""COMPUTED_VALUE"""),0.0)</f>
        <v>0</v>
      </c>
      <c r="R422" s="99"/>
      <c r="S422" s="99">
        <f>IFERROR(__xludf.DUMMYFUNCTION("""COMPUTED_VALUE"""),7883490.0)</f>
        <v>7883490</v>
      </c>
    </row>
    <row r="423">
      <c r="A423" s="96">
        <f>IFERROR(__xludf.DUMMYFUNCTION("""COMPUTED_VALUE"""),13.0)</f>
        <v>13</v>
      </c>
      <c r="B423" s="98">
        <f>IFERROR(__xludf.DUMMYFUNCTION("""COMPUTED_VALUE"""),44102.0)</f>
        <v>44102</v>
      </c>
      <c r="C423" s="96" t="str">
        <f>IFERROR(__xludf.DUMMYFUNCTION("""COMPUTED_VALUE"""),"ANDRDEW GREAT")</f>
        <v>ANDRDEW GREAT</v>
      </c>
      <c r="D423" s="96" t="str">
        <f>IFERROR(__xludf.DUMMYFUNCTION("""COMPUTED_VALUE"""),"ANDRDEW GREAT13")</f>
        <v>ANDRDEW GREAT13</v>
      </c>
      <c r="E423" s="96"/>
      <c r="F423" s="96"/>
      <c r="G423" s="96"/>
      <c r="H423" s="96"/>
      <c r="I423" s="96"/>
      <c r="J423" s="96"/>
      <c r="K423" s="96">
        <f>IFERROR(__xludf.DUMMYFUNCTION("""COMPUTED_VALUE"""),1050000.0)</f>
        <v>1050000</v>
      </c>
      <c r="L423" s="99">
        <f>IFERROR(__xludf.DUMMYFUNCTION("""COMPUTED_VALUE"""),1050000.0)</f>
        <v>1050000</v>
      </c>
      <c r="M423" s="96"/>
      <c r="N423" s="96">
        <f>IFERROR(__xludf.DUMMYFUNCTION("""COMPUTED_VALUE"""),0.0)</f>
        <v>0</v>
      </c>
      <c r="O423" s="96">
        <f>IFERROR(__xludf.DUMMYFUNCTION("""COMPUTED_VALUE"""),0.0)</f>
        <v>0</v>
      </c>
      <c r="P423" s="96">
        <f>IFERROR(__xludf.DUMMYFUNCTION("""COMPUTED_VALUE"""),0.0)</f>
        <v>0</v>
      </c>
      <c r="Q423" s="129">
        <f>IFERROR(__xludf.DUMMYFUNCTION("""COMPUTED_VALUE"""),0.0)</f>
        <v>0</v>
      </c>
      <c r="R423" s="99"/>
      <c r="S423" s="99">
        <f>IFERROR(__xludf.DUMMYFUNCTION("""COMPUTED_VALUE"""),1953610.0)</f>
        <v>1953610</v>
      </c>
    </row>
    <row r="424">
      <c r="A424" s="96">
        <f>IFERROR(__xludf.DUMMYFUNCTION("""COMPUTED_VALUE"""),14.0)</f>
        <v>14</v>
      </c>
      <c r="B424" s="98">
        <f>IFERROR(__xludf.DUMMYFUNCTION("""COMPUTED_VALUE"""),44102.0)</f>
        <v>44102</v>
      </c>
      <c r="C424" s="96" t="str">
        <f>IFERROR(__xludf.DUMMYFUNCTION("""COMPUTED_VALUE"""),"ANDRDEW GREAT")</f>
        <v>ANDRDEW GREAT</v>
      </c>
      <c r="D424" s="96" t="str">
        <f>IFERROR(__xludf.DUMMYFUNCTION("""COMPUTED_VALUE"""),"ANDRDEW GREAT14")</f>
        <v>ANDRDEW GREAT14</v>
      </c>
      <c r="E424" s="96"/>
      <c r="F424" s="96"/>
      <c r="G424" s="96"/>
      <c r="H424" s="96"/>
      <c r="I424" s="96"/>
      <c r="J424" s="96"/>
      <c r="K424" s="96">
        <f>IFERROR(__xludf.DUMMYFUNCTION("""COMPUTED_VALUE"""),1553250.0)</f>
        <v>1553250</v>
      </c>
      <c r="L424" s="99">
        <f>IFERROR(__xludf.DUMMYFUNCTION("""COMPUTED_VALUE"""),1553250.0)</f>
        <v>1553250</v>
      </c>
      <c r="M424" s="96"/>
      <c r="N424" s="96">
        <f>IFERROR(__xludf.DUMMYFUNCTION("""COMPUTED_VALUE"""),0.0)</f>
        <v>0</v>
      </c>
      <c r="O424" s="96">
        <f>IFERROR(__xludf.DUMMYFUNCTION("""COMPUTED_VALUE"""),0.0)</f>
        <v>0</v>
      </c>
      <c r="P424" s="96">
        <f>IFERROR(__xludf.DUMMYFUNCTION("""COMPUTED_VALUE"""),0.0)</f>
        <v>0</v>
      </c>
      <c r="Q424" s="129">
        <f>IFERROR(__xludf.DUMMYFUNCTION("""COMPUTED_VALUE"""),0.0)</f>
        <v>0</v>
      </c>
      <c r="R424" s="99"/>
      <c r="S424" s="99">
        <f>IFERROR(__xludf.DUMMYFUNCTION("""COMPUTED_VALUE"""),3506860.0)</f>
        <v>3506860</v>
      </c>
    </row>
    <row r="425">
      <c r="A425" s="96">
        <f>IFERROR(__xludf.DUMMYFUNCTION("""COMPUTED_VALUE"""),20.0)</f>
        <v>20</v>
      </c>
      <c r="B425" s="98">
        <f>IFERROR(__xludf.DUMMYFUNCTION("""COMPUTED_VALUE"""),44102.0)</f>
        <v>44102</v>
      </c>
      <c r="C425" s="96" t="str">
        <f>IFERROR(__xludf.DUMMYFUNCTION("""COMPUTED_VALUE"""),"BOSURU  BOSURU")</f>
        <v>BOSURU  BOSURU</v>
      </c>
      <c r="D425" s="96" t="str">
        <f>IFERROR(__xludf.DUMMYFUNCTION("""COMPUTED_VALUE"""),"BOSURU  BOSURU20")</f>
        <v>BOSURU  BOSURU20</v>
      </c>
      <c r="E425" s="96"/>
      <c r="F425" s="96"/>
      <c r="G425" s="96"/>
      <c r="H425" s="96"/>
      <c r="I425" s="96"/>
      <c r="J425" s="96"/>
      <c r="K425" s="96">
        <f>IFERROR(__xludf.DUMMYFUNCTION("""COMPUTED_VALUE"""),500000.0)</f>
        <v>500000</v>
      </c>
      <c r="L425" s="99">
        <f>IFERROR(__xludf.DUMMYFUNCTION("""COMPUTED_VALUE"""),500000.0)</f>
        <v>500000</v>
      </c>
      <c r="M425" s="96"/>
      <c r="N425" s="96">
        <f>IFERROR(__xludf.DUMMYFUNCTION("""COMPUTED_VALUE"""),0.0)</f>
        <v>0</v>
      </c>
      <c r="O425" s="96">
        <f>IFERROR(__xludf.DUMMYFUNCTION("""COMPUTED_VALUE"""),0.0)</f>
        <v>0</v>
      </c>
      <c r="P425" s="96">
        <f>IFERROR(__xludf.DUMMYFUNCTION("""COMPUTED_VALUE"""),0.0)</f>
        <v>0</v>
      </c>
      <c r="Q425" s="129">
        <f>IFERROR(__xludf.DUMMYFUNCTION("""COMPUTED_VALUE"""),0.0)</f>
        <v>0</v>
      </c>
      <c r="R425" s="99"/>
      <c r="S425" s="99">
        <f>IFERROR(__xludf.DUMMYFUNCTION("""COMPUTED_VALUE"""),2867700.0)</f>
        <v>2867700</v>
      </c>
    </row>
    <row r="426">
      <c r="A426" s="96">
        <f>IFERROR(__xludf.DUMMYFUNCTION("""COMPUTED_VALUE"""),4.0)</f>
        <v>4</v>
      </c>
      <c r="B426" s="98">
        <f>IFERROR(__xludf.DUMMYFUNCTION("""COMPUTED_VALUE"""),44102.0)</f>
        <v>44102</v>
      </c>
      <c r="C426" s="96" t="str">
        <f>IFERROR(__xludf.DUMMYFUNCTION("""COMPUTED_VALUE"""),"R.  MAXWELL AGRO")</f>
        <v>R.  MAXWELL AGRO</v>
      </c>
      <c r="D426" s="96" t="str">
        <f>IFERROR(__xludf.DUMMYFUNCTION("""COMPUTED_VALUE"""),"R.  MAXWELL AGRO4")</f>
        <v>R.  MAXWELL AGRO4</v>
      </c>
      <c r="E426" s="96"/>
      <c r="F426" s="96"/>
      <c r="G426" s="96"/>
      <c r="H426" s="96"/>
      <c r="I426" s="96"/>
      <c r="J426" s="96"/>
      <c r="K426" s="96">
        <f>IFERROR(__xludf.DUMMYFUNCTION("""COMPUTED_VALUE"""),1.17E7)</f>
        <v>11700000</v>
      </c>
      <c r="L426" s="99">
        <f>IFERROR(__xludf.DUMMYFUNCTION("""COMPUTED_VALUE"""),1.17E7)</f>
        <v>11700000</v>
      </c>
      <c r="M426" s="96"/>
      <c r="N426" s="96">
        <f>IFERROR(__xludf.DUMMYFUNCTION("""COMPUTED_VALUE"""),0.0)</f>
        <v>0</v>
      </c>
      <c r="O426" s="96">
        <f>IFERROR(__xludf.DUMMYFUNCTION("""COMPUTED_VALUE"""),0.0)</f>
        <v>0</v>
      </c>
      <c r="P426" s="96">
        <f>IFERROR(__xludf.DUMMYFUNCTION("""COMPUTED_VALUE"""),0.0)</f>
        <v>0</v>
      </c>
      <c r="Q426" s="129">
        <f>IFERROR(__xludf.DUMMYFUNCTION("""COMPUTED_VALUE"""),0.0)</f>
        <v>0</v>
      </c>
      <c r="R426" s="99"/>
      <c r="S426" s="99">
        <f>IFERROR(__xludf.DUMMYFUNCTION("""COMPUTED_VALUE"""),2.057E7)</f>
        <v>20570000</v>
      </c>
    </row>
    <row r="427">
      <c r="A427" s="96">
        <f>IFERROR(__xludf.DUMMYFUNCTION("""COMPUTED_VALUE"""),1.0)</f>
        <v>1</v>
      </c>
      <c r="B427" s="98">
        <f>IFERROR(__xludf.DUMMYFUNCTION("""COMPUTED_VALUE"""),44102.0)</f>
        <v>44102</v>
      </c>
      <c r="C427" s="96" t="str">
        <f>IFERROR(__xludf.DUMMYFUNCTION("""COMPUTED_VALUE"""),"PRIN M. BOSURU")</f>
        <v>PRIN M. BOSURU</v>
      </c>
      <c r="D427" s="96" t="str">
        <f>IFERROR(__xludf.DUMMYFUNCTION("""COMPUTED_VALUE"""),"PRIN M. BOSURU1")</f>
        <v>PRIN M. BOSURU1</v>
      </c>
      <c r="E427" s="96"/>
      <c r="F427" s="96"/>
      <c r="G427" s="96"/>
      <c r="H427" s="96"/>
      <c r="I427" s="96"/>
      <c r="J427" s="96"/>
      <c r="K427" s="96">
        <f>IFERROR(__xludf.DUMMYFUNCTION("""COMPUTED_VALUE"""),1120000.0)</f>
        <v>1120000</v>
      </c>
      <c r="L427" s="99">
        <f>IFERROR(__xludf.DUMMYFUNCTION("""COMPUTED_VALUE"""),1120000.0)</f>
        <v>1120000</v>
      </c>
      <c r="M427" s="96"/>
      <c r="N427" s="96">
        <f>IFERROR(__xludf.DUMMYFUNCTION("""COMPUTED_VALUE"""),0.0)</f>
        <v>0</v>
      </c>
      <c r="O427" s="96">
        <f>IFERROR(__xludf.DUMMYFUNCTION("""COMPUTED_VALUE"""),0.0)</f>
        <v>0</v>
      </c>
      <c r="P427" s="96">
        <f>IFERROR(__xludf.DUMMYFUNCTION("""COMPUTED_VALUE"""),0.0)</f>
        <v>0</v>
      </c>
      <c r="Q427" s="129">
        <f>IFERROR(__xludf.DUMMYFUNCTION("""COMPUTED_VALUE"""),0.0)</f>
        <v>0</v>
      </c>
      <c r="R427" s="99"/>
      <c r="S427" s="99">
        <f>IFERROR(__xludf.DUMMYFUNCTION("""COMPUTED_VALUE"""),1120000.0)</f>
        <v>1120000</v>
      </c>
    </row>
    <row r="428">
      <c r="A428" s="96">
        <f>IFERROR(__xludf.DUMMYFUNCTION("""COMPUTED_VALUE"""),21.0)</f>
        <v>21</v>
      </c>
      <c r="B428" s="98">
        <f>IFERROR(__xludf.DUMMYFUNCTION("""COMPUTED_VALUE"""),44104.0)</f>
        <v>44104</v>
      </c>
      <c r="C428" s="96" t="str">
        <f>IFERROR(__xludf.DUMMYFUNCTION("""COMPUTED_VALUE"""),"CONNECT")</f>
        <v>CONNECT</v>
      </c>
      <c r="D428" s="96" t="str">
        <f>IFERROR(__xludf.DUMMYFUNCTION("""COMPUTED_VALUE"""),"CONNECT21")</f>
        <v>CONNECT21</v>
      </c>
      <c r="E428" s="96">
        <f>IFERROR(__xludf.DUMMYFUNCTION("""COMPUTED_VALUE"""),482.0)</f>
        <v>482</v>
      </c>
      <c r="F428" s="96">
        <f>IFERROR(__xludf.DUMMYFUNCTION("""COMPUTED_VALUE"""),78.0)</f>
        <v>78</v>
      </c>
      <c r="G428" s="96"/>
      <c r="H428" s="96">
        <f>IFERROR(__xludf.DUMMYFUNCTION("""COMPUTED_VALUE"""),7.0)</f>
        <v>7</v>
      </c>
      <c r="I428" s="96"/>
      <c r="J428" s="96">
        <f>IFERROR(__xludf.DUMMYFUNCTION("""COMPUTED_VALUE"""),940.0)</f>
        <v>940</v>
      </c>
      <c r="K428" s="96"/>
      <c r="L428" s="99">
        <f>IFERROR(__xludf.DUMMYFUNCTION("""COMPUTED_VALUE"""),-432400.0)</f>
        <v>-432400</v>
      </c>
      <c r="M428" s="96">
        <f>IFERROR(__xludf.DUMMYFUNCTION("""COMPUTED_VALUE"""),11.14)</f>
        <v>11.14</v>
      </c>
      <c r="N428" s="96">
        <f>IFERROR(__xludf.DUMMYFUNCTION("""COMPUTED_VALUE"""),15.0)</f>
        <v>15</v>
      </c>
      <c r="O428" s="96">
        <f>IFERROR(__xludf.DUMMYFUNCTION("""COMPUTED_VALUE"""),7.0)</f>
        <v>7</v>
      </c>
      <c r="P428" s="96">
        <f>IFERROR(__xludf.DUMMYFUNCTION("""COMPUTED_VALUE"""),19.0)</f>
        <v>19</v>
      </c>
      <c r="Q428" s="129">
        <f>IFERROR(__xludf.DUMMYFUNCTION("""COMPUTED_VALUE"""),460.0)</f>
        <v>460</v>
      </c>
      <c r="R428" s="99">
        <f>IFERROR(__xludf.DUMMYFUNCTION("""COMPUTED_VALUE"""),432400.0)</f>
        <v>432400</v>
      </c>
      <c r="S428" s="99">
        <f>IFERROR(__xludf.DUMMYFUNCTION("""COMPUTED_VALUE"""),5884850.0)</f>
        <v>5884850</v>
      </c>
    </row>
    <row r="429">
      <c r="A429" s="96">
        <f>IFERROR(__xludf.DUMMYFUNCTION("""COMPUTED_VALUE"""),6.0)</f>
        <v>6</v>
      </c>
      <c r="B429" s="98">
        <f>IFERROR(__xludf.DUMMYFUNCTION("""COMPUTED_VALUE"""),44104.0)</f>
        <v>44104</v>
      </c>
      <c r="C429" s="96" t="str">
        <f>IFERROR(__xludf.DUMMYFUNCTION("""COMPUTED_VALUE"""),"CONFIDENCE")</f>
        <v>CONFIDENCE</v>
      </c>
      <c r="D429" s="96" t="str">
        <f>IFERROR(__xludf.DUMMYFUNCTION("""COMPUTED_VALUE"""),"CONFIDENCE6")</f>
        <v>CONFIDENCE6</v>
      </c>
      <c r="E429" s="96">
        <f>IFERROR(__xludf.DUMMYFUNCTION("""COMPUTED_VALUE"""),512.0)</f>
        <v>512</v>
      </c>
      <c r="F429" s="96">
        <f>IFERROR(__xludf.DUMMYFUNCTION("""COMPUTED_VALUE"""),89.0)</f>
        <v>89</v>
      </c>
      <c r="G429" s="96"/>
      <c r="H429" s="96">
        <f>IFERROR(__xludf.DUMMYFUNCTION("""COMPUTED_VALUE"""),8.0)</f>
        <v>8</v>
      </c>
      <c r="I429" s="96"/>
      <c r="J429" s="96">
        <f>IFERROR(__xludf.DUMMYFUNCTION("""COMPUTED_VALUE"""),927.95)</f>
        <v>927.95</v>
      </c>
      <c r="K429" s="96"/>
      <c r="L429" s="99">
        <f>IFERROR(__xludf.DUMMYFUNCTION("""COMPUTED_VALUE"""),-452840.0)</f>
        <v>-452840</v>
      </c>
      <c r="M429" s="96">
        <f>IFERROR(__xludf.DUMMYFUNCTION("""COMPUTED_VALUE"""),11.13)</f>
        <v>11.13</v>
      </c>
      <c r="N429" s="96">
        <f>IFERROR(__xludf.DUMMYFUNCTION("""COMPUTED_VALUE"""),16.0)</f>
        <v>16</v>
      </c>
      <c r="O429" s="96">
        <f>IFERROR(__xludf.DUMMYFUNCTION("""COMPUTED_VALUE"""),7.0)</f>
        <v>7</v>
      </c>
      <c r="P429" s="96">
        <f>IFERROR(__xludf.DUMMYFUNCTION("""COMPUTED_VALUE"""),47.0)</f>
        <v>47</v>
      </c>
      <c r="Q429" s="129">
        <f>IFERROR(__xludf.DUMMYFUNCTION("""COMPUTED_VALUE"""),488.0)</f>
        <v>488</v>
      </c>
      <c r="R429" s="99">
        <f>IFERROR(__xludf.DUMMYFUNCTION("""COMPUTED_VALUE"""),452840.0)</f>
        <v>452840</v>
      </c>
      <c r="S429" s="99">
        <f>IFERROR(__xludf.DUMMYFUNCTION("""COMPUTED_VALUE"""),1847160.0)</f>
        <v>1847160</v>
      </c>
    </row>
    <row r="430">
      <c r="A430" s="96">
        <f>IFERROR(__xludf.DUMMYFUNCTION("""COMPUTED_VALUE"""),3.0)</f>
        <v>3</v>
      </c>
      <c r="B430" s="98">
        <f>IFERROR(__xludf.DUMMYFUNCTION("""COMPUTED_VALUE"""),44103.0)</f>
        <v>44103</v>
      </c>
      <c r="C430" s="96" t="str">
        <f>IFERROR(__xludf.DUMMYFUNCTION("""COMPUTED_VALUE"""),"CHINWE CHIDI")</f>
        <v>CHINWE CHIDI</v>
      </c>
      <c r="D430" s="96" t="str">
        <f>IFERROR(__xludf.DUMMYFUNCTION("""COMPUTED_VALUE"""),"CHINWE CHIDI3")</f>
        <v>CHINWE CHIDI3</v>
      </c>
      <c r="E430" s="96"/>
      <c r="F430" s="96"/>
      <c r="G430" s="96"/>
      <c r="H430" s="96"/>
      <c r="I430" s="96"/>
      <c r="J430" s="96"/>
      <c r="K430" s="96">
        <f>IFERROR(__xludf.DUMMYFUNCTION("""COMPUTED_VALUE"""),200000.0)</f>
        <v>200000</v>
      </c>
      <c r="L430" s="99">
        <f>IFERROR(__xludf.DUMMYFUNCTION("""COMPUTED_VALUE"""),200000.0)</f>
        <v>200000</v>
      </c>
      <c r="M430" s="96"/>
      <c r="N430" s="96">
        <f>IFERROR(__xludf.DUMMYFUNCTION("""COMPUTED_VALUE"""),0.0)</f>
        <v>0</v>
      </c>
      <c r="O430" s="96">
        <f>IFERROR(__xludf.DUMMYFUNCTION("""COMPUTED_VALUE"""),0.0)</f>
        <v>0</v>
      </c>
      <c r="P430" s="96">
        <f>IFERROR(__xludf.DUMMYFUNCTION("""COMPUTED_VALUE"""),0.0)</f>
        <v>0</v>
      </c>
      <c r="Q430" s="129">
        <f>IFERROR(__xludf.DUMMYFUNCTION("""COMPUTED_VALUE"""),0.0)</f>
        <v>0</v>
      </c>
      <c r="R430" s="99"/>
      <c r="S430" s="99">
        <f>IFERROR(__xludf.DUMMYFUNCTION("""COMPUTED_VALUE"""),306000.0)</f>
        <v>306000</v>
      </c>
    </row>
    <row r="431">
      <c r="A431" s="96">
        <f>IFERROR(__xludf.DUMMYFUNCTION("""COMPUTED_VALUE"""),7.0)</f>
        <v>7</v>
      </c>
      <c r="B431" s="98">
        <f>IFERROR(__xludf.DUMMYFUNCTION("""COMPUTED_VALUE"""),44103.0)</f>
        <v>44103</v>
      </c>
      <c r="C431" s="96" t="str">
        <f>IFERROR(__xludf.DUMMYFUNCTION("""COMPUTED_VALUE"""),"CONFIDENCE")</f>
        <v>CONFIDENCE</v>
      </c>
      <c r="D431" s="96" t="str">
        <f>IFERROR(__xludf.DUMMYFUNCTION("""COMPUTED_VALUE"""),"CONFIDENCE7")</f>
        <v>CONFIDENCE7</v>
      </c>
      <c r="E431" s="96"/>
      <c r="F431" s="96"/>
      <c r="G431" s="96"/>
      <c r="H431" s="96"/>
      <c r="I431" s="96"/>
      <c r="J431" s="96"/>
      <c r="K431" s="96">
        <f>IFERROR(__xludf.DUMMYFUNCTION("""COMPUTED_VALUE"""),150000.0)</f>
        <v>150000</v>
      </c>
      <c r="L431" s="99">
        <f>IFERROR(__xludf.DUMMYFUNCTION("""COMPUTED_VALUE"""),150000.0)</f>
        <v>150000</v>
      </c>
      <c r="M431" s="96"/>
      <c r="N431" s="96">
        <f>IFERROR(__xludf.DUMMYFUNCTION("""COMPUTED_VALUE"""),0.0)</f>
        <v>0</v>
      </c>
      <c r="O431" s="96">
        <f>IFERROR(__xludf.DUMMYFUNCTION("""COMPUTED_VALUE"""),0.0)</f>
        <v>0</v>
      </c>
      <c r="P431" s="96">
        <f>IFERROR(__xludf.DUMMYFUNCTION("""COMPUTED_VALUE"""),0.0)</f>
        <v>0</v>
      </c>
      <c r="Q431" s="129">
        <f>IFERROR(__xludf.DUMMYFUNCTION("""COMPUTED_VALUE"""),0.0)</f>
        <v>0</v>
      </c>
      <c r="R431" s="99"/>
      <c r="S431" s="99">
        <f>IFERROR(__xludf.DUMMYFUNCTION("""COMPUTED_VALUE"""),1997160.0)</f>
        <v>1997160</v>
      </c>
    </row>
    <row r="432">
      <c r="A432" s="96">
        <f>IFERROR(__xludf.DUMMYFUNCTION("""COMPUTED_VALUE"""),8.0)</f>
        <v>8</v>
      </c>
      <c r="B432" s="98">
        <f>IFERROR(__xludf.DUMMYFUNCTION("""COMPUTED_VALUE"""),44103.0)</f>
        <v>44103</v>
      </c>
      <c r="C432" s="96" t="str">
        <f>IFERROR(__xludf.DUMMYFUNCTION("""COMPUTED_VALUE"""),"EMMANUEL OKO ")</f>
        <v>EMMANUEL OKO </v>
      </c>
      <c r="D432" s="96" t="str">
        <f>IFERROR(__xludf.DUMMYFUNCTION("""COMPUTED_VALUE"""),"EMMANUEL OKO 8")</f>
        <v>EMMANUEL OKO 8</v>
      </c>
      <c r="E432" s="96"/>
      <c r="F432" s="96"/>
      <c r="G432" s="96"/>
      <c r="H432" s="96"/>
      <c r="I432" s="96"/>
      <c r="J432" s="96"/>
      <c r="K432" s="96">
        <f>IFERROR(__xludf.DUMMYFUNCTION("""COMPUTED_VALUE"""),50000.0)</f>
        <v>50000</v>
      </c>
      <c r="L432" s="99">
        <f>IFERROR(__xludf.DUMMYFUNCTION("""COMPUTED_VALUE"""),50000.0)</f>
        <v>50000</v>
      </c>
      <c r="M432" s="96"/>
      <c r="N432" s="96">
        <f>IFERROR(__xludf.DUMMYFUNCTION("""COMPUTED_VALUE"""),0.0)</f>
        <v>0</v>
      </c>
      <c r="O432" s="96">
        <f>IFERROR(__xludf.DUMMYFUNCTION("""COMPUTED_VALUE"""),0.0)</f>
        <v>0</v>
      </c>
      <c r="P432" s="96">
        <f>IFERROR(__xludf.DUMMYFUNCTION("""COMPUTED_VALUE"""),0.0)</f>
        <v>0</v>
      </c>
      <c r="Q432" s="129">
        <f>IFERROR(__xludf.DUMMYFUNCTION("""COMPUTED_VALUE"""),0.0)</f>
        <v>0</v>
      </c>
      <c r="R432" s="99"/>
      <c r="S432" s="99">
        <f>IFERROR(__xludf.DUMMYFUNCTION("""COMPUTED_VALUE"""),1090000.0)</f>
        <v>1090000</v>
      </c>
    </row>
    <row r="433">
      <c r="A433" s="96">
        <f>IFERROR(__xludf.DUMMYFUNCTION("""COMPUTED_VALUE"""),17.0)</f>
        <v>17</v>
      </c>
      <c r="B433" s="98">
        <f>IFERROR(__xludf.DUMMYFUNCTION("""COMPUTED_VALUE"""),44103.0)</f>
        <v>44103</v>
      </c>
      <c r="C433" s="96" t="str">
        <f>IFERROR(__xludf.DUMMYFUNCTION("""COMPUTED_VALUE""")," MAXWELL AGRO")</f>
        <v> MAXWELL AGRO</v>
      </c>
      <c r="D433" s="96" t="str">
        <f>IFERROR(__xludf.DUMMYFUNCTION("""COMPUTED_VALUE""")," MAXWELL AGRO17")</f>
        <v> MAXWELL AGRO17</v>
      </c>
      <c r="E433" s="96"/>
      <c r="F433" s="96"/>
      <c r="G433" s="96"/>
      <c r="H433" s="96"/>
      <c r="I433" s="96"/>
      <c r="J433" s="96"/>
      <c r="K433" s="96">
        <f>IFERROR(__xludf.DUMMYFUNCTION("""COMPUTED_VALUE"""),100000.0)</f>
        <v>100000</v>
      </c>
      <c r="L433" s="99">
        <f>IFERROR(__xludf.DUMMYFUNCTION("""COMPUTED_VALUE"""),100000.0)</f>
        <v>100000</v>
      </c>
      <c r="M433" s="96"/>
      <c r="N433" s="96">
        <f>IFERROR(__xludf.DUMMYFUNCTION("""COMPUTED_VALUE"""),0.0)</f>
        <v>0</v>
      </c>
      <c r="O433" s="96">
        <f>IFERROR(__xludf.DUMMYFUNCTION("""COMPUTED_VALUE"""),0.0)</f>
        <v>0</v>
      </c>
      <c r="P433" s="96">
        <f>IFERROR(__xludf.DUMMYFUNCTION("""COMPUTED_VALUE"""),0.0)</f>
        <v>0</v>
      </c>
      <c r="Q433" s="129">
        <f>IFERROR(__xludf.DUMMYFUNCTION("""COMPUTED_VALUE"""),0.0)</f>
        <v>0</v>
      </c>
      <c r="R433" s="99"/>
      <c r="S433" s="99">
        <f>IFERROR(__xludf.DUMMYFUNCTION("""COMPUTED_VALUE"""),704432.0)</f>
        <v>704432</v>
      </c>
    </row>
    <row r="434">
      <c r="A434" s="96">
        <f>IFERROR(__xludf.DUMMYFUNCTION("""COMPUTED_VALUE"""),1.0)</f>
        <v>1</v>
      </c>
      <c r="B434" s="98">
        <f>IFERROR(__xludf.DUMMYFUNCTION("""COMPUTED_VALUE"""),44103.0)</f>
        <v>44103</v>
      </c>
      <c r="C434" s="96" t="str">
        <f>IFERROR(__xludf.DUMMYFUNCTION("""COMPUTED_VALUE"""),"UNCLE BIGGIE")</f>
        <v>UNCLE BIGGIE</v>
      </c>
      <c r="D434" s="96" t="str">
        <f>IFERROR(__xludf.DUMMYFUNCTION("""COMPUTED_VALUE"""),"UNCLE BIGGIE1")</f>
        <v>UNCLE BIGGIE1</v>
      </c>
      <c r="E434" s="96"/>
      <c r="F434" s="96"/>
      <c r="G434" s="96"/>
      <c r="H434" s="96"/>
      <c r="I434" s="96"/>
      <c r="J434" s="96"/>
      <c r="K434" s="96">
        <f>IFERROR(__xludf.DUMMYFUNCTION("""COMPUTED_VALUE"""),40000.0)</f>
        <v>40000</v>
      </c>
      <c r="L434" s="99">
        <f>IFERROR(__xludf.DUMMYFUNCTION("""COMPUTED_VALUE"""),40000.0)</f>
        <v>40000</v>
      </c>
      <c r="M434" s="96"/>
      <c r="N434" s="96">
        <f>IFERROR(__xludf.DUMMYFUNCTION("""COMPUTED_VALUE"""),0.0)</f>
        <v>0</v>
      </c>
      <c r="O434" s="96">
        <f>IFERROR(__xludf.DUMMYFUNCTION("""COMPUTED_VALUE"""),0.0)</f>
        <v>0</v>
      </c>
      <c r="P434" s="96">
        <f>IFERROR(__xludf.DUMMYFUNCTION("""COMPUTED_VALUE"""),0.0)</f>
        <v>0</v>
      </c>
      <c r="Q434" s="129">
        <f>IFERROR(__xludf.DUMMYFUNCTION("""COMPUTED_VALUE"""),0.0)</f>
        <v>0</v>
      </c>
      <c r="R434" s="99"/>
      <c r="S434" s="99">
        <f>IFERROR(__xludf.DUMMYFUNCTION("""COMPUTED_VALUE"""),40000.0)</f>
        <v>40000</v>
      </c>
    </row>
    <row r="435">
      <c r="A435" s="96">
        <f>IFERROR(__xludf.DUMMYFUNCTION("""COMPUTED_VALUE"""),15.0)</f>
        <v>15</v>
      </c>
      <c r="B435" s="98">
        <f>IFERROR(__xludf.DUMMYFUNCTION("""COMPUTED_VALUE"""),44104.0)</f>
        <v>44104</v>
      </c>
      <c r="C435" s="96" t="str">
        <f>IFERROR(__xludf.DUMMYFUNCTION("""COMPUTED_VALUE"""),"ETUK EFFI")</f>
        <v>ETUK EFFI</v>
      </c>
      <c r="D435" s="96" t="str">
        <f>IFERROR(__xludf.DUMMYFUNCTION("""COMPUTED_VALUE"""),"ETUK EFFI15")</f>
        <v>ETUK EFFI15</v>
      </c>
      <c r="E435" s="96"/>
      <c r="F435" s="96"/>
      <c r="G435" s="96"/>
      <c r="H435" s="96"/>
      <c r="I435" s="96"/>
      <c r="J435" s="96"/>
      <c r="K435" s="96">
        <f>IFERROR(__xludf.DUMMYFUNCTION("""COMPUTED_VALUE"""),100000.0)</f>
        <v>100000</v>
      </c>
      <c r="L435" s="99">
        <f>IFERROR(__xludf.DUMMYFUNCTION("""COMPUTED_VALUE"""),100000.0)</f>
        <v>100000</v>
      </c>
      <c r="M435" s="96"/>
      <c r="N435" s="96">
        <f>IFERROR(__xludf.DUMMYFUNCTION("""COMPUTED_VALUE"""),0.0)</f>
        <v>0</v>
      </c>
      <c r="O435" s="96">
        <f>IFERROR(__xludf.DUMMYFUNCTION("""COMPUTED_VALUE"""),0.0)</f>
        <v>0</v>
      </c>
      <c r="P435" s="96">
        <f>IFERROR(__xludf.DUMMYFUNCTION("""COMPUTED_VALUE"""),0.0)</f>
        <v>0</v>
      </c>
      <c r="Q435" s="129">
        <f>IFERROR(__xludf.DUMMYFUNCTION("""COMPUTED_VALUE"""),0.0)</f>
        <v>0</v>
      </c>
      <c r="R435" s="99"/>
      <c r="S435" s="99">
        <f>IFERROR(__xludf.DUMMYFUNCTION("""COMPUTED_VALUE"""),1596100.0)</f>
        <v>1596100</v>
      </c>
    </row>
    <row r="436">
      <c r="A436" s="96">
        <f>IFERROR(__xludf.DUMMYFUNCTION("""COMPUTED_VALUE"""),16.0)</f>
        <v>16</v>
      </c>
      <c r="B436" s="98">
        <f>IFERROR(__xludf.DUMMYFUNCTION("""COMPUTED_VALUE"""),44104.0)</f>
        <v>44104</v>
      </c>
      <c r="C436" s="96" t="str">
        <f>IFERROR(__xludf.DUMMYFUNCTION("""COMPUTED_VALUE"""),"ETUK EFFI")</f>
        <v>ETUK EFFI</v>
      </c>
      <c r="D436" s="96" t="str">
        <f>IFERROR(__xludf.DUMMYFUNCTION("""COMPUTED_VALUE"""),"ETUK EFFI16")</f>
        <v>ETUK EFFI16</v>
      </c>
      <c r="E436" s="96"/>
      <c r="F436" s="96"/>
      <c r="G436" s="96"/>
      <c r="H436" s="96"/>
      <c r="I436" s="96"/>
      <c r="J436" s="96"/>
      <c r="K436" s="96">
        <f>IFERROR(__xludf.DUMMYFUNCTION("""COMPUTED_VALUE"""),304000.0)</f>
        <v>304000</v>
      </c>
      <c r="L436" s="99">
        <f>IFERROR(__xludf.DUMMYFUNCTION("""COMPUTED_VALUE"""),304000.0)</f>
        <v>304000</v>
      </c>
      <c r="M436" s="96"/>
      <c r="N436" s="96">
        <f>IFERROR(__xludf.DUMMYFUNCTION("""COMPUTED_VALUE"""),0.0)</f>
        <v>0</v>
      </c>
      <c r="O436" s="96">
        <f>IFERROR(__xludf.DUMMYFUNCTION("""COMPUTED_VALUE"""),0.0)</f>
        <v>0</v>
      </c>
      <c r="P436" s="96">
        <f>IFERROR(__xludf.DUMMYFUNCTION("""COMPUTED_VALUE"""),0.0)</f>
        <v>0</v>
      </c>
      <c r="Q436" s="129">
        <f>IFERROR(__xludf.DUMMYFUNCTION("""COMPUTED_VALUE"""),0.0)</f>
        <v>0</v>
      </c>
      <c r="R436" s="99"/>
      <c r="S436" s="99">
        <f>IFERROR(__xludf.DUMMYFUNCTION("""COMPUTED_VALUE"""),1900100.0)</f>
        <v>1900100</v>
      </c>
    </row>
    <row r="437">
      <c r="A437" s="96">
        <f>IFERROR(__xludf.DUMMYFUNCTION("""COMPUTED_VALUE"""),2.0)</f>
        <v>2</v>
      </c>
      <c r="B437" s="98">
        <f>IFERROR(__xludf.DUMMYFUNCTION("""COMPUTED_VALUE"""),44104.0)</f>
        <v>44104</v>
      </c>
      <c r="C437" s="96" t="str">
        <f>IFERROR(__xludf.DUMMYFUNCTION("""COMPUTED_VALUE"""),"PRIN M. BOSURU")</f>
        <v>PRIN M. BOSURU</v>
      </c>
      <c r="D437" s="96" t="str">
        <f>IFERROR(__xludf.DUMMYFUNCTION("""COMPUTED_VALUE"""),"PRIN M. BOSURU2")</f>
        <v>PRIN M. BOSURU2</v>
      </c>
      <c r="E437" s="96"/>
      <c r="F437" s="96"/>
      <c r="G437" s="96"/>
      <c r="H437" s="96"/>
      <c r="I437" s="96"/>
      <c r="J437" s="96"/>
      <c r="K437" s="96">
        <f>IFERROR(__xludf.DUMMYFUNCTION("""COMPUTED_VALUE"""),672000.0)</f>
        <v>672000</v>
      </c>
      <c r="L437" s="99">
        <f>IFERROR(__xludf.DUMMYFUNCTION("""COMPUTED_VALUE"""),672000.0)</f>
        <v>672000</v>
      </c>
      <c r="M437" s="96"/>
      <c r="N437" s="96">
        <f>IFERROR(__xludf.DUMMYFUNCTION("""COMPUTED_VALUE"""),0.0)</f>
        <v>0</v>
      </c>
      <c r="O437" s="96">
        <f>IFERROR(__xludf.DUMMYFUNCTION("""COMPUTED_VALUE"""),0.0)</f>
        <v>0</v>
      </c>
      <c r="P437" s="96">
        <f>IFERROR(__xludf.DUMMYFUNCTION("""COMPUTED_VALUE"""),0.0)</f>
        <v>0</v>
      </c>
      <c r="Q437" s="129">
        <f>IFERROR(__xludf.DUMMYFUNCTION("""COMPUTED_VALUE"""),0.0)</f>
        <v>0</v>
      </c>
      <c r="R437" s="99"/>
      <c r="S437" s="99">
        <f>IFERROR(__xludf.DUMMYFUNCTION("""COMPUTED_VALUE"""),1792000.0)</f>
        <v>1792000</v>
      </c>
    </row>
    <row r="438">
      <c r="A438" s="96">
        <f>IFERROR(__xludf.DUMMYFUNCTION("""COMPUTED_VALUE"""),8.0)</f>
        <v>8</v>
      </c>
      <c r="B438" s="98">
        <f>IFERROR(__xludf.DUMMYFUNCTION("""COMPUTED_VALUE"""),44104.0)</f>
        <v>44104</v>
      </c>
      <c r="C438" s="96" t="str">
        <f>IFERROR(__xludf.DUMMYFUNCTION("""COMPUTED_VALUE"""),"CONFIDENCE")</f>
        <v>CONFIDENCE</v>
      </c>
      <c r="D438" s="96" t="str">
        <f>IFERROR(__xludf.DUMMYFUNCTION("""COMPUTED_VALUE"""),"CONFIDENCE8")</f>
        <v>CONFIDENCE8</v>
      </c>
      <c r="E438" s="96"/>
      <c r="F438" s="96"/>
      <c r="G438" s="96"/>
      <c r="H438" s="96"/>
      <c r="I438" s="96"/>
      <c r="J438" s="96"/>
      <c r="K438" s="96">
        <f>IFERROR(__xludf.DUMMYFUNCTION("""COMPUTED_VALUE"""),302800.0)</f>
        <v>302800</v>
      </c>
      <c r="L438" s="99">
        <f>IFERROR(__xludf.DUMMYFUNCTION("""COMPUTED_VALUE"""),302800.0)</f>
        <v>302800</v>
      </c>
      <c r="M438" s="96"/>
      <c r="N438" s="96">
        <f>IFERROR(__xludf.DUMMYFUNCTION("""COMPUTED_VALUE"""),0.0)</f>
        <v>0</v>
      </c>
      <c r="O438" s="96">
        <f>IFERROR(__xludf.DUMMYFUNCTION("""COMPUTED_VALUE"""),0.0)</f>
        <v>0</v>
      </c>
      <c r="P438" s="96">
        <f>IFERROR(__xludf.DUMMYFUNCTION("""COMPUTED_VALUE"""),0.0)</f>
        <v>0</v>
      </c>
      <c r="Q438" s="129">
        <f>IFERROR(__xludf.DUMMYFUNCTION("""COMPUTED_VALUE"""),0.0)</f>
        <v>0</v>
      </c>
      <c r="R438" s="99"/>
      <c r="S438" s="99">
        <f>IFERROR(__xludf.DUMMYFUNCTION("""COMPUTED_VALUE"""),2299960.0)</f>
        <v>2299960</v>
      </c>
    </row>
    <row r="439">
      <c r="A439" s="96">
        <f>IFERROR(__xludf.DUMMYFUNCTION("""COMPUTED_VALUE"""),9.0)</f>
        <v>9</v>
      </c>
      <c r="B439" s="98">
        <f>IFERROR(__xludf.DUMMYFUNCTION("""COMPUTED_VALUE"""),44104.0)</f>
        <v>44104</v>
      </c>
      <c r="C439" s="96" t="str">
        <f>IFERROR(__xludf.DUMMYFUNCTION("""COMPUTED_VALUE"""),"EMMANUEL OKO ")</f>
        <v>EMMANUEL OKO </v>
      </c>
      <c r="D439" s="96" t="str">
        <f>IFERROR(__xludf.DUMMYFUNCTION("""COMPUTED_VALUE"""),"EMMANUEL OKO 9")</f>
        <v>EMMANUEL OKO 9</v>
      </c>
      <c r="E439" s="96"/>
      <c r="F439" s="96"/>
      <c r="G439" s="96"/>
      <c r="H439" s="96"/>
      <c r="I439" s="96"/>
      <c r="J439" s="96"/>
      <c r="K439" s="96">
        <f>IFERROR(__xludf.DUMMYFUNCTION("""COMPUTED_VALUE"""),450000.0)</f>
        <v>450000</v>
      </c>
      <c r="L439" s="99">
        <f>IFERROR(__xludf.DUMMYFUNCTION("""COMPUTED_VALUE"""),450000.0)</f>
        <v>450000</v>
      </c>
      <c r="M439" s="96"/>
      <c r="N439" s="96">
        <f>IFERROR(__xludf.DUMMYFUNCTION("""COMPUTED_VALUE"""),0.0)</f>
        <v>0</v>
      </c>
      <c r="O439" s="96">
        <f>IFERROR(__xludf.DUMMYFUNCTION("""COMPUTED_VALUE"""),0.0)</f>
        <v>0</v>
      </c>
      <c r="P439" s="96">
        <f>IFERROR(__xludf.DUMMYFUNCTION("""COMPUTED_VALUE"""),0.0)</f>
        <v>0</v>
      </c>
      <c r="Q439" s="129">
        <f>IFERROR(__xludf.DUMMYFUNCTION("""COMPUTED_VALUE"""),0.0)</f>
        <v>0</v>
      </c>
      <c r="R439" s="99"/>
      <c r="S439" s="99">
        <f>IFERROR(__xludf.DUMMYFUNCTION("""COMPUTED_VALUE"""),1540000.0)</f>
        <v>1540000</v>
      </c>
    </row>
    <row r="440">
      <c r="A440" s="96">
        <f>IFERROR(__xludf.DUMMYFUNCTION("""COMPUTED_VALUE"""),2.0)</f>
        <v>2</v>
      </c>
      <c r="B440" s="98">
        <f>IFERROR(__xludf.DUMMYFUNCTION("""COMPUTED_VALUE"""),44104.0)</f>
        <v>44104</v>
      </c>
      <c r="C440" s="96" t="str">
        <f>IFERROR(__xludf.DUMMYFUNCTION("""COMPUTED_VALUE"""),"UNCLE BIGGIE")</f>
        <v>UNCLE BIGGIE</v>
      </c>
      <c r="D440" s="96" t="str">
        <f>IFERROR(__xludf.DUMMYFUNCTION("""COMPUTED_VALUE"""),"UNCLE BIGGIE2")</f>
        <v>UNCLE BIGGIE2</v>
      </c>
      <c r="E440" s="96"/>
      <c r="F440" s="96"/>
      <c r="G440" s="96"/>
      <c r="H440" s="96"/>
      <c r="I440" s="96"/>
      <c r="J440" s="96"/>
      <c r="K440" s="96">
        <f>IFERROR(__xludf.DUMMYFUNCTION("""COMPUTED_VALUE"""),300000.0)</f>
        <v>300000</v>
      </c>
      <c r="L440" s="99">
        <f>IFERROR(__xludf.DUMMYFUNCTION("""COMPUTED_VALUE"""),300000.0)</f>
        <v>300000</v>
      </c>
      <c r="M440" s="96"/>
      <c r="N440" s="96">
        <f>IFERROR(__xludf.DUMMYFUNCTION("""COMPUTED_VALUE"""),0.0)</f>
        <v>0</v>
      </c>
      <c r="O440" s="96">
        <f>IFERROR(__xludf.DUMMYFUNCTION("""COMPUTED_VALUE"""),0.0)</f>
        <v>0</v>
      </c>
      <c r="P440" s="96">
        <f>IFERROR(__xludf.DUMMYFUNCTION("""COMPUTED_VALUE"""),0.0)</f>
        <v>0</v>
      </c>
      <c r="Q440" s="129">
        <f>IFERROR(__xludf.DUMMYFUNCTION("""COMPUTED_VALUE"""),0.0)</f>
        <v>0</v>
      </c>
      <c r="R440" s="99"/>
      <c r="S440" s="99">
        <f>IFERROR(__xludf.DUMMYFUNCTION("""COMPUTED_VALUE"""),340000.0)</f>
        <v>340000</v>
      </c>
    </row>
    <row r="441">
      <c r="A441" s="96">
        <f>IFERROR(__xludf.DUMMYFUNCTION("""COMPUTED_VALUE"""),22.0)</f>
        <v>22</v>
      </c>
      <c r="B441" s="98">
        <f>IFERROR(__xludf.DUMMYFUNCTION("""COMPUTED_VALUE"""),44104.0)</f>
        <v>44104</v>
      </c>
      <c r="C441" s="96" t="str">
        <f>IFERROR(__xludf.DUMMYFUNCTION("""COMPUTED_VALUE"""),"CONNECT")</f>
        <v>CONNECT</v>
      </c>
      <c r="D441" s="96" t="str">
        <f>IFERROR(__xludf.DUMMYFUNCTION("""COMPUTED_VALUE"""),"CONNECT22")</f>
        <v>CONNECT22</v>
      </c>
      <c r="E441" s="96"/>
      <c r="F441" s="96"/>
      <c r="G441" s="96"/>
      <c r="H441" s="96"/>
      <c r="I441" s="96"/>
      <c r="J441" s="96"/>
      <c r="K441" s="96">
        <f>IFERROR(__xludf.DUMMYFUNCTION("""COMPUTED_VALUE"""),432400.0)</f>
        <v>432400</v>
      </c>
      <c r="L441" s="99">
        <f>IFERROR(__xludf.DUMMYFUNCTION("""COMPUTED_VALUE"""),432400.0)</f>
        <v>432400</v>
      </c>
      <c r="M441" s="96"/>
      <c r="N441" s="96">
        <f>IFERROR(__xludf.DUMMYFUNCTION("""COMPUTED_VALUE"""),0.0)</f>
        <v>0</v>
      </c>
      <c r="O441" s="96">
        <f>IFERROR(__xludf.DUMMYFUNCTION("""COMPUTED_VALUE"""),0.0)</f>
        <v>0</v>
      </c>
      <c r="P441" s="96">
        <f>IFERROR(__xludf.DUMMYFUNCTION("""COMPUTED_VALUE"""),0.0)</f>
        <v>0</v>
      </c>
      <c r="Q441" s="129">
        <f>IFERROR(__xludf.DUMMYFUNCTION("""COMPUTED_VALUE"""),0.0)</f>
        <v>0</v>
      </c>
      <c r="R441" s="99"/>
      <c r="S441" s="99">
        <f>IFERROR(__xludf.DUMMYFUNCTION("""COMPUTED_VALUE"""),6317250.0)</f>
        <v>6317250</v>
      </c>
    </row>
    <row r="442">
      <c r="A442" s="96">
        <f>IFERROR(__xludf.DUMMYFUNCTION("""COMPUTED_VALUE"""),14.0)</f>
        <v>14</v>
      </c>
      <c r="B442" s="98">
        <f>IFERROR(__xludf.DUMMYFUNCTION("""COMPUTED_VALUE"""),44132.0)</f>
        <v>44132</v>
      </c>
      <c r="C442" s="96" t="str">
        <f>IFERROR(__xludf.DUMMYFUNCTION("""COMPUTED_VALUE"""),"EDWARD OKO")</f>
        <v>EDWARD OKO</v>
      </c>
      <c r="D442" s="96" t="str">
        <f>IFERROR(__xludf.DUMMYFUNCTION("""COMPUTED_VALUE"""),"EDWARD OKO14")</f>
        <v>EDWARD OKO14</v>
      </c>
      <c r="E442" s="96">
        <f>IFERROR(__xludf.DUMMYFUNCTION("""COMPUTED_VALUE"""),5466.0)</f>
        <v>5466</v>
      </c>
      <c r="F442" s="96">
        <f>IFERROR(__xludf.DUMMYFUNCTION("""COMPUTED_VALUE"""),723.0)</f>
        <v>723</v>
      </c>
      <c r="G442" s="96"/>
      <c r="H442" s="96">
        <f>IFERROR(__xludf.DUMMYFUNCTION("""COMPUTED_VALUE"""),83.0)</f>
        <v>83</v>
      </c>
      <c r="I442" s="96"/>
      <c r="J442" s="96">
        <f>IFERROR(__xludf.DUMMYFUNCTION("""COMPUTED_VALUE"""),979.11)</f>
        <v>979.11</v>
      </c>
      <c r="K442" s="96"/>
      <c r="L442" s="99">
        <f>IFERROR(__xludf.DUMMYFUNCTION("""COMPUTED_VALUE"""),-5233330.0)</f>
        <v>-5233330</v>
      </c>
      <c r="M442" s="96">
        <f>IFERROR(__xludf.DUMMYFUNCTION("""COMPUTED_VALUE"""),8.71)</f>
        <v>8.71</v>
      </c>
      <c r="N442" s="96">
        <f>IFERROR(__xludf.DUMMYFUNCTION("""COMPUTED_VALUE"""),38.0)</f>
        <v>38</v>
      </c>
      <c r="O442" s="96">
        <f>IFERROR(__xludf.DUMMYFUNCTION("""COMPUTED_VALUE"""),84.0)</f>
        <v>84</v>
      </c>
      <c r="P442" s="96">
        <f>IFERROR(__xludf.DUMMYFUNCTION("""COMPUTED_VALUE"""),52.0)</f>
        <v>52</v>
      </c>
      <c r="Q442" s="129">
        <f>IFERROR(__xludf.DUMMYFUNCTION("""COMPUTED_VALUE"""),5345.0)</f>
        <v>5345</v>
      </c>
      <c r="R442" s="99">
        <f>IFERROR(__xludf.DUMMYFUNCTION("""COMPUTED_VALUE"""),5233330.0)</f>
        <v>5233330</v>
      </c>
      <c r="S442" s="99">
        <f>IFERROR(__xludf.DUMMYFUNCTION("""COMPUTED_VALUE"""),2650160.0)</f>
        <v>2650160</v>
      </c>
    </row>
    <row r="443">
      <c r="A443" s="96">
        <f>IFERROR(__xludf.DUMMYFUNCTION("""COMPUTED_VALUE"""),15.0)</f>
        <v>15</v>
      </c>
      <c r="B443" s="98">
        <f>IFERROR(__xludf.DUMMYFUNCTION("""COMPUTED_VALUE"""),44106.0)</f>
        <v>44106</v>
      </c>
      <c r="C443" s="96" t="str">
        <f>IFERROR(__xludf.DUMMYFUNCTION("""COMPUTED_VALUE"""),"EDWARD OKO")</f>
        <v>EDWARD OKO</v>
      </c>
      <c r="D443" s="96" t="str">
        <f>IFERROR(__xludf.DUMMYFUNCTION("""COMPUTED_VALUE"""),"EDWARD OKO15")</f>
        <v>EDWARD OKO15</v>
      </c>
      <c r="E443" s="96"/>
      <c r="F443" s="96"/>
      <c r="G443" s="96"/>
      <c r="H443" s="96"/>
      <c r="I443" s="96"/>
      <c r="J443" s="96"/>
      <c r="K443" s="96">
        <f>IFERROR(__xludf.DUMMYFUNCTION("""COMPUTED_VALUE"""),3000000.0)</f>
        <v>3000000</v>
      </c>
      <c r="L443" s="99">
        <f>IFERROR(__xludf.DUMMYFUNCTION("""COMPUTED_VALUE"""),3000000.0)</f>
        <v>3000000</v>
      </c>
      <c r="M443" s="96"/>
      <c r="N443" s="96">
        <f>IFERROR(__xludf.DUMMYFUNCTION("""COMPUTED_VALUE"""),0.0)</f>
        <v>0</v>
      </c>
      <c r="O443" s="96">
        <f>IFERROR(__xludf.DUMMYFUNCTION("""COMPUTED_VALUE"""),0.0)</f>
        <v>0</v>
      </c>
      <c r="P443" s="96">
        <f>IFERROR(__xludf.DUMMYFUNCTION("""COMPUTED_VALUE"""),0.0)</f>
        <v>0</v>
      </c>
      <c r="Q443" s="129">
        <f>IFERROR(__xludf.DUMMYFUNCTION("""COMPUTED_VALUE"""),0.0)</f>
        <v>0</v>
      </c>
      <c r="R443" s="99"/>
      <c r="S443" s="99">
        <f>IFERROR(__xludf.DUMMYFUNCTION("""COMPUTED_VALUE"""),5650160.0)</f>
        <v>5650160</v>
      </c>
    </row>
    <row r="444">
      <c r="A444" s="96">
        <f>IFERROR(__xludf.DUMMYFUNCTION("""COMPUTED_VALUE"""),3.0)</f>
        <v>3</v>
      </c>
      <c r="B444" s="98">
        <f>IFERROR(__xludf.DUMMYFUNCTION("""COMPUTED_VALUE"""),44134.0)</f>
        <v>44134</v>
      </c>
      <c r="C444" s="96" t="str">
        <f>IFERROR(__xludf.DUMMYFUNCTION("""COMPUTED_VALUE"""),"UNCLE BIGGIE")</f>
        <v>UNCLE BIGGIE</v>
      </c>
      <c r="D444" s="96" t="str">
        <f>IFERROR(__xludf.DUMMYFUNCTION("""COMPUTED_VALUE"""),"UNCLE BIGGIE3")</f>
        <v>UNCLE BIGGIE3</v>
      </c>
      <c r="E444" s="96">
        <f>IFERROR(__xludf.DUMMYFUNCTION("""COMPUTED_VALUE"""),2711.0)</f>
        <v>2711</v>
      </c>
      <c r="F444" s="96">
        <f>IFERROR(__xludf.DUMMYFUNCTION("""COMPUTED_VALUE"""),344.0)</f>
        <v>344</v>
      </c>
      <c r="G444" s="96"/>
      <c r="H444" s="96">
        <f>IFERROR(__xludf.DUMMYFUNCTION("""COMPUTED_VALUE"""),43.0)</f>
        <v>43</v>
      </c>
      <c r="I444" s="96"/>
      <c r="J444" s="96">
        <f>IFERROR(__xludf.DUMMYFUNCTION("""COMPUTED_VALUE"""),0.0)</f>
        <v>0</v>
      </c>
      <c r="K444" s="96"/>
      <c r="L444" s="99">
        <f>IFERROR(__xludf.DUMMYFUNCTION("""COMPUTED_VALUE"""),0.0)</f>
        <v>0</v>
      </c>
      <c r="M444" s="96">
        <f>IFERROR(__xludf.DUMMYFUNCTION("""COMPUTED_VALUE"""),8.0)</f>
        <v>8</v>
      </c>
      <c r="N444" s="96">
        <f>IFERROR(__xludf.DUMMYFUNCTION("""COMPUTED_VALUE"""),0.0)</f>
        <v>0</v>
      </c>
      <c r="O444" s="96">
        <f>IFERROR(__xludf.DUMMYFUNCTION("""COMPUTED_VALUE"""),42.0)</f>
        <v>42</v>
      </c>
      <c r="P444" s="96">
        <f>IFERROR(__xludf.DUMMYFUNCTION("""COMPUTED_VALUE"""),21.0)</f>
        <v>21</v>
      </c>
      <c r="Q444" s="129">
        <f>IFERROR(__xludf.DUMMYFUNCTION("""COMPUTED_VALUE"""),2668.0)</f>
        <v>2668</v>
      </c>
      <c r="R444" s="99"/>
      <c r="S444" s="99">
        <f>IFERROR(__xludf.DUMMYFUNCTION("""COMPUTED_VALUE"""),340000.0)</f>
        <v>340000</v>
      </c>
    </row>
    <row r="445">
      <c r="A445" s="96">
        <f>IFERROR(__xludf.DUMMYFUNCTION("""COMPUTED_VALUE"""),4.0)</f>
        <v>4</v>
      </c>
      <c r="B445" s="98">
        <f>IFERROR(__xludf.DUMMYFUNCTION("""COMPUTED_VALUE"""),44105.0)</f>
        <v>44105</v>
      </c>
      <c r="C445" s="96" t="str">
        <f>IFERROR(__xludf.DUMMYFUNCTION("""COMPUTED_VALUE"""),"UNCLE BIGGIE")</f>
        <v>UNCLE BIGGIE</v>
      </c>
      <c r="D445" s="96" t="str">
        <f>IFERROR(__xludf.DUMMYFUNCTION("""COMPUTED_VALUE"""),"UNCLE BIGGIE4")</f>
        <v>UNCLE BIGGIE4</v>
      </c>
      <c r="E445" s="96"/>
      <c r="F445" s="96"/>
      <c r="G445" s="96"/>
      <c r="H445" s="96"/>
      <c r="I445" s="96"/>
      <c r="J445" s="96"/>
      <c r="K445" s="96">
        <f>IFERROR(__xludf.DUMMYFUNCTION("""COMPUTED_VALUE"""),200000.0)</f>
        <v>200000</v>
      </c>
      <c r="L445" s="99">
        <f>IFERROR(__xludf.DUMMYFUNCTION("""COMPUTED_VALUE"""),200000.0)</f>
        <v>200000</v>
      </c>
      <c r="M445" s="96"/>
      <c r="N445" s="96">
        <f>IFERROR(__xludf.DUMMYFUNCTION("""COMPUTED_VALUE"""),0.0)</f>
        <v>0</v>
      </c>
      <c r="O445" s="96">
        <f>IFERROR(__xludf.DUMMYFUNCTION("""COMPUTED_VALUE"""),0.0)</f>
        <v>0</v>
      </c>
      <c r="P445" s="96">
        <f>IFERROR(__xludf.DUMMYFUNCTION("""COMPUTED_VALUE"""),0.0)</f>
        <v>0</v>
      </c>
      <c r="Q445" s="129">
        <f>IFERROR(__xludf.DUMMYFUNCTION("""COMPUTED_VALUE"""),0.0)</f>
        <v>0</v>
      </c>
      <c r="R445" s="99"/>
      <c r="S445" s="99">
        <f>IFERROR(__xludf.DUMMYFUNCTION("""COMPUTED_VALUE"""),540000.0)</f>
        <v>540000</v>
      </c>
    </row>
    <row r="446">
      <c r="A446" s="96">
        <f>IFERROR(__xludf.DUMMYFUNCTION("""COMPUTED_VALUE"""),11.0)</f>
        <v>11</v>
      </c>
      <c r="B446" s="98">
        <f>IFERROR(__xludf.DUMMYFUNCTION("""COMPUTED_VALUE"""),44105.0)</f>
        <v>44105</v>
      </c>
      <c r="C446" s="96" t="str">
        <f>IFERROR(__xludf.DUMMYFUNCTION("""COMPUTED_VALUE"""),"AUGUSTINE IGBA")</f>
        <v>AUGUSTINE IGBA</v>
      </c>
      <c r="D446" s="96" t="str">
        <f>IFERROR(__xludf.DUMMYFUNCTION("""COMPUTED_VALUE"""),"AUGUSTINE IGBA11")</f>
        <v>AUGUSTINE IGBA11</v>
      </c>
      <c r="E446" s="96"/>
      <c r="F446" s="96"/>
      <c r="G446" s="96"/>
      <c r="H446" s="96"/>
      <c r="I446" s="96"/>
      <c r="J446" s="96"/>
      <c r="K446" s="96">
        <f>IFERROR(__xludf.DUMMYFUNCTION("""COMPUTED_VALUE"""),10000.0)</f>
        <v>10000</v>
      </c>
      <c r="L446" s="99">
        <f>IFERROR(__xludf.DUMMYFUNCTION("""COMPUTED_VALUE"""),10000.0)</f>
        <v>10000</v>
      </c>
      <c r="M446" s="96"/>
      <c r="N446" s="96">
        <f>IFERROR(__xludf.DUMMYFUNCTION("""COMPUTED_VALUE"""),0.0)</f>
        <v>0</v>
      </c>
      <c r="O446" s="96">
        <f>IFERROR(__xludf.DUMMYFUNCTION("""COMPUTED_VALUE"""),0.0)</f>
        <v>0</v>
      </c>
      <c r="P446" s="96">
        <f>IFERROR(__xludf.DUMMYFUNCTION("""COMPUTED_VALUE"""),0.0)</f>
        <v>0</v>
      </c>
      <c r="Q446" s="129">
        <f>IFERROR(__xludf.DUMMYFUNCTION("""COMPUTED_VALUE"""),0.0)</f>
        <v>0</v>
      </c>
      <c r="R446" s="99"/>
      <c r="S446" s="99">
        <f>IFERROR(__xludf.DUMMYFUNCTION("""COMPUTED_VALUE"""),2.358754E7)</f>
        <v>23587540</v>
      </c>
    </row>
    <row r="447">
      <c r="A447" s="96">
        <f>IFERROR(__xludf.DUMMYFUNCTION("""COMPUTED_VALUE"""),18.0)</f>
        <v>18</v>
      </c>
      <c r="B447" s="98">
        <f>IFERROR(__xludf.DUMMYFUNCTION("""COMPUTED_VALUE"""),44106.0)</f>
        <v>44106</v>
      </c>
      <c r="C447" s="96" t="str">
        <f>IFERROR(__xludf.DUMMYFUNCTION("""COMPUTED_VALUE""")," MAXWELL AGRO")</f>
        <v> MAXWELL AGRO</v>
      </c>
      <c r="D447" s="96" t="str">
        <f>IFERROR(__xludf.DUMMYFUNCTION("""COMPUTED_VALUE""")," MAXWELL AGRO18")</f>
        <v> MAXWELL AGRO18</v>
      </c>
      <c r="E447" s="96"/>
      <c r="F447" s="96"/>
      <c r="G447" s="96"/>
      <c r="H447" s="96"/>
      <c r="I447" s="96"/>
      <c r="J447" s="96"/>
      <c r="K447" s="96">
        <f>IFERROR(__xludf.DUMMYFUNCTION("""COMPUTED_VALUE"""),1000000.0)</f>
        <v>1000000</v>
      </c>
      <c r="L447" s="99">
        <f>IFERROR(__xludf.DUMMYFUNCTION("""COMPUTED_VALUE"""),1000000.0)</f>
        <v>1000000</v>
      </c>
      <c r="M447" s="96"/>
      <c r="N447" s="96">
        <f>IFERROR(__xludf.DUMMYFUNCTION("""COMPUTED_VALUE"""),0.0)</f>
        <v>0</v>
      </c>
      <c r="O447" s="96">
        <f>IFERROR(__xludf.DUMMYFUNCTION("""COMPUTED_VALUE"""),0.0)</f>
        <v>0</v>
      </c>
      <c r="P447" s="96">
        <f>IFERROR(__xludf.DUMMYFUNCTION("""COMPUTED_VALUE"""),0.0)</f>
        <v>0</v>
      </c>
      <c r="Q447" s="129">
        <f>IFERROR(__xludf.DUMMYFUNCTION("""COMPUTED_VALUE"""),0.0)</f>
        <v>0</v>
      </c>
      <c r="R447" s="99"/>
      <c r="S447" s="99">
        <f>IFERROR(__xludf.DUMMYFUNCTION("""COMPUTED_VALUE"""),1704432.0)</f>
        <v>1704432</v>
      </c>
    </row>
    <row r="448">
      <c r="A448" s="96">
        <f>IFERROR(__xludf.DUMMYFUNCTION("""COMPUTED_VALUE"""),17.0)</f>
        <v>17</v>
      </c>
      <c r="B448" s="98">
        <f>IFERROR(__xludf.DUMMYFUNCTION("""COMPUTED_VALUE"""),44106.0)</f>
        <v>44106</v>
      </c>
      <c r="C448" s="96" t="str">
        <f>IFERROR(__xludf.DUMMYFUNCTION("""COMPUTED_VALUE"""),"ETUK EFFI")</f>
        <v>ETUK EFFI</v>
      </c>
      <c r="D448" s="96" t="str">
        <f>IFERROR(__xludf.DUMMYFUNCTION("""COMPUTED_VALUE"""),"ETUK EFFI17")</f>
        <v>ETUK EFFI17</v>
      </c>
      <c r="E448" s="96"/>
      <c r="F448" s="96"/>
      <c r="G448" s="96"/>
      <c r="H448" s="96"/>
      <c r="I448" s="96"/>
      <c r="J448" s="96"/>
      <c r="K448" s="96">
        <f>IFERROR(__xludf.DUMMYFUNCTION("""COMPUTED_VALUE"""),1000000.0)</f>
        <v>1000000</v>
      </c>
      <c r="L448" s="99">
        <f>IFERROR(__xludf.DUMMYFUNCTION("""COMPUTED_VALUE"""),1000000.0)</f>
        <v>1000000</v>
      </c>
      <c r="M448" s="96"/>
      <c r="N448" s="96">
        <f>IFERROR(__xludf.DUMMYFUNCTION("""COMPUTED_VALUE"""),0.0)</f>
        <v>0</v>
      </c>
      <c r="O448" s="96">
        <f>IFERROR(__xludf.DUMMYFUNCTION("""COMPUTED_VALUE"""),0.0)</f>
        <v>0</v>
      </c>
      <c r="P448" s="96">
        <f>IFERROR(__xludf.DUMMYFUNCTION("""COMPUTED_VALUE"""),0.0)</f>
        <v>0</v>
      </c>
      <c r="Q448" s="129">
        <f>IFERROR(__xludf.DUMMYFUNCTION("""COMPUTED_VALUE"""),0.0)</f>
        <v>0</v>
      </c>
      <c r="R448" s="99"/>
      <c r="S448" s="99">
        <f>IFERROR(__xludf.DUMMYFUNCTION("""COMPUTED_VALUE"""),2900100.0)</f>
        <v>2900100</v>
      </c>
    </row>
    <row r="449">
      <c r="A449" s="96">
        <f>IFERROR(__xludf.DUMMYFUNCTION("""COMPUTED_VALUE"""),4.0)</f>
        <v>4</v>
      </c>
      <c r="B449" s="98">
        <f>IFERROR(__xludf.DUMMYFUNCTION("""COMPUTED_VALUE"""),44106.0)</f>
        <v>44106</v>
      </c>
      <c r="C449" s="96" t="str">
        <f>IFERROR(__xludf.DUMMYFUNCTION("""COMPUTED_VALUE"""),"NAOMI")</f>
        <v>NAOMI</v>
      </c>
      <c r="D449" s="96" t="str">
        <f>IFERROR(__xludf.DUMMYFUNCTION("""COMPUTED_VALUE"""),"NAOMI4")</f>
        <v>NAOMI4</v>
      </c>
      <c r="E449" s="96"/>
      <c r="F449" s="96"/>
      <c r="G449" s="96"/>
      <c r="H449" s="96"/>
      <c r="I449" s="96"/>
      <c r="J449" s="96"/>
      <c r="K449" s="96">
        <f>IFERROR(__xludf.DUMMYFUNCTION("""COMPUTED_VALUE"""),20000.0)</f>
        <v>20000</v>
      </c>
      <c r="L449" s="99">
        <f>IFERROR(__xludf.DUMMYFUNCTION("""COMPUTED_VALUE"""),20000.0)</f>
        <v>20000</v>
      </c>
      <c r="M449" s="96"/>
      <c r="N449" s="96">
        <f>IFERROR(__xludf.DUMMYFUNCTION("""COMPUTED_VALUE"""),0.0)</f>
        <v>0</v>
      </c>
      <c r="O449" s="96">
        <f>IFERROR(__xludf.DUMMYFUNCTION("""COMPUTED_VALUE"""),0.0)</f>
        <v>0</v>
      </c>
      <c r="P449" s="96">
        <f>IFERROR(__xludf.DUMMYFUNCTION("""COMPUTED_VALUE"""),0.0)</f>
        <v>0</v>
      </c>
      <c r="Q449" s="129">
        <f>IFERROR(__xludf.DUMMYFUNCTION("""COMPUTED_VALUE"""),0.0)</f>
        <v>0</v>
      </c>
      <c r="R449" s="99"/>
      <c r="S449" s="99">
        <f>IFERROR(__xludf.DUMMYFUNCTION("""COMPUTED_VALUE"""),1.3170265E7)</f>
        <v>13170265</v>
      </c>
    </row>
    <row r="450">
      <c r="A450" s="96">
        <f>IFERROR(__xludf.DUMMYFUNCTION("""COMPUTED_VALUE"""),2.0)</f>
        <v>2</v>
      </c>
      <c r="B450" s="98">
        <f>IFERROR(__xludf.DUMMYFUNCTION("""COMPUTED_VALUE"""),44106.0)</f>
        <v>44106</v>
      </c>
      <c r="C450" s="96" t="str">
        <f>IFERROR(__xludf.DUMMYFUNCTION("""COMPUTED_VALUE"""),"ABANG. ORU")</f>
        <v>ABANG. ORU</v>
      </c>
      <c r="D450" s="96" t="str">
        <f>IFERROR(__xludf.DUMMYFUNCTION("""COMPUTED_VALUE"""),"ABANG. ORU2")</f>
        <v>ABANG. ORU2</v>
      </c>
      <c r="E450" s="96"/>
      <c r="F450" s="96"/>
      <c r="G450" s="96"/>
      <c r="H450" s="96"/>
      <c r="I450" s="96"/>
      <c r="J450" s="96"/>
      <c r="K450" s="96">
        <f>IFERROR(__xludf.DUMMYFUNCTION("""COMPUTED_VALUE"""),20000.0)</f>
        <v>20000</v>
      </c>
      <c r="L450" s="99">
        <f>IFERROR(__xludf.DUMMYFUNCTION("""COMPUTED_VALUE"""),20000.0)</f>
        <v>20000</v>
      </c>
      <c r="M450" s="96"/>
      <c r="N450" s="96">
        <f>IFERROR(__xludf.DUMMYFUNCTION("""COMPUTED_VALUE"""),0.0)</f>
        <v>0</v>
      </c>
      <c r="O450" s="96">
        <f>IFERROR(__xludf.DUMMYFUNCTION("""COMPUTED_VALUE"""),0.0)</f>
        <v>0</v>
      </c>
      <c r="P450" s="96">
        <f>IFERROR(__xludf.DUMMYFUNCTION("""COMPUTED_VALUE"""),0.0)</f>
        <v>0</v>
      </c>
      <c r="Q450" s="129">
        <f>IFERROR(__xludf.DUMMYFUNCTION("""COMPUTED_VALUE"""),0.0)</f>
        <v>0</v>
      </c>
      <c r="R450" s="99"/>
      <c r="S450" s="99">
        <f>IFERROR(__xludf.DUMMYFUNCTION("""COMPUTED_VALUE"""),70000.0)</f>
        <v>70000</v>
      </c>
    </row>
    <row r="451">
      <c r="A451" s="96">
        <f>IFERROR(__xludf.DUMMYFUNCTION("""COMPUTED_VALUE"""),23.0)</f>
        <v>23</v>
      </c>
      <c r="B451" s="98">
        <f>IFERROR(__xludf.DUMMYFUNCTION("""COMPUTED_VALUE"""),44107.0)</f>
        <v>44107</v>
      </c>
      <c r="C451" s="96" t="str">
        <f>IFERROR(__xludf.DUMMYFUNCTION("""COMPUTED_VALUE"""),"CONNECT")</f>
        <v>CONNECT</v>
      </c>
      <c r="D451" s="96" t="str">
        <f>IFERROR(__xludf.DUMMYFUNCTION("""COMPUTED_VALUE"""),"CONNECT23")</f>
        <v>CONNECT23</v>
      </c>
      <c r="E451" s="96"/>
      <c r="F451" s="96"/>
      <c r="G451" s="96"/>
      <c r="H451" s="96"/>
      <c r="I451" s="96"/>
      <c r="J451" s="96"/>
      <c r="K451" s="96">
        <f>IFERROR(__xludf.DUMMYFUNCTION("""COMPUTED_VALUE"""),1000000.0)</f>
        <v>1000000</v>
      </c>
      <c r="L451" s="99">
        <f>IFERROR(__xludf.DUMMYFUNCTION("""COMPUTED_VALUE"""),1000000.0)</f>
        <v>1000000</v>
      </c>
      <c r="M451" s="96"/>
      <c r="N451" s="96">
        <f>IFERROR(__xludf.DUMMYFUNCTION("""COMPUTED_VALUE"""),0.0)</f>
        <v>0</v>
      </c>
      <c r="O451" s="96">
        <f>IFERROR(__xludf.DUMMYFUNCTION("""COMPUTED_VALUE"""),0.0)</f>
        <v>0</v>
      </c>
      <c r="P451" s="96">
        <f>IFERROR(__xludf.DUMMYFUNCTION("""COMPUTED_VALUE"""),0.0)</f>
        <v>0</v>
      </c>
      <c r="Q451" s="129">
        <f>IFERROR(__xludf.DUMMYFUNCTION("""COMPUTED_VALUE"""),0.0)</f>
        <v>0</v>
      </c>
      <c r="R451" s="99"/>
      <c r="S451" s="99">
        <f>IFERROR(__xludf.DUMMYFUNCTION("""COMPUTED_VALUE"""),7317250.0)</f>
        <v>7317250</v>
      </c>
    </row>
    <row r="452">
      <c r="A452" s="96">
        <f>IFERROR(__xludf.DUMMYFUNCTION("""COMPUTED_VALUE"""),28.0)</f>
        <v>28</v>
      </c>
      <c r="B452" s="98">
        <f>IFERROR(__xludf.DUMMYFUNCTION("""COMPUTED_VALUE"""),44107.0)</f>
        <v>44107</v>
      </c>
      <c r="C452" s="96" t="str">
        <f>IFERROR(__xludf.DUMMYFUNCTION("""COMPUTED_VALUE"""),"LYDIA HNSON ")</f>
        <v>LYDIA HNSON </v>
      </c>
      <c r="D452" s="96" t="str">
        <f>IFERROR(__xludf.DUMMYFUNCTION("""COMPUTED_VALUE"""),"LYDIA HNSON 28")</f>
        <v>LYDIA HNSON 28</v>
      </c>
      <c r="E452" s="96"/>
      <c r="F452" s="96"/>
      <c r="G452" s="96"/>
      <c r="H452" s="96"/>
      <c r="I452" s="96"/>
      <c r="J452" s="96"/>
      <c r="K452" s="96">
        <f>IFERROR(__xludf.DUMMYFUNCTION("""COMPUTED_VALUE"""),400000.0)</f>
        <v>400000</v>
      </c>
      <c r="L452" s="99">
        <f>IFERROR(__xludf.DUMMYFUNCTION("""COMPUTED_VALUE"""),400000.0)</f>
        <v>400000</v>
      </c>
      <c r="M452" s="96"/>
      <c r="N452" s="96">
        <f>IFERROR(__xludf.DUMMYFUNCTION("""COMPUTED_VALUE"""),0.0)</f>
        <v>0</v>
      </c>
      <c r="O452" s="96">
        <f>IFERROR(__xludf.DUMMYFUNCTION("""COMPUTED_VALUE"""),0.0)</f>
        <v>0</v>
      </c>
      <c r="P452" s="96">
        <f>IFERROR(__xludf.DUMMYFUNCTION("""COMPUTED_VALUE"""),0.0)</f>
        <v>0</v>
      </c>
      <c r="Q452" s="129">
        <f>IFERROR(__xludf.DUMMYFUNCTION("""COMPUTED_VALUE"""),0.0)</f>
        <v>0</v>
      </c>
      <c r="R452" s="99"/>
      <c r="S452" s="99">
        <f>IFERROR(__xludf.DUMMYFUNCTION("""COMPUTED_VALUE"""),5110520.0)</f>
        <v>5110520</v>
      </c>
    </row>
    <row r="453">
      <c r="A453" s="96">
        <f>IFERROR(__xludf.DUMMYFUNCTION("""COMPUTED_VALUE"""),24.0)</f>
        <v>24</v>
      </c>
      <c r="B453" s="98">
        <f>IFERROR(__xludf.DUMMYFUNCTION("""COMPUTED_VALUE"""),44109.0)</f>
        <v>44109</v>
      </c>
      <c r="C453" s="96" t="str">
        <f>IFERROR(__xludf.DUMMYFUNCTION("""COMPUTED_VALUE"""),"CONNECT")</f>
        <v>CONNECT</v>
      </c>
      <c r="D453" s="96" t="str">
        <f>IFERROR(__xludf.DUMMYFUNCTION("""COMPUTED_VALUE"""),"CONNECT24")</f>
        <v>CONNECT24</v>
      </c>
      <c r="E453" s="96">
        <f>IFERROR(__xludf.DUMMYFUNCTION("""COMPUTED_VALUE"""),6468.0)</f>
        <v>6468</v>
      </c>
      <c r="F453" s="96">
        <f>IFERROR(__xludf.DUMMYFUNCTION("""COMPUTED_VALUE"""),999.5)</f>
        <v>999.5</v>
      </c>
      <c r="G453" s="96"/>
      <c r="H453" s="96">
        <f>IFERROR(__xludf.DUMMYFUNCTION("""COMPUTED_VALUE"""),100.0)</f>
        <v>100</v>
      </c>
      <c r="I453" s="96"/>
      <c r="J453" s="96">
        <f>IFERROR(__xludf.DUMMYFUNCTION("""COMPUTED_VALUE"""),960.0)</f>
        <v>960</v>
      </c>
      <c r="K453" s="96"/>
      <c r="L453" s="99">
        <f>IFERROR(__xludf.DUMMYFUNCTION("""COMPUTED_VALUE"""),-5991360.0)</f>
        <v>-5991360</v>
      </c>
      <c r="M453" s="96">
        <f>IFERROR(__xludf.DUMMYFUNCTION("""COMPUTED_VALUE"""),10.0)</f>
        <v>10</v>
      </c>
      <c r="N453" s="96">
        <f>IFERROR(__xludf.DUMMYFUNCTION("""COMPUTED_VALUE"""),127.0)</f>
        <v>127</v>
      </c>
      <c r="O453" s="96">
        <f>IFERROR(__xludf.DUMMYFUNCTION("""COMPUTED_VALUE"""),99.0)</f>
        <v>99</v>
      </c>
      <c r="P453" s="96">
        <f>IFERROR(__xludf.DUMMYFUNCTION("""COMPUTED_VALUE"""),3.0)</f>
        <v>3</v>
      </c>
      <c r="Q453" s="129">
        <f>IFERROR(__xludf.DUMMYFUNCTION("""COMPUTED_VALUE"""),6241.0)</f>
        <v>6241</v>
      </c>
      <c r="R453" s="99">
        <f>IFERROR(__xludf.DUMMYFUNCTION("""COMPUTED_VALUE"""),5991360.0)</f>
        <v>5991360</v>
      </c>
      <c r="S453" s="99">
        <f>IFERROR(__xludf.DUMMYFUNCTION("""COMPUTED_VALUE"""),1325890.0)</f>
        <v>1325890</v>
      </c>
    </row>
    <row r="454">
      <c r="A454" s="96">
        <f>IFERROR(__xludf.DUMMYFUNCTION("""COMPUTED_VALUE"""),15.0)</f>
        <v>15</v>
      </c>
      <c r="B454" s="98">
        <f>IFERROR(__xludf.DUMMYFUNCTION("""COMPUTED_VALUE"""),44109.0)</f>
        <v>44109</v>
      </c>
      <c r="C454" s="96" t="str">
        <f>IFERROR(__xludf.DUMMYFUNCTION("""COMPUTED_VALUE"""),"ANDRDEW GREAT")</f>
        <v>ANDRDEW GREAT</v>
      </c>
      <c r="D454" s="96" t="str">
        <f>IFERROR(__xludf.DUMMYFUNCTION("""COMPUTED_VALUE"""),"ANDRDEW GREAT15")</f>
        <v>ANDRDEW GREAT15</v>
      </c>
      <c r="E454" s="96"/>
      <c r="F454" s="96"/>
      <c r="G454" s="96"/>
      <c r="H454" s="96"/>
      <c r="I454" s="96"/>
      <c r="J454" s="96"/>
      <c r="K454" s="96">
        <f>IFERROR(__xludf.DUMMYFUNCTION("""COMPUTED_VALUE"""),200000.0)</f>
        <v>200000</v>
      </c>
      <c r="L454" s="99">
        <f>IFERROR(__xludf.DUMMYFUNCTION("""COMPUTED_VALUE"""),200000.0)</f>
        <v>200000</v>
      </c>
      <c r="M454" s="96"/>
      <c r="N454" s="96">
        <f>IFERROR(__xludf.DUMMYFUNCTION("""COMPUTED_VALUE"""),0.0)</f>
        <v>0</v>
      </c>
      <c r="O454" s="96">
        <f>IFERROR(__xludf.DUMMYFUNCTION("""COMPUTED_VALUE"""),0.0)</f>
        <v>0</v>
      </c>
      <c r="P454" s="96">
        <f>IFERROR(__xludf.DUMMYFUNCTION("""COMPUTED_VALUE"""),0.0)</f>
        <v>0</v>
      </c>
      <c r="Q454" s="129">
        <f>IFERROR(__xludf.DUMMYFUNCTION("""COMPUTED_VALUE"""),0.0)</f>
        <v>0</v>
      </c>
      <c r="R454" s="99"/>
      <c r="S454" s="99">
        <f>IFERROR(__xludf.DUMMYFUNCTION("""COMPUTED_VALUE"""),3706860.0)</f>
        <v>3706860</v>
      </c>
    </row>
    <row r="455">
      <c r="A455" s="96">
        <f>IFERROR(__xludf.DUMMYFUNCTION("""COMPUTED_VALUE"""),18.0)</f>
        <v>18</v>
      </c>
      <c r="B455" s="98">
        <f>IFERROR(__xludf.DUMMYFUNCTION("""COMPUTED_VALUE"""),44109.0)</f>
        <v>44109</v>
      </c>
      <c r="C455" s="96" t="str">
        <f>IFERROR(__xludf.DUMMYFUNCTION("""COMPUTED_VALUE"""),"ETUK EFFI")</f>
        <v>ETUK EFFI</v>
      </c>
      <c r="D455" s="96" t="str">
        <f>IFERROR(__xludf.DUMMYFUNCTION("""COMPUTED_VALUE"""),"ETUK EFFI18")</f>
        <v>ETUK EFFI18</v>
      </c>
      <c r="E455" s="96"/>
      <c r="F455" s="96"/>
      <c r="G455" s="96"/>
      <c r="H455" s="96"/>
      <c r="I455" s="96"/>
      <c r="J455" s="96"/>
      <c r="K455" s="96">
        <f>IFERROR(__xludf.DUMMYFUNCTION("""COMPUTED_VALUE"""),1000000.0)</f>
        <v>1000000</v>
      </c>
      <c r="L455" s="99">
        <f>IFERROR(__xludf.DUMMYFUNCTION("""COMPUTED_VALUE"""),1000000.0)</f>
        <v>1000000</v>
      </c>
      <c r="M455" s="96"/>
      <c r="N455" s="96">
        <f>IFERROR(__xludf.DUMMYFUNCTION("""COMPUTED_VALUE"""),0.0)</f>
        <v>0</v>
      </c>
      <c r="O455" s="96">
        <f>IFERROR(__xludf.DUMMYFUNCTION("""COMPUTED_VALUE"""),0.0)</f>
        <v>0</v>
      </c>
      <c r="P455" s="96">
        <f>IFERROR(__xludf.DUMMYFUNCTION("""COMPUTED_VALUE"""),0.0)</f>
        <v>0</v>
      </c>
      <c r="Q455" s="129">
        <f>IFERROR(__xludf.DUMMYFUNCTION("""COMPUTED_VALUE"""),0.0)</f>
        <v>0</v>
      </c>
      <c r="R455" s="99"/>
      <c r="S455" s="99">
        <f>IFERROR(__xludf.DUMMYFUNCTION("""COMPUTED_VALUE"""),3900100.0)</f>
        <v>3900100</v>
      </c>
    </row>
    <row r="456">
      <c r="A456" s="96">
        <f>IFERROR(__xludf.DUMMYFUNCTION("""COMPUTED_VALUE"""),1.0)</f>
        <v>1</v>
      </c>
      <c r="B456" s="98">
        <f>IFERROR(__xludf.DUMMYFUNCTION("""COMPUTED_VALUE"""),44109.0)</f>
        <v>44109</v>
      </c>
      <c r="C456" s="96" t="str">
        <f>IFERROR(__xludf.DUMMYFUNCTION("""COMPUTED_VALUE"""),"GIFT GABRIEL")</f>
        <v>GIFT GABRIEL</v>
      </c>
      <c r="D456" s="96" t="str">
        <f>IFERROR(__xludf.DUMMYFUNCTION("""COMPUTED_VALUE"""),"GIFT GABRIEL1")</f>
        <v>GIFT GABRIEL1</v>
      </c>
      <c r="E456" s="96"/>
      <c r="F456" s="96"/>
      <c r="G456" s="96"/>
      <c r="H456" s="96"/>
      <c r="I456" s="96"/>
      <c r="J456" s="96"/>
      <c r="K456" s="96">
        <f>IFERROR(__xludf.DUMMYFUNCTION("""COMPUTED_VALUE"""),1000000.0)</f>
        <v>1000000</v>
      </c>
      <c r="L456" s="99">
        <f>IFERROR(__xludf.DUMMYFUNCTION("""COMPUTED_VALUE"""),1000000.0)</f>
        <v>1000000</v>
      </c>
      <c r="M456" s="96"/>
      <c r="N456" s="96">
        <f>IFERROR(__xludf.DUMMYFUNCTION("""COMPUTED_VALUE"""),0.0)</f>
        <v>0</v>
      </c>
      <c r="O456" s="96">
        <f>IFERROR(__xludf.DUMMYFUNCTION("""COMPUTED_VALUE"""),0.0)</f>
        <v>0</v>
      </c>
      <c r="P456" s="96">
        <f>IFERROR(__xludf.DUMMYFUNCTION("""COMPUTED_VALUE"""),0.0)</f>
        <v>0</v>
      </c>
      <c r="Q456" s="129">
        <f>IFERROR(__xludf.DUMMYFUNCTION("""COMPUTED_VALUE"""),0.0)</f>
        <v>0</v>
      </c>
      <c r="R456" s="99"/>
      <c r="S456" s="99">
        <f>IFERROR(__xludf.DUMMYFUNCTION("""COMPUTED_VALUE"""),1000000.0)</f>
        <v>1000000</v>
      </c>
    </row>
    <row r="457">
      <c r="A457" s="96">
        <f>IFERROR(__xludf.DUMMYFUNCTION("""COMPUTED_VALUE"""),19.0)</f>
        <v>19</v>
      </c>
      <c r="B457" s="98">
        <f>IFERROR(__xludf.DUMMYFUNCTION("""COMPUTED_VALUE"""),44109.0)</f>
        <v>44109</v>
      </c>
      <c r="C457" s="96" t="str">
        <f>IFERROR(__xludf.DUMMYFUNCTION("""COMPUTED_VALUE""")," MAXWELL AGRO")</f>
        <v> MAXWELL AGRO</v>
      </c>
      <c r="D457" s="96" t="str">
        <f>IFERROR(__xludf.DUMMYFUNCTION("""COMPUTED_VALUE""")," MAXWELL AGRO19")</f>
        <v> MAXWELL AGRO19</v>
      </c>
      <c r="E457" s="96"/>
      <c r="F457" s="96"/>
      <c r="G457" s="96"/>
      <c r="H457" s="96"/>
      <c r="I457" s="96"/>
      <c r="J457" s="96"/>
      <c r="K457" s="96">
        <f>IFERROR(__xludf.DUMMYFUNCTION("""COMPUTED_VALUE"""),900000.0)</f>
        <v>900000</v>
      </c>
      <c r="L457" s="99">
        <f>IFERROR(__xludf.DUMMYFUNCTION("""COMPUTED_VALUE"""),900000.0)</f>
        <v>900000</v>
      </c>
      <c r="M457" s="96"/>
      <c r="N457" s="96">
        <f>IFERROR(__xludf.DUMMYFUNCTION("""COMPUTED_VALUE"""),0.0)</f>
        <v>0</v>
      </c>
      <c r="O457" s="96">
        <f>IFERROR(__xludf.DUMMYFUNCTION("""COMPUTED_VALUE"""),0.0)</f>
        <v>0</v>
      </c>
      <c r="P457" s="96">
        <f>IFERROR(__xludf.DUMMYFUNCTION("""COMPUTED_VALUE"""),0.0)</f>
        <v>0</v>
      </c>
      <c r="Q457" s="129">
        <f>IFERROR(__xludf.DUMMYFUNCTION("""COMPUTED_VALUE"""),0.0)</f>
        <v>0</v>
      </c>
      <c r="R457" s="99"/>
      <c r="S457" s="99">
        <f>IFERROR(__xludf.DUMMYFUNCTION("""COMPUTED_VALUE"""),2604432.0)</f>
        <v>2604432</v>
      </c>
    </row>
    <row r="458">
      <c r="A458" s="96">
        <f>IFERROR(__xludf.DUMMYFUNCTION("""COMPUTED_VALUE"""),5.0)</f>
        <v>5</v>
      </c>
      <c r="B458" s="98">
        <f>IFERROR(__xludf.DUMMYFUNCTION("""COMPUTED_VALUE"""),44109.0)</f>
        <v>44109</v>
      </c>
      <c r="C458" s="96" t="str">
        <f>IFERROR(__xludf.DUMMYFUNCTION("""COMPUTED_VALUE"""),"OSIM MARIAM")</f>
        <v>OSIM MARIAM</v>
      </c>
      <c r="D458" s="96" t="str">
        <f>IFERROR(__xludf.DUMMYFUNCTION("""COMPUTED_VALUE"""),"OSIM MARIAM5")</f>
        <v>OSIM MARIAM5</v>
      </c>
      <c r="E458" s="96"/>
      <c r="F458" s="96"/>
      <c r="G458" s="96"/>
      <c r="H458" s="96"/>
      <c r="I458" s="96"/>
      <c r="J458" s="96"/>
      <c r="K458" s="96">
        <f>IFERROR(__xludf.DUMMYFUNCTION("""COMPUTED_VALUE"""),50000.0)</f>
        <v>50000</v>
      </c>
      <c r="L458" s="99">
        <f>IFERROR(__xludf.DUMMYFUNCTION("""COMPUTED_VALUE"""),50000.0)</f>
        <v>50000</v>
      </c>
      <c r="M458" s="96"/>
      <c r="N458" s="96">
        <f>IFERROR(__xludf.DUMMYFUNCTION("""COMPUTED_VALUE"""),0.0)</f>
        <v>0</v>
      </c>
      <c r="O458" s="96">
        <f>IFERROR(__xludf.DUMMYFUNCTION("""COMPUTED_VALUE"""),0.0)</f>
        <v>0</v>
      </c>
      <c r="P458" s="96">
        <f>IFERROR(__xludf.DUMMYFUNCTION("""COMPUTED_VALUE"""),0.0)</f>
        <v>0</v>
      </c>
      <c r="Q458" s="129">
        <f>IFERROR(__xludf.DUMMYFUNCTION("""COMPUTED_VALUE"""),0.0)</f>
        <v>0</v>
      </c>
      <c r="R458" s="99"/>
      <c r="S458" s="99">
        <f>IFERROR(__xludf.DUMMYFUNCTION("""COMPUTED_VALUE"""),1250000.0)</f>
        <v>1250000</v>
      </c>
    </row>
    <row r="459">
      <c r="A459" s="96">
        <f>IFERROR(__xludf.DUMMYFUNCTION("""COMPUTED_VALUE"""),16.0)</f>
        <v>16</v>
      </c>
      <c r="B459" s="98">
        <f>IFERROR(__xludf.DUMMYFUNCTION("""COMPUTED_VALUE"""),44112.0)</f>
        <v>44112</v>
      </c>
      <c r="C459" s="96" t="str">
        <f>IFERROR(__xludf.DUMMYFUNCTION("""COMPUTED_VALUE"""),"NDOMA BODE I.D")</f>
        <v>NDOMA BODE I.D</v>
      </c>
      <c r="D459" s="96" t="str">
        <f>IFERROR(__xludf.DUMMYFUNCTION("""COMPUTED_VALUE"""),"NDOMA BODE I.D16")</f>
        <v>NDOMA BODE I.D16</v>
      </c>
      <c r="E459" s="96">
        <f>IFERROR(__xludf.DUMMYFUNCTION("""COMPUTED_VALUE"""),1583.0)</f>
        <v>1583</v>
      </c>
      <c r="F459" s="96">
        <f>IFERROR(__xludf.DUMMYFUNCTION("""COMPUTED_VALUE"""),200.0)</f>
        <v>200</v>
      </c>
      <c r="G459" s="96"/>
      <c r="H459" s="96">
        <f>IFERROR(__xludf.DUMMYFUNCTION("""COMPUTED_VALUE"""),25.0)</f>
        <v>25</v>
      </c>
      <c r="I459" s="96">
        <f>IFERROR(__xludf.DUMMYFUNCTION("""COMPUTED_VALUE"""),0.0)</f>
        <v>0</v>
      </c>
      <c r="J459" s="96">
        <f>IFERROR(__xludf.DUMMYFUNCTION("""COMPUTED_VALUE"""),950.0)</f>
        <v>950</v>
      </c>
      <c r="K459" s="96"/>
      <c r="L459" s="99">
        <f>IFERROR(__xludf.DUMMYFUNCTION("""COMPUTED_VALUE"""),-1480100.0)</f>
        <v>-1480100</v>
      </c>
      <c r="M459" s="96">
        <f>IFERROR(__xludf.DUMMYFUNCTION("""COMPUTED_VALUE"""),8.0)</f>
        <v>8</v>
      </c>
      <c r="N459" s="96">
        <f>IFERROR(__xludf.DUMMYFUNCTION("""COMPUTED_VALUE"""),0.0)</f>
        <v>0</v>
      </c>
      <c r="O459" s="96">
        <f>IFERROR(__xludf.DUMMYFUNCTION("""COMPUTED_VALUE"""),24.0)</f>
        <v>24</v>
      </c>
      <c r="P459" s="96">
        <f>IFERROR(__xludf.DUMMYFUNCTION("""COMPUTED_VALUE"""),46.0)</f>
        <v>46</v>
      </c>
      <c r="Q459" s="129">
        <f>IFERROR(__xludf.DUMMYFUNCTION("""COMPUTED_VALUE"""),1558.0)</f>
        <v>1558</v>
      </c>
      <c r="R459" s="99">
        <f>IFERROR(__xludf.DUMMYFUNCTION("""COMPUTED_VALUE"""),1480100.0)</f>
        <v>1480100</v>
      </c>
      <c r="S459" s="99">
        <f>IFERROR(__xludf.DUMMYFUNCTION("""COMPUTED_VALUE"""),19840.0)</f>
        <v>19840</v>
      </c>
    </row>
    <row r="460">
      <c r="A460" s="96">
        <f>IFERROR(__xludf.DUMMYFUNCTION("""COMPUTED_VALUE"""),3.0)</f>
        <v>3</v>
      </c>
      <c r="B460" s="98">
        <f>IFERROR(__xludf.DUMMYFUNCTION("""COMPUTED_VALUE"""),44112.0)</f>
        <v>44112</v>
      </c>
      <c r="C460" s="96" t="str">
        <f>IFERROR(__xludf.DUMMYFUNCTION("""COMPUTED_VALUE"""),"ABANG. ORU")</f>
        <v>ABANG. ORU</v>
      </c>
      <c r="D460" s="96" t="str">
        <f>IFERROR(__xludf.DUMMYFUNCTION("""COMPUTED_VALUE"""),"ABANG. ORU3")</f>
        <v>ABANG. ORU3</v>
      </c>
      <c r="E460" s="96">
        <f>IFERROR(__xludf.DUMMYFUNCTION("""COMPUTED_VALUE"""),74.0)</f>
        <v>74</v>
      </c>
      <c r="F460" s="96">
        <f>IFERROR(__xludf.DUMMYFUNCTION("""COMPUTED_VALUE"""),11.5)</f>
        <v>11.5</v>
      </c>
      <c r="G460" s="96"/>
      <c r="H460" s="96">
        <f>IFERROR(__xludf.DUMMYFUNCTION("""COMPUTED_VALUE"""),1.0)</f>
        <v>1</v>
      </c>
      <c r="I460" s="96"/>
      <c r="J460" s="96">
        <f>IFERROR(__xludf.DUMMYFUNCTION("""COMPUTED_VALUE"""),950.0)</f>
        <v>950</v>
      </c>
      <c r="K460" s="96"/>
      <c r="L460" s="99">
        <f>IFERROR(__xludf.DUMMYFUNCTION("""COMPUTED_VALUE"""),-66500.0)</f>
        <v>-66500</v>
      </c>
      <c r="M460" s="96">
        <f>IFERROR(__xludf.DUMMYFUNCTION("""COMPUTED_VALUE"""),11.5)</f>
        <v>11.5</v>
      </c>
      <c r="N460" s="96">
        <f>IFERROR(__xludf.DUMMYFUNCTION("""COMPUTED_VALUE"""),3.0)</f>
        <v>3</v>
      </c>
      <c r="O460" s="96">
        <f>IFERROR(__xludf.DUMMYFUNCTION("""COMPUTED_VALUE"""),1.0)</f>
        <v>1</v>
      </c>
      <c r="P460" s="96">
        <f>IFERROR(__xludf.DUMMYFUNCTION("""COMPUTED_VALUE"""),7.0)</f>
        <v>7</v>
      </c>
      <c r="Q460" s="129">
        <f>IFERROR(__xludf.DUMMYFUNCTION("""COMPUTED_VALUE"""),70.0)</f>
        <v>70</v>
      </c>
      <c r="R460" s="99">
        <f>IFERROR(__xludf.DUMMYFUNCTION("""COMPUTED_VALUE"""),66500.0)</f>
        <v>66500</v>
      </c>
      <c r="S460" s="99">
        <f>IFERROR(__xludf.DUMMYFUNCTION("""COMPUTED_VALUE"""),3500.0)</f>
        <v>3500</v>
      </c>
    </row>
    <row r="461">
      <c r="A461" s="96">
        <f>IFERROR(__xludf.DUMMYFUNCTION("""COMPUTED_VALUE"""),1.0)</f>
        <v>1</v>
      </c>
      <c r="B461" s="98">
        <f>IFERROR(__xludf.DUMMYFUNCTION("""COMPUTED_VALUE"""),44100.0)</f>
        <v>44100</v>
      </c>
      <c r="C461" s="96" t="str">
        <f>IFERROR(__xludf.DUMMYFUNCTION("""COMPUTED_VALUE"""),"BLESSING CHAPMAN")</f>
        <v>BLESSING CHAPMAN</v>
      </c>
      <c r="D461" s="96" t="str">
        <f>IFERROR(__xludf.DUMMYFUNCTION("""COMPUTED_VALUE"""),"BLESSING CHAPMAN1")</f>
        <v>BLESSING CHAPMAN1</v>
      </c>
      <c r="E461" s="96"/>
      <c r="F461" s="96"/>
      <c r="G461" s="96"/>
      <c r="H461" s="96"/>
      <c r="I461" s="96"/>
      <c r="J461" s="96"/>
      <c r="K461" s="96">
        <f>IFERROR(__xludf.DUMMYFUNCTION("""COMPUTED_VALUE"""),-1040700.0)</f>
        <v>-1040700</v>
      </c>
      <c r="L461" s="99">
        <f>IFERROR(__xludf.DUMMYFUNCTION("""COMPUTED_VALUE"""),-1040700.0)</f>
        <v>-1040700</v>
      </c>
      <c r="M461" s="96"/>
      <c r="N461" s="96">
        <f>IFERROR(__xludf.DUMMYFUNCTION("""COMPUTED_VALUE"""),0.0)</f>
        <v>0</v>
      </c>
      <c r="O461" s="96">
        <f>IFERROR(__xludf.DUMMYFUNCTION("""COMPUTED_VALUE"""),0.0)</f>
        <v>0</v>
      </c>
      <c r="P461" s="96">
        <f>IFERROR(__xludf.DUMMYFUNCTION("""COMPUTED_VALUE"""),0.0)</f>
        <v>0</v>
      </c>
      <c r="Q461" s="129">
        <f>IFERROR(__xludf.DUMMYFUNCTION("""COMPUTED_VALUE"""),0.0)</f>
        <v>0</v>
      </c>
      <c r="R461" s="99"/>
      <c r="S461" s="99">
        <f>IFERROR(__xludf.DUMMYFUNCTION("""COMPUTED_VALUE"""),-1040700.0)</f>
        <v>-1040700</v>
      </c>
    </row>
    <row r="462">
      <c r="A462" s="96">
        <f>IFERROR(__xludf.DUMMYFUNCTION("""COMPUTED_VALUE"""),13.0)</f>
        <v>13</v>
      </c>
      <c r="B462" s="98">
        <f>IFERROR(__xludf.DUMMYFUNCTION("""COMPUTED_VALUE"""),44110.0)</f>
        <v>44110</v>
      </c>
      <c r="C462" s="96" t="str">
        <f>IFERROR(__xludf.DUMMYFUNCTION("""COMPUTED_VALUE"""),"OTU KOKO KEIBO")</f>
        <v>OTU KOKO KEIBO</v>
      </c>
      <c r="D462" s="96" t="str">
        <f>IFERROR(__xludf.DUMMYFUNCTION("""COMPUTED_VALUE"""),"OTU KOKO KEIBO13")</f>
        <v>OTU KOKO KEIBO13</v>
      </c>
      <c r="E462" s="96"/>
      <c r="F462" s="96"/>
      <c r="G462" s="96"/>
      <c r="H462" s="96"/>
      <c r="I462" s="96"/>
      <c r="J462" s="96"/>
      <c r="K462" s="96">
        <f>IFERROR(__xludf.DUMMYFUNCTION("""COMPUTED_VALUE"""),112000.0)</f>
        <v>112000</v>
      </c>
      <c r="L462" s="99">
        <f>IFERROR(__xludf.DUMMYFUNCTION("""COMPUTED_VALUE"""),112000.0)</f>
        <v>112000</v>
      </c>
      <c r="M462" s="96"/>
      <c r="N462" s="96">
        <f>IFERROR(__xludf.DUMMYFUNCTION("""COMPUTED_VALUE"""),0.0)</f>
        <v>0</v>
      </c>
      <c r="O462" s="96">
        <f>IFERROR(__xludf.DUMMYFUNCTION("""COMPUTED_VALUE"""),0.0)</f>
        <v>0</v>
      </c>
      <c r="P462" s="96">
        <f>IFERROR(__xludf.DUMMYFUNCTION("""COMPUTED_VALUE"""),0.0)</f>
        <v>0</v>
      </c>
      <c r="Q462" s="129">
        <f>IFERROR(__xludf.DUMMYFUNCTION("""COMPUTED_VALUE"""),0.0)</f>
        <v>0</v>
      </c>
      <c r="R462" s="99"/>
      <c r="S462" s="99">
        <f>IFERROR(__xludf.DUMMYFUNCTION("""COMPUTED_VALUE"""),2.8214425E7)</f>
        <v>28214425</v>
      </c>
    </row>
    <row r="463">
      <c r="A463" s="96">
        <f>IFERROR(__xludf.DUMMYFUNCTION("""COMPUTED_VALUE"""),9.0)</f>
        <v>9</v>
      </c>
      <c r="B463" s="98">
        <f>IFERROR(__xludf.DUMMYFUNCTION("""COMPUTED_VALUE"""),44110.0)</f>
        <v>44110</v>
      </c>
      <c r="C463" s="96" t="str">
        <f>IFERROR(__xludf.DUMMYFUNCTION("""COMPUTED_VALUE"""),"NDOMA PETER")</f>
        <v>NDOMA PETER</v>
      </c>
      <c r="D463" s="96" t="str">
        <f>IFERROR(__xludf.DUMMYFUNCTION("""COMPUTED_VALUE"""),"NDOMA PETER9")</f>
        <v>NDOMA PETER9</v>
      </c>
      <c r="E463" s="96"/>
      <c r="F463" s="96"/>
      <c r="G463" s="96"/>
      <c r="H463" s="96"/>
      <c r="I463" s="96"/>
      <c r="J463" s="96"/>
      <c r="K463" s="96">
        <f>IFERROR(__xludf.DUMMYFUNCTION("""COMPUTED_VALUE"""),500000.0)</f>
        <v>500000</v>
      </c>
      <c r="L463" s="99">
        <f>IFERROR(__xludf.DUMMYFUNCTION("""COMPUTED_VALUE"""),500000.0)</f>
        <v>500000</v>
      </c>
      <c r="M463" s="96"/>
      <c r="N463" s="96">
        <f>IFERROR(__xludf.DUMMYFUNCTION("""COMPUTED_VALUE"""),0.0)</f>
        <v>0</v>
      </c>
      <c r="O463" s="96">
        <f>IFERROR(__xludf.DUMMYFUNCTION("""COMPUTED_VALUE"""),0.0)</f>
        <v>0</v>
      </c>
      <c r="P463" s="96">
        <f>IFERROR(__xludf.DUMMYFUNCTION("""COMPUTED_VALUE"""),0.0)</f>
        <v>0</v>
      </c>
      <c r="Q463" s="129">
        <f>IFERROR(__xludf.DUMMYFUNCTION("""COMPUTED_VALUE"""),0.0)</f>
        <v>0</v>
      </c>
      <c r="R463" s="99"/>
      <c r="S463" s="99">
        <f>IFERROR(__xludf.DUMMYFUNCTION("""COMPUTED_VALUE"""),1300000.0)</f>
        <v>1300000</v>
      </c>
    </row>
    <row r="464">
      <c r="A464" s="96">
        <f>IFERROR(__xludf.DUMMYFUNCTION("""COMPUTED_VALUE"""),17.0)</f>
        <v>17</v>
      </c>
      <c r="B464" s="98">
        <f>IFERROR(__xludf.DUMMYFUNCTION("""COMPUTED_VALUE"""),44110.0)</f>
        <v>44110</v>
      </c>
      <c r="C464" s="96" t="str">
        <f>IFERROR(__xludf.DUMMYFUNCTION("""COMPUTED_VALUE"""),"NDOMA BODE I.D")</f>
        <v>NDOMA BODE I.D</v>
      </c>
      <c r="D464" s="96" t="str">
        <f>IFERROR(__xludf.DUMMYFUNCTION("""COMPUTED_VALUE"""),"NDOMA BODE I.D17")</f>
        <v>NDOMA BODE I.D17</v>
      </c>
      <c r="E464" s="96"/>
      <c r="F464" s="96"/>
      <c r="G464" s="96"/>
      <c r="H464" s="96"/>
      <c r="I464" s="96"/>
      <c r="J464" s="96"/>
      <c r="K464" s="96">
        <f>IFERROR(__xludf.DUMMYFUNCTION("""COMPUTED_VALUE"""),780000.0)</f>
        <v>780000</v>
      </c>
      <c r="L464" s="99">
        <f>IFERROR(__xludf.DUMMYFUNCTION("""COMPUTED_VALUE"""),780000.0)</f>
        <v>780000</v>
      </c>
      <c r="M464" s="96"/>
      <c r="N464" s="96">
        <f>IFERROR(__xludf.DUMMYFUNCTION("""COMPUTED_VALUE"""),0.0)</f>
        <v>0</v>
      </c>
      <c r="O464" s="96">
        <f>IFERROR(__xludf.DUMMYFUNCTION("""COMPUTED_VALUE"""),0.0)</f>
        <v>0</v>
      </c>
      <c r="P464" s="96">
        <f>IFERROR(__xludf.DUMMYFUNCTION("""COMPUTED_VALUE"""),0.0)</f>
        <v>0</v>
      </c>
      <c r="Q464" s="129">
        <f>IFERROR(__xludf.DUMMYFUNCTION("""COMPUTED_VALUE"""),0.0)</f>
        <v>0</v>
      </c>
      <c r="R464" s="99"/>
      <c r="S464" s="99">
        <f>IFERROR(__xludf.DUMMYFUNCTION("""COMPUTED_VALUE"""),799840.0)</f>
        <v>799840</v>
      </c>
    </row>
    <row r="465">
      <c r="A465" s="96">
        <f>IFERROR(__xludf.DUMMYFUNCTION("""COMPUTED_VALUE"""),10.0)</f>
        <v>10</v>
      </c>
      <c r="B465" s="98">
        <f>IFERROR(__xludf.DUMMYFUNCTION("""COMPUTED_VALUE"""),44110.0)</f>
        <v>44110</v>
      </c>
      <c r="C465" s="96" t="str">
        <f>IFERROR(__xludf.DUMMYFUNCTION("""COMPUTED_VALUE"""),"EMMANUEL OKO ")</f>
        <v>EMMANUEL OKO </v>
      </c>
      <c r="D465" s="96" t="str">
        <f>IFERROR(__xludf.DUMMYFUNCTION("""COMPUTED_VALUE"""),"EMMANUEL OKO 10")</f>
        <v>EMMANUEL OKO 10</v>
      </c>
      <c r="E465" s="96"/>
      <c r="F465" s="96"/>
      <c r="G465" s="96"/>
      <c r="H465" s="96"/>
      <c r="I465" s="96"/>
      <c r="J465" s="96"/>
      <c r="K465" s="96">
        <f>IFERROR(__xludf.DUMMYFUNCTION("""COMPUTED_VALUE"""),500000.0)</f>
        <v>500000</v>
      </c>
      <c r="L465" s="99">
        <f>IFERROR(__xludf.DUMMYFUNCTION("""COMPUTED_VALUE"""),500000.0)</f>
        <v>500000</v>
      </c>
      <c r="M465" s="96"/>
      <c r="N465" s="96">
        <f>IFERROR(__xludf.DUMMYFUNCTION("""COMPUTED_VALUE"""),0.0)</f>
        <v>0</v>
      </c>
      <c r="O465" s="96">
        <f>IFERROR(__xludf.DUMMYFUNCTION("""COMPUTED_VALUE"""),0.0)</f>
        <v>0</v>
      </c>
      <c r="P465" s="96">
        <f>IFERROR(__xludf.DUMMYFUNCTION("""COMPUTED_VALUE"""),0.0)</f>
        <v>0</v>
      </c>
      <c r="Q465" s="129">
        <f>IFERROR(__xludf.DUMMYFUNCTION("""COMPUTED_VALUE"""),0.0)</f>
        <v>0</v>
      </c>
      <c r="R465" s="99"/>
      <c r="S465" s="99">
        <f>IFERROR(__xludf.DUMMYFUNCTION("""COMPUTED_VALUE"""),2040000.0)</f>
        <v>2040000</v>
      </c>
    </row>
    <row r="466">
      <c r="A466" s="96">
        <f>IFERROR(__xludf.DUMMYFUNCTION("""COMPUTED_VALUE"""),12.0)</f>
        <v>12</v>
      </c>
      <c r="B466" s="98">
        <f>IFERROR(__xludf.DUMMYFUNCTION("""COMPUTED_VALUE"""),44110.0)</f>
        <v>44110</v>
      </c>
      <c r="C466" s="96" t="str">
        <f>IFERROR(__xludf.DUMMYFUNCTION("""COMPUTED_VALUE"""),"A. D. FREDERICK")</f>
        <v>A. D. FREDERICK</v>
      </c>
      <c r="D466" s="96" t="str">
        <f>IFERROR(__xludf.DUMMYFUNCTION("""COMPUTED_VALUE"""),"A. D. FREDERICK12")</f>
        <v>A. D. FREDERICK12</v>
      </c>
      <c r="E466" s="96"/>
      <c r="F466" s="96"/>
      <c r="G466" s="96"/>
      <c r="H466" s="96"/>
      <c r="I466" s="96"/>
      <c r="J466" s="96"/>
      <c r="K466" s="96">
        <f>IFERROR(__xludf.DUMMYFUNCTION("""COMPUTED_VALUE"""),500000.0)</f>
        <v>500000</v>
      </c>
      <c r="L466" s="99">
        <f>IFERROR(__xludf.DUMMYFUNCTION("""COMPUTED_VALUE"""),500000.0)</f>
        <v>500000</v>
      </c>
      <c r="M466" s="96"/>
      <c r="N466" s="96">
        <f>IFERROR(__xludf.DUMMYFUNCTION("""COMPUTED_VALUE"""),0.0)</f>
        <v>0</v>
      </c>
      <c r="O466" s="96">
        <f>IFERROR(__xludf.DUMMYFUNCTION("""COMPUTED_VALUE"""),0.0)</f>
        <v>0</v>
      </c>
      <c r="P466" s="96">
        <f>IFERROR(__xludf.DUMMYFUNCTION("""COMPUTED_VALUE"""),0.0)</f>
        <v>0</v>
      </c>
      <c r="Q466" s="129">
        <f>IFERROR(__xludf.DUMMYFUNCTION("""COMPUTED_VALUE"""),0.0)</f>
        <v>0</v>
      </c>
      <c r="R466" s="99"/>
      <c r="S466" s="99">
        <f>IFERROR(__xludf.DUMMYFUNCTION("""COMPUTED_VALUE"""),2324000.0)</f>
        <v>2324000</v>
      </c>
    </row>
    <row r="467">
      <c r="A467" s="96">
        <f>IFERROR(__xludf.DUMMYFUNCTION("""COMPUTED_VALUE"""),10.0)</f>
        <v>10</v>
      </c>
      <c r="B467" s="98">
        <f>IFERROR(__xludf.DUMMYFUNCTION("""COMPUTED_VALUE"""),44110.0)</f>
        <v>44110</v>
      </c>
      <c r="C467" s="96" t="str">
        <f>IFERROR(__xludf.DUMMYFUNCTION("""COMPUTED_VALUE"""),"REMMY BODES")</f>
        <v>REMMY BODES</v>
      </c>
      <c r="D467" s="96" t="str">
        <f>IFERROR(__xludf.DUMMYFUNCTION("""COMPUTED_VALUE"""),"REMMY BODES10")</f>
        <v>REMMY BODES10</v>
      </c>
      <c r="E467" s="96"/>
      <c r="F467" s="96"/>
      <c r="G467" s="96"/>
      <c r="H467" s="96"/>
      <c r="I467" s="96"/>
      <c r="J467" s="96"/>
      <c r="K467" s="96">
        <f>IFERROR(__xludf.DUMMYFUNCTION("""COMPUTED_VALUE"""),400000.0)</f>
        <v>400000</v>
      </c>
      <c r="L467" s="99">
        <f>IFERROR(__xludf.DUMMYFUNCTION("""COMPUTED_VALUE"""),400000.0)</f>
        <v>400000</v>
      </c>
      <c r="M467" s="96"/>
      <c r="N467" s="96">
        <f>IFERROR(__xludf.DUMMYFUNCTION("""COMPUTED_VALUE"""),0.0)</f>
        <v>0</v>
      </c>
      <c r="O467" s="96">
        <f>IFERROR(__xludf.DUMMYFUNCTION("""COMPUTED_VALUE"""),0.0)</f>
        <v>0</v>
      </c>
      <c r="P467" s="96">
        <f>IFERROR(__xludf.DUMMYFUNCTION("""COMPUTED_VALUE"""),0.0)</f>
        <v>0</v>
      </c>
      <c r="Q467" s="129">
        <f>IFERROR(__xludf.DUMMYFUNCTION("""COMPUTED_VALUE"""),0.0)</f>
        <v>0</v>
      </c>
      <c r="R467" s="99"/>
      <c r="S467" s="99">
        <f>IFERROR(__xludf.DUMMYFUNCTION("""COMPUTED_VALUE"""),1791000.0)</f>
        <v>1791000</v>
      </c>
    </row>
    <row r="468">
      <c r="A468" s="96">
        <f>IFERROR(__xludf.DUMMYFUNCTION("""COMPUTED_VALUE"""),1.0)</f>
        <v>1</v>
      </c>
      <c r="B468" s="98">
        <f>IFERROR(__xludf.DUMMYFUNCTION("""COMPUTED_VALUE"""),44110.0)</f>
        <v>44110</v>
      </c>
      <c r="C468" s="96" t="str">
        <f>IFERROR(__xludf.DUMMYFUNCTION("""COMPUTED_VALUE"""),"NELSON &amp; PALUS")</f>
        <v>NELSON &amp; PALUS</v>
      </c>
      <c r="D468" s="96" t="str">
        <f>IFERROR(__xludf.DUMMYFUNCTION("""COMPUTED_VALUE"""),"NELSON &amp; PALUS1")</f>
        <v>NELSON &amp; PALUS1</v>
      </c>
      <c r="E468" s="96"/>
      <c r="F468" s="96"/>
      <c r="G468" s="96"/>
      <c r="H468" s="96"/>
      <c r="I468" s="96"/>
      <c r="J468" s="96"/>
      <c r="K468" s="96">
        <f>IFERROR(__xludf.DUMMYFUNCTION("""COMPUTED_VALUE"""),23000.0)</f>
        <v>23000</v>
      </c>
      <c r="L468" s="99">
        <f>IFERROR(__xludf.DUMMYFUNCTION("""COMPUTED_VALUE"""),23000.0)</f>
        <v>23000</v>
      </c>
      <c r="M468" s="96"/>
      <c r="N468" s="96">
        <f>IFERROR(__xludf.DUMMYFUNCTION("""COMPUTED_VALUE"""),0.0)</f>
        <v>0</v>
      </c>
      <c r="O468" s="96">
        <f>IFERROR(__xludf.DUMMYFUNCTION("""COMPUTED_VALUE"""),0.0)</f>
        <v>0</v>
      </c>
      <c r="P468" s="96">
        <f>IFERROR(__xludf.DUMMYFUNCTION("""COMPUTED_VALUE"""),0.0)</f>
        <v>0</v>
      </c>
      <c r="Q468" s="129">
        <f>IFERROR(__xludf.DUMMYFUNCTION("""COMPUTED_VALUE"""),0.0)</f>
        <v>0</v>
      </c>
      <c r="R468" s="99"/>
      <c r="S468" s="99">
        <f>IFERROR(__xludf.DUMMYFUNCTION("""COMPUTED_VALUE"""),23000.0)</f>
        <v>23000</v>
      </c>
    </row>
    <row r="469">
      <c r="A469" s="96">
        <f>IFERROR(__xludf.DUMMYFUNCTION("""COMPUTED_VALUE"""),14.0)</f>
        <v>14</v>
      </c>
      <c r="B469" s="98">
        <f>IFERROR(__xludf.DUMMYFUNCTION("""COMPUTED_VALUE"""),44111.0)</f>
        <v>44111</v>
      </c>
      <c r="C469" s="96" t="str">
        <f>IFERROR(__xludf.DUMMYFUNCTION("""COMPUTED_VALUE"""),"OTU KOKO KEIBO")</f>
        <v>OTU KOKO KEIBO</v>
      </c>
      <c r="D469" s="96" t="str">
        <f>IFERROR(__xludf.DUMMYFUNCTION("""COMPUTED_VALUE"""),"OTU KOKO KEIBO14")</f>
        <v>OTU KOKO KEIBO14</v>
      </c>
      <c r="E469" s="96"/>
      <c r="F469" s="96"/>
      <c r="G469" s="96"/>
      <c r="H469" s="96"/>
      <c r="I469" s="96"/>
      <c r="J469" s="96"/>
      <c r="K469" s="96">
        <f>IFERROR(__xludf.DUMMYFUNCTION("""COMPUTED_VALUE"""),50000.0)</f>
        <v>50000</v>
      </c>
      <c r="L469" s="99">
        <f>IFERROR(__xludf.DUMMYFUNCTION("""COMPUTED_VALUE"""),50000.0)</f>
        <v>50000</v>
      </c>
      <c r="M469" s="96"/>
      <c r="N469" s="96">
        <f>IFERROR(__xludf.DUMMYFUNCTION("""COMPUTED_VALUE"""),0.0)</f>
        <v>0</v>
      </c>
      <c r="O469" s="96">
        <f>IFERROR(__xludf.DUMMYFUNCTION("""COMPUTED_VALUE"""),0.0)</f>
        <v>0</v>
      </c>
      <c r="P469" s="96">
        <f>IFERROR(__xludf.DUMMYFUNCTION("""COMPUTED_VALUE"""),0.0)</f>
        <v>0</v>
      </c>
      <c r="Q469" s="129">
        <f>IFERROR(__xludf.DUMMYFUNCTION("""COMPUTED_VALUE"""),0.0)</f>
        <v>0</v>
      </c>
      <c r="R469" s="99"/>
      <c r="S469" s="99">
        <f>IFERROR(__xludf.DUMMYFUNCTION("""COMPUTED_VALUE"""),2.8264425E7)</f>
        <v>28264425</v>
      </c>
    </row>
    <row r="470">
      <c r="A470" s="96">
        <f>IFERROR(__xludf.DUMMYFUNCTION("""COMPUTED_VALUE"""),1.0)</f>
        <v>1</v>
      </c>
      <c r="B470" s="98">
        <f>IFERROR(__xludf.DUMMYFUNCTION("""COMPUTED_VALUE"""),44111.0)</f>
        <v>44111</v>
      </c>
      <c r="C470" s="96" t="str">
        <f>IFERROR(__xludf.DUMMYFUNCTION("""COMPUTED_VALUE"""),"COPPA NKU")</f>
        <v>COPPA NKU</v>
      </c>
      <c r="D470" s="96" t="str">
        <f>IFERROR(__xludf.DUMMYFUNCTION("""COMPUTED_VALUE"""),"COPPA NKU1")</f>
        <v>COPPA NKU1</v>
      </c>
      <c r="E470" s="96"/>
      <c r="F470" s="96"/>
      <c r="G470" s="96"/>
      <c r="H470" s="96"/>
      <c r="I470" s="96"/>
      <c r="J470" s="96"/>
      <c r="K470" s="96">
        <f>IFERROR(__xludf.DUMMYFUNCTION("""COMPUTED_VALUE"""),300000.0)</f>
        <v>300000</v>
      </c>
      <c r="L470" s="99">
        <f>IFERROR(__xludf.DUMMYFUNCTION("""COMPUTED_VALUE"""),300000.0)</f>
        <v>300000</v>
      </c>
      <c r="M470" s="96"/>
      <c r="N470" s="96">
        <f>IFERROR(__xludf.DUMMYFUNCTION("""COMPUTED_VALUE"""),0.0)</f>
        <v>0</v>
      </c>
      <c r="O470" s="96">
        <f>IFERROR(__xludf.DUMMYFUNCTION("""COMPUTED_VALUE"""),0.0)</f>
        <v>0</v>
      </c>
      <c r="P470" s="96">
        <f>IFERROR(__xludf.DUMMYFUNCTION("""COMPUTED_VALUE"""),0.0)</f>
        <v>0</v>
      </c>
      <c r="Q470" s="129">
        <f>IFERROR(__xludf.DUMMYFUNCTION("""COMPUTED_VALUE"""),0.0)</f>
        <v>0</v>
      </c>
      <c r="R470" s="99"/>
      <c r="S470" s="99">
        <f>IFERROR(__xludf.DUMMYFUNCTION("""COMPUTED_VALUE"""),300000.0)</f>
        <v>300000</v>
      </c>
    </row>
    <row r="471">
      <c r="A471" s="96">
        <f>IFERROR(__xludf.DUMMYFUNCTION("""COMPUTED_VALUE"""),12.0)</f>
        <v>12</v>
      </c>
      <c r="B471" s="98">
        <f>IFERROR(__xludf.DUMMYFUNCTION("""COMPUTED_VALUE"""),44111.0)</f>
        <v>44111</v>
      </c>
      <c r="C471" s="96" t="str">
        <f>IFERROR(__xludf.DUMMYFUNCTION("""COMPUTED_VALUE"""),"AUGUSTINE IGBA")</f>
        <v>AUGUSTINE IGBA</v>
      </c>
      <c r="D471" s="96" t="str">
        <f>IFERROR(__xludf.DUMMYFUNCTION("""COMPUTED_VALUE"""),"AUGUSTINE IGBA12")</f>
        <v>AUGUSTINE IGBA12</v>
      </c>
      <c r="E471" s="96"/>
      <c r="F471" s="96"/>
      <c r="G471" s="96"/>
      <c r="H471" s="96"/>
      <c r="I471" s="96"/>
      <c r="J471" s="96"/>
      <c r="K471" s="96">
        <f>IFERROR(__xludf.DUMMYFUNCTION("""COMPUTED_VALUE"""),4000000.0)</f>
        <v>4000000</v>
      </c>
      <c r="L471" s="99">
        <f>IFERROR(__xludf.DUMMYFUNCTION("""COMPUTED_VALUE"""),4000000.0)</f>
        <v>4000000</v>
      </c>
      <c r="M471" s="96"/>
      <c r="N471" s="96">
        <f>IFERROR(__xludf.DUMMYFUNCTION("""COMPUTED_VALUE"""),0.0)</f>
        <v>0</v>
      </c>
      <c r="O471" s="96">
        <f>IFERROR(__xludf.DUMMYFUNCTION("""COMPUTED_VALUE"""),0.0)</f>
        <v>0</v>
      </c>
      <c r="P471" s="96">
        <f>IFERROR(__xludf.DUMMYFUNCTION("""COMPUTED_VALUE"""),0.0)</f>
        <v>0</v>
      </c>
      <c r="Q471" s="129">
        <f>IFERROR(__xludf.DUMMYFUNCTION("""COMPUTED_VALUE"""),0.0)</f>
        <v>0</v>
      </c>
      <c r="R471" s="99"/>
      <c r="S471" s="99">
        <f>IFERROR(__xludf.DUMMYFUNCTION("""COMPUTED_VALUE"""),2.758754E7)</f>
        <v>27587540</v>
      </c>
    </row>
    <row r="472">
      <c r="A472" s="96">
        <f>IFERROR(__xludf.DUMMYFUNCTION("""COMPUTED_VALUE"""),19.0)</f>
        <v>19</v>
      </c>
      <c r="B472" s="98">
        <f>IFERROR(__xludf.DUMMYFUNCTION("""COMPUTED_VALUE"""),44111.0)</f>
        <v>44111</v>
      </c>
      <c r="C472" s="96" t="str">
        <f>IFERROR(__xludf.DUMMYFUNCTION("""COMPUTED_VALUE"""),"LIVINUS")</f>
        <v>LIVINUS</v>
      </c>
      <c r="D472" s="96" t="str">
        <f>IFERROR(__xludf.DUMMYFUNCTION("""COMPUTED_VALUE"""),"LIVINUS19")</f>
        <v>LIVINUS19</v>
      </c>
      <c r="E472" s="96"/>
      <c r="F472" s="96"/>
      <c r="G472" s="96"/>
      <c r="H472" s="96"/>
      <c r="I472" s="96"/>
      <c r="J472" s="96"/>
      <c r="K472" s="96">
        <f>IFERROR(__xludf.DUMMYFUNCTION("""COMPUTED_VALUE"""),620000.0)</f>
        <v>620000</v>
      </c>
      <c r="L472" s="99">
        <f>IFERROR(__xludf.DUMMYFUNCTION("""COMPUTED_VALUE"""),620000.0)</f>
        <v>620000</v>
      </c>
      <c r="M472" s="96"/>
      <c r="N472" s="96">
        <f>IFERROR(__xludf.DUMMYFUNCTION("""COMPUTED_VALUE"""),0.0)</f>
        <v>0</v>
      </c>
      <c r="O472" s="96">
        <f>IFERROR(__xludf.DUMMYFUNCTION("""COMPUTED_VALUE"""),0.0)</f>
        <v>0</v>
      </c>
      <c r="P472" s="96">
        <f>IFERROR(__xludf.DUMMYFUNCTION("""COMPUTED_VALUE"""),0.0)</f>
        <v>0</v>
      </c>
      <c r="Q472" s="129">
        <f>IFERROR(__xludf.DUMMYFUNCTION("""COMPUTED_VALUE"""),0.0)</f>
        <v>0</v>
      </c>
      <c r="R472" s="99"/>
      <c r="S472" s="99">
        <f>IFERROR(__xludf.DUMMYFUNCTION("""COMPUTED_VALUE"""),1.14015E7)</f>
        <v>11401500</v>
      </c>
    </row>
    <row r="473">
      <c r="A473" s="96">
        <f>IFERROR(__xludf.DUMMYFUNCTION("""COMPUTED_VALUE"""),18.0)</f>
        <v>18</v>
      </c>
      <c r="B473" s="98">
        <f>IFERROR(__xludf.DUMMYFUNCTION("""COMPUTED_VALUE"""),44111.0)</f>
        <v>44111</v>
      </c>
      <c r="C473" s="96" t="str">
        <f>IFERROR(__xludf.DUMMYFUNCTION("""COMPUTED_VALUE"""),"NDOMA BODE I.D")</f>
        <v>NDOMA BODE I.D</v>
      </c>
      <c r="D473" s="96" t="str">
        <f>IFERROR(__xludf.DUMMYFUNCTION("""COMPUTED_VALUE"""),"NDOMA BODE I.D18")</f>
        <v>NDOMA BODE I.D18</v>
      </c>
      <c r="E473" s="96"/>
      <c r="F473" s="96"/>
      <c r="G473" s="96"/>
      <c r="H473" s="96"/>
      <c r="I473" s="96"/>
      <c r="J473" s="96"/>
      <c r="K473" s="96">
        <f>IFERROR(__xludf.DUMMYFUNCTION("""COMPUTED_VALUE"""),1200000.0)</f>
        <v>1200000</v>
      </c>
      <c r="L473" s="99">
        <f>IFERROR(__xludf.DUMMYFUNCTION("""COMPUTED_VALUE"""),1200000.0)</f>
        <v>1200000</v>
      </c>
      <c r="M473" s="96"/>
      <c r="N473" s="96">
        <f>IFERROR(__xludf.DUMMYFUNCTION("""COMPUTED_VALUE"""),0.0)</f>
        <v>0</v>
      </c>
      <c r="O473" s="96">
        <f>IFERROR(__xludf.DUMMYFUNCTION("""COMPUTED_VALUE"""),0.0)</f>
        <v>0</v>
      </c>
      <c r="P473" s="96">
        <f>IFERROR(__xludf.DUMMYFUNCTION("""COMPUTED_VALUE"""),0.0)</f>
        <v>0</v>
      </c>
      <c r="Q473" s="129">
        <f>IFERROR(__xludf.DUMMYFUNCTION("""COMPUTED_VALUE"""),0.0)</f>
        <v>0</v>
      </c>
      <c r="R473" s="99"/>
      <c r="S473" s="99">
        <f>IFERROR(__xludf.DUMMYFUNCTION("""COMPUTED_VALUE"""),1999840.0)</f>
        <v>1999840</v>
      </c>
    </row>
    <row r="474">
      <c r="A474" s="96">
        <f>IFERROR(__xludf.DUMMYFUNCTION("""COMPUTED_VALUE"""),10.0)</f>
        <v>10</v>
      </c>
      <c r="B474" s="98">
        <f>IFERROR(__xludf.DUMMYFUNCTION("""COMPUTED_VALUE"""),44111.0)</f>
        <v>44111</v>
      </c>
      <c r="C474" s="96" t="str">
        <f>IFERROR(__xludf.DUMMYFUNCTION("""COMPUTED_VALUE"""),"NDOMA PETER")</f>
        <v>NDOMA PETER</v>
      </c>
      <c r="D474" s="96" t="str">
        <f>IFERROR(__xludf.DUMMYFUNCTION("""COMPUTED_VALUE"""),"NDOMA PETER10")</f>
        <v>NDOMA PETER10</v>
      </c>
      <c r="E474" s="96"/>
      <c r="F474" s="96"/>
      <c r="G474" s="96"/>
      <c r="H474" s="96"/>
      <c r="I474" s="96"/>
      <c r="J474" s="96"/>
      <c r="K474" s="96">
        <f>IFERROR(__xludf.DUMMYFUNCTION("""COMPUTED_VALUE"""),900000.0)</f>
        <v>900000</v>
      </c>
      <c r="L474" s="99">
        <f>IFERROR(__xludf.DUMMYFUNCTION("""COMPUTED_VALUE"""),900000.0)</f>
        <v>900000</v>
      </c>
      <c r="M474" s="96"/>
      <c r="N474" s="96">
        <f>IFERROR(__xludf.DUMMYFUNCTION("""COMPUTED_VALUE"""),0.0)</f>
        <v>0</v>
      </c>
      <c r="O474" s="96">
        <f>IFERROR(__xludf.DUMMYFUNCTION("""COMPUTED_VALUE"""),0.0)</f>
        <v>0</v>
      </c>
      <c r="P474" s="96">
        <f>IFERROR(__xludf.DUMMYFUNCTION("""COMPUTED_VALUE"""),0.0)</f>
        <v>0</v>
      </c>
      <c r="Q474" s="129">
        <f>IFERROR(__xludf.DUMMYFUNCTION("""COMPUTED_VALUE"""),0.0)</f>
        <v>0</v>
      </c>
      <c r="R474" s="99"/>
      <c r="S474" s="99">
        <f>IFERROR(__xludf.DUMMYFUNCTION("""COMPUTED_VALUE"""),2200000.0)</f>
        <v>2200000</v>
      </c>
    </row>
    <row r="475">
      <c r="A475" s="96">
        <f>IFERROR(__xludf.DUMMYFUNCTION("""COMPUTED_VALUE"""),4.0)</f>
        <v>4</v>
      </c>
      <c r="B475" s="98">
        <f>IFERROR(__xludf.DUMMYFUNCTION("""COMPUTED_VALUE"""),44111.0)</f>
        <v>44111</v>
      </c>
      <c r="C475" s="96" t="str">
        <f>IFERROR(__xludf.DUMMYFUNCTION("""COMPUTED_VALUE"""),"RI SAMP")</f>
        <v>RI SAMP</v>
      </c>
      <c r="D475" s="96" t="str">
        <f>IFERROR(__xludf.DUMMYFUNCTION("""COMPUTED_VALUE"""),"RI SAMP4")</f>
        <v>RI SAMP4</v>
      </c>
      <c r="E475" s="96"/>
      <c r="F475" s="96"/>
      <c r="G475" s="96"/>
      <c r="H475" s="96"/>
      <c r="I475" s="96"/>
      <c r="J475" s="96"/>
      <c r="K475" s="96">
        <f>IFERROR(__xludf.DUMMYFUNCTION("""COMPUTED_VALUE"""),670000.0)</f>
        <v>670000</v>
      </c>
      <c r="L475" s="99">
        <f>IFERROR(__xludf.DUMMYFUNCTION("""COMPUTED_VALUE"""),670000.0)</f>
        <v>670000</v>
      </c>
      <c r="M475" s="96"/>
      <c r="N475" s="96">
        <f>IFERROR(__xludf.DUMMYFUNCTION("""COMPUTED_VALUE"""),0.0)</f>
        <v>0</v>
      </c>
      <c r="O475" s="96">
        <f>IFERROR(__xludf.DUMMYFUNCTION("""COMPUTED_VALUE"""),0.0)</f>
        <v>0</v>
      </c>
      <c r="P475" s="96">
        <f>IFERROR(__xludf.DUMMYFUNCTION("""COMPUTED_VALUE"""),0.0)</f>
        <v>0</v>
      </c>
      <c r="Q475" s="129">
        <f>IFERROR(__xludf.DUMMYFUNCTION("""COMPUTED_VALUE"""),0.0)</f>
        <v>0</v>
      </c>
      <c r="R475" s="99"/>
      <c r="S475" s="99">
        <f>IFERROR(__xludf.DUMMYFUNCTION("""COMPUTED_VALUE"""),1670000.0)</f>
        <v>1670000</v>
      </c>
    </row>
    <row r="476">
      <c r="A476" s="96">
        <f>IFERROR(__xludf.DUMMYFUNCTION("""COMPUTED_VALUE"""),3.0)</f>
        <v>3</v>
      </c>
      <c r="B476" s="98">
        <f>IFERROR(__xludf.DUMMYFUNCTION("""COMPUTED_VALUE"""),44111.0)</f>
        <v>44111</v>
      </c>
      <c r="C476" s="96" t="str">
        <f>IFERROR(__xludf.DUMMYFUNCTION("""COMPUTED_VALUE"""),"PRIN M. BOSURU")</f>
        <v>PRIN M. BOSURU</v>
      </c>
      <c r="D476" s="96" t="str">
        <f>IFERROR(__xludf.DUMMYFUNCTION("""COMPUTED_VALUE"""),"PRIN M. BOSURU3")</f>
        <v>PRIN M. BOSURU3</v>
      </c>
      <c r="E476" s="96"/>
      <c r="F476" s="96"/>
      <c r="G476" s="96"/>
      <c r="H476" s="96"/>
      <c r="I476" s="96"/>
      <c r="J476" s="96"/>
      <c r="K476" s="96">
        <f>IFERROR(__xludf.DUMMYFUNCTION("""COMPUTED_VALUE"""),620000.0)</f>
        <v>620000</v>
      </c>
      <c r="L476" s="99">
        <f>IFERROR(__xludf.DUMMYFUNCTION("""COMPUTED_VALUE"""),620000.0)</f>
        <v>620000</v>
      </c>
      <c r="M476" s="96"/>
      <c r="N476" s="96">
        <f>IFERROR(__xludf.DUMMYFUNCTION("""COMPUTED_VALUE"""),0.0)</f>
        <v>0</v>
      </c>
      <c r="O476" s="96">
        <f>IFERROR(__xludf.DUMMYFUNCTION("""COMPUTED_VALUE"""),0.0)</f>
        <v>0</v>
      </c>
      <c r="P476" s="96">
        <f>IFERROR(__xludf.DUMMYFUNCTION("""COMPUTED_VALUE"""),0.0)</f>
        <v>0</v>
      </c>
      <c r="Q476" s="129">
        <f>IFERROR(__xludf.DUMMYFUNCTION("""COMPUTED_VALUE"""),0.0)</f>
        <v>0</v>
      </c>
      <c r="R476" s="99"/>
      <c r="S476" s="99">
        <f>IFERROR(__xludf.DUMMYFUNCTION("""COMPUTED_VALUE"""),2412000.0)</f>
        <v>2412000</v>
      </c>
    </row>
    <row r="477">
      <c r="A477" s="96">
        <f>IFERROR(__xludf.DUMMYFUNCTION("""COMPUTED_VALUE"""),8.0)</f>
        <v>8</v>
      </c>
      <c r="B477" s="98">
        <f>IFERROR(__xludf.DUMMYFUNCTION("""COMPUTED_VALUE"""),44111.0)</f>
        <v>44111</v>
      </c>
      <c r="C477" s="96" t="str">
        <f>IFERROR(__xludf.DUMMYFUNCTION("""COMPUTED_VALUE"""),"EUGENE")</f>
        <v>EUGENE</v>
      </c>
      <c r="D477" s="96" t="str">
        <f>IFERROR(__xludf.DUMMYFUNCTION("""COMPUTED_VALUE"""),"EUGENE8")</f>
        <v>EUGENE8</v>
      </c>
      <c r="E477" s="96"/>
      <c r="F477" s="96"/>
      <c r="G477" s="96"/>
      <c r="H477" s="96"/>
      <c r="I477" s="96"/>
      <c r="J477" s="96"/>
      <c r="K477" s="96">
        <f>IFERROR(__xludf.DUMMYFUNCTION("""COMPUTED_VALUE"""),1645900.0)</f>
        <v>1645900</v>
      </c>
      <c r="L477" s="99">
        <f>IFERROR(__xludf.DUMMYFUNCTION("""COMPUTED_VALUE"""),1645900.0)</f>
        <v>1645900</v>
      </c>
      <c r="M477" s="96"/>
      <c r="N477" s="96">
        <f>IFERROR(__xludf.DUMMYFUNCTION("""COMPUTED_VALUE"""),0.0)</f>
        <v>0</v>
      </c>
      <c r="O477" s="96">
        <f>IFERROR(__xludf.DUMMYFUNCTION("""COMPUTED_VALUE"""),0.0)</f>
        <v>0</v>
      </c>
      <c r="P477" s="96">
        <f>IFERROR(__xludf.DUMMYFUNCTION("""COMPUTED_VALUE"""),0.0)</f>
        <v>0</v>
      </c>
      <c r="Q477" s="129">
        <f>IFERROR(__xludf.DUMMYFUNCTION("""COMPUTED_VALUE"""),0.0)</f>
        <v>0</v>
      </c>
      <c r="R477" s="99"/>
      <c r="S477" s="99">
        <f>IFERROR(__xludf.DUMMYFUNCTION("""COMPUTED_VALUE"""),3295900.0)</f>
        <v>3295900</v>
      </c>
    </row>
    <row r="478">
      <c r="A478" s="96">
        <f>IFERROR(__xludf.DUMMYFUNCTION("""COMPUTED_VALUE"""),19.0)</f>
        <v>19</v>
      </c>
      <c r="B478" s="98">
        <f>IFERROR(__xludf.DUMMYFUNCTION("""COMPUTED_VALUE"""),44111.0)</f>
        <v>44111</v>
      </c>
      <c r="C478" s="96" t="str">
        <f>IFERROR(__xludf.DUMMYFUNCTION("""COMPUTED_VALUE"""),"ETUK EFFI")</f>
        <v>ETUK EFFI</v>
      </c>
      <c r="D478" s="96" t="str">
        <f>IFERROR(__xludf.DUMMYFUNCTION("""COMPUTED_VALUE"""),"ETUK EFFI19")</f>
        <v>ETUK EFFI19</v>
      </c>
      <c r="E478" s="96"/>
      <c r="F478" s="96"/>
      <c r="G478" s="96"/>
      <c r="H478" s="96"/>
      <c r="I478" s="96"/>
      <c r="J478" s="96"/>
      <c r="K478" s="96">
        <f>IFERROR(__xludf.DUMMYFUNCTION("""COMPUTED_VALUE"""),1520000.0)</f>
        <v>1520000</v>
      </c>
      <c r="L478" s="99">
        <f>IFERROR(__xludf.DUMMYFUNCTION("""COMPUTED_VALUE"""),1520000.0)</f>
        <v>1520000</v>
      </c>
      <c r="M478" s="96"/>
      <c r="N478" s="96">
        <f>IFERROR(__xludf.DUMMYFUNCTION("""COMPUTED_VALUE"""),0.0)</f>
        <v>0</v>
      </c>
      <c r="O478" s="96">
        <f>IFERROR(__xludf.DUMMYFUNCTION("""COMPUTED_VALUE"""),0.0)</f>
        <v>0</v>
      </c>
      <c r="P478" s="96">
        <f>IFERROR(__xludf.DUMMYFUNCTION("""COMPUTED_VALUE"""),0.0)</f>
        <v>0</v>
      </c>
      <c r="Q478" s="129">
        <f>IFERROR(__xludf.DUMMYFUNCTION("""COMPUTED_VALUE"""),0.0)</f>
        <v>0</v>
      </c>
      <c r="R478" s="99"/>
      <c r="S478" s="99">
        <f>IFERROR(__xludf.DUMMYFUNCTION("""COMPUTED_VALUE"""),5420100.0)</f>
        <v>5420100</v>
      </c>
    </row>
    <row r="479">
      <c r="A479" s="96">
        <f>IFERROR(__xludf.DUMMYFUNCTION("""COMPUTED_VALUE"""),29.0)</f>
        <v>29</v>
      </c>
      <c r="B479" s="98">
        <f>IFERROR(__xludf.DUMMYFUNCTION("""COMPUTED_VALUE"""),44111.0)</f>
        <v>44111</v>
      </c>
      <c r="C479" s="96" t="str">
        <f>IFERROR(__xludf.DUMMYFUNCTION("""COMPUTED_VALUE"""),"LYDIA HNSON ")</f>
        <v>LYDIA HNSON </v>
      </c>
      <c r="D479" s="96" t="str">
        <f>IFERROR(__xludf.DUMMYFUNCTION("""COMPUTED_VALUE"""),"LYDIA HNSON 29")</f>
        <v>LYDIA HNSON 29</v>
      </c>
      <c r="E479" s="96"/>
      <c r="F479" s="96"/>
      <c r="G479" s="96"/>
      <c r="H479" s="96"/>
      <c r="I479" s="96"/>
      <c r="J479" s="96"/>
      <c r="K479" s="96">
        <f>IFERROR(__xludf.DUMMYFUNCTION("""COMPUTED_VALUE"""),1800000.0)</f>
        <v>1800000</v>
      </c>
      <c r="L479" s="99">
        <f>IFERROR(__xludf.DUMMYFUNCTION("""COMPUTED_VALUE"""),1800000.0)</f>
        <v>1800000</v>
      </c>
      <c r="M479" s="96"/>
      <c r="N479" s="96">
        <f>IFERROR(__xludf.DUMMYFUNCTION("""COMPUTED_VALUE"""),0.0)</f>
        <v>0</v>
      </c>
      <c r="O479" s="96">
        <f>IFERROR(__xludf.DUMMYFUNCTION("""COMPUTED_VALUE"""),0.0)</f>
        <v>0</v>
      </c>
      <c r="P479" s="96">
        <f>IFERROR(__xludf.DUMMYFUNCTION("""COMPUTED_VALUE"""),0.0)</f>
        <v>0</v>
      </c>
      <c r="Q479" s="129">
        <f>IFERROR(__xludf.DUMMYFUNCTION("""COMPUTED_VALUE"""),0.0)</f>
        <v>0</v>
      </c>
      <c r="R479" s="99"/>
      <c r="S479" s="99">
        <f>IFERROR(__xludf.DUMMYFUNCTION("""COMPUTED_VALUE"""),6910520.0)</f>
        <v>6910520</v>
      </c>
    </row>
    <row r="480">
      <c r="A480" s="96">
        <f>IFERROR(__xludf.DUMMYFUNCTION("""COMPUTED_VALUE"""),11.0)</f>
        <v>11</v>
      </c>
      <c r="B480" s="98">
        <f>IFERROR(__xludf.DUMMYFUNCTION("""COMPUTED_VALUE"""),44111.0)</f>
        <v>44111</v>
      </c>
      <c r="C480" s="96" t="str">
        <f>IFERROR(__xludf.DUMMYFUNCTION("""COMPUTED_VALUE"""),"REMMY BODES")</f>
        <v>REMMY BODES</v>
      </c>
      <c r="D480" s="96" t="str">
        <f>IFERROR(__xludf.DUMMYFUNCTION("""COMPUTED_VALUE"""),"REMMY BODES11")</f>
        <v>REMMY BODES11</v>
      </c>
      <c r="E480" s="96"/>
      <c r="F480" s="96"/>
      <c r="G480" s="96"/>
      <c r="H480" s="96"/>
      <c r="I480" s="96"/>
      <c r="J480" s="96"/>
      <c r="K480" s="96">
        <f>IFERROR(__xludf.DUMMYFUNCTION("""COMPUTED_VALUE"""),661500.0)</f>
        <v>661500</v>
      </c>
      <c r="L480" s="99">
        <f>IFERROR(__xludf.DUMMYFUNCTION("""COMPUTED_VALUE"""),661500.0)</f>
        <v>661500</v>
      </c>
      <c r="M480" s="96"/>
      <c r="N480" s="96">
        <f>IFERROR(__xludf.DUMMYFUNCTION("""COMPUTED_VALUE"""),0.0)</f>
        <v>0</v>
      </c>
      <c r="O480" s="96">
        <f>IFERROR(__xludf.DUMMYFUNCTION("""COMPUTED_VALUE"""),0.0)</f>
        <v>0</v>
      </c>
      <c r="P480" s="96">
        <f>IFERROR(__xludf.DUMMYFUNCTION("""COMPUTED_VALUE"""),0.0)</f>
        <v>0</v>
      </c>
      <c r="Q480" s="129">
        <f>IFERROR(__xludf.DUMMYFUNCTION("""COMPUTED_VALUE"""),0.0)</f>
        <v>0</v>
      </c>
      <c r="R480" s="99"/>
      <c r="S480" s="99">
        <f>IFERROR(__xludf.DUMMYFUNCTION("""COMPUTED_VALUE"""),2452500.0)</f>
        <v>2452500</v>
      </c>
    </row>
    <row r="481">
      <c r="A481" s="96">
        <f>IFERROR(__xludf.DUMMYFUNCTION("""COMPUTED_VALUE"""),4.0)</f>
        <v>4</v>
      </c>
      <c r="B481" s="98">
        <f>IFERROR(__xludf.DUMMYFUNCTION("""COMPUTED_VALUE"""),44111.0)</f>
        <v>44111</v>
      </c>
      <c r="C481" s="96" t="str">
        <f>IFERROR(__xludf.DUMMYFUNCTION("""COMPUTED_VALUE"""),"FRANCIS KEIBO")</f>
        <v>FRANCIS KEIBO</v>
      </c>
      <c r="D481" s="96" t="str">
        <f>IFERROR(__xludf.DUMMYFUNCTION("""COMPUTED_VALUE"""),"FRANCIS KEIBO4")</f>
        <v>FRANCIS KEIBO4</v>
      </c>
      <c r="E481" s="96"/>
      <c r="F481" s="96"/>
      <c r="G481" s="96"/>
      <c r="H481" s="96"/>
      <c r="I481" s="96"/>
      <c r="J481" s="96"/>
      <c r="K481" s="96">
        <f>IFERROR(__xludf.DUMMYFUNCTION("""COMPUTED_VALUE"""),200000.0)</f>
        <v>200000</v>
      </c>
      <c r="L481" s="99">
        <f>IFERROR(__xludf.DUMMYFUNCTION("""COMPUTED_VALUE"""),200000.0)</f>
        <v>200000</v>
      </c>
      <c r="M481" s="96"/>
      <c r="N481" s="96">
        <f>IFERROR(__xludf.DUMMYFUNCTION("""COMPUTED_VALUE"""),0.0)</f>
        <v>0</v>
      </c>
      <c r="O481" s="96">
        <f>IFERROR(__xludf.DUMMYFUNCTION("""COMPUTED_VALUE"""),0.0)</f>
        <v>0</v>
      </c>
      <c r="P481" s="96">
        <f>IFERROR(__xludf.DUMMYFUNCTION("""COMPUTED_VALUE"""),0.0)</f>
        <v>0</v>
      </c>
      <c r="Q481" s="129">
        <f>IFERROR(__xludf.DUMMYFUNCTION("""COMPUTED_VALUE"""),0.0)</f>
        <v>0</v>
      </c>
      <c r="R481" s="99"/>
      <c r="S481" s="99">
        <f>IFERROR(__xludf.DUMMYFUNCTION("""COMPUTED_VALUE"""),787000.0)</f>
        <v>787000</v>
      </c>
    </row>
    <row r="482">
      <c r="A482" s="96">
        <f>IFERROR(__xludf.DUMMYFUNCTION("""COMPUTED_VALUE"""),13.0)</f>
        <v>13</v>
      </c>
      <c r="B482" s="98">
        <f>IFERROR(__xludf.DUMMYFUNCTION("""COMPUTED_VALUE"""),44111.0)</f>
        <v>44111</v>
      </c>
      <c r="C482" s="96" t="str">
        <f>IFERROR(__xludf.DUMMYFUNCTION("""COMPUTED_VALUE"""),"AUGUSTINE IGBA")</f>
        <v>AUGUSTINE IGBA</v>
      </c>
      <c r="D482" s="96" t="str">
        <f>IFERROR(__xludf.DUMMYFUNCTION("""COMPUTED_VALUE"""),"AUGUSTINE IGBA13")</f>
        <v>AUGUSTINE IGBA13</v>
      </c>
      <c r="E482" s="96"/>
      <c r="F482" s="96"/>
      <c r="G482" s="96"/>
      <c r="H482" s="96"/>
      <c r="I482" s="96"/>
      <c r="J482" s="96"/>
      <c r="K482" s="96">
        <f>IFERROR(__xludf.DUMMYFUNCTION("""COMPUTED_VALUE"""),5000.0)</f>
        <v>5000</v>
      </c>
      <c r="L482" s="99">
        <f>IFERROR(__xludf.DUMMYFUNCTION("""COMPUTED_VALUE"""),5000.0)</f>
        <v>5000</v>
      </c>
      <c r="M482" s="96"/>
      <c r="N482" s="96">
        <f>IFERROR(__xludf.DUMMYFUNCTION("""COMPUTED_VALUE"""),0.0)</f>
        <v>0</v>
      </c>
      <c r="O482" s="96">
        <f>IFERROR(__xludf.DUMMYFUNCTION("""COMPUTED_VALUE"""),0.0)</f>
        <v>0</v>
      </c>
      <c r="P482" s="96">
        <f>IFERROR(__xludf.DUMMYFUNCTION("""COMPUTED_VALUE"""),0.0)</f>
        <v>0</v>
      </c>
      <c r="Q482" s="129">
        <f>IFERROR(__xludf.DUMMYFUNCTION("""COMPUTED_VALUE"""),0.0)</f>
        <v>0</v>
      </c>
      <c r="R482" s="99"/>
      <c r="S482" s="99">
        <f>IFERROR(__xludf.DUMMYFUNCTION("""COMPUTED_VALUE"""),2.759254E7)</f>
        <v>27592540</v>
      </c>
    </row>
    <row r="483">
      <c r="A483" s="96">
        <f>IFERROR(__xludf.DUMMYFUNCTION("""COMPUTED_VALUE"""),25.0)</f>
        <v>25</v>
      </c>
      <c r="B483" s="98">
        <f>IFERROR(__xludf.DUMMYFUNCTION("""COMPUTED_VALUE"""),44111.0)</f>
        <v>44111</v>
      </c>
      <c r="C483" s="96" t="str">
        <f>IFERROR(__xludf.DUMMYFUNCTION("""COMPUTED_VALUE"""),"CONNECT")</f>
        <v>CONNECT</v>
      </c>
      <c r="D483" s="96" t="str">
        <f>IFERROR(__xludf.DUMMYFUNCTION("""COMPUTED_VALUE"""),"CONNECT25")</f>
        <v>CONNECT25</v>
      </c>
      <c r="E483" s="96"/>
      <c r="F483" s="96"/>
      <c r="G483" s="96"/>
      <c r="H483" s="96"/>
      <c r="I483" s="96"/>
      <c r="J483" s="96"/>
      <c r="K483" s="96">
        <f>IFERROR(__xludf.DUMMYFUNCTION("""COMPUTED_VALUE"""),3000000.0)</f>
        <v>3000000</v>
      </c>
      <c r="L483" s="99">
        <f>IFERROR(__xludf.DUMMYFUNCTION("""COMPUTED_VALUE"""),3000000.0)</f>
        <v>3000000</v>
      </c>
      <c r="M483" s="96"/>
      <c r="N483" s="96">
        <f>IFERROR(__xludf.DUMMYFUNCTION("""COMPUTED_VALUE"""),0.0)</f>
        <v>0</v>
      </c>
      <c r="O483" s="96">
        <f>IFERROR(__xludf.DUMMYFUNCTION("""COMPUTED_VALUE"""),0.0)</f>
        <v>0</v>
      </c>
      <c r="P483" s="96">
        <f>IFERROR(__xludf.DUMMYFUNCTION("""COMPUTED_VALUE"""),0.0)</f>
        <v>0</v>
      </c>
      <c r="Q483" s="129">
        <f>IFERROR(__xludf.DUMMYFUNCTION("""COMPUTED_VALUE"""),0.0)</f>
        <v>0</v>
      </c>
      <c r="R483" s="99"/>
      <c r="S483" s="99">
        <f>IFERROR(__xludf.DUMMYFUNCTION("""COMPUTED_VALUE"""),4325890.0)</f>
        <v>4325890</v>
      </c>
    </row>
    <row r="484">
      <c r="A484" s="96">
        <f>IFERROR(__xludf.DUMMYFUNCTION("""COMPUTED_VALUE"""),1.0)</f>
        <v>1</v>
      </c>
      <c r="B484" s="98">
        <f>IFERROR(__xludf.DUMMYFUNCTION("""COMPUTED_VALUE"""),44112.0)</f>
        <v>44112</v>
      </c>
      <c r="C484" s="96" t="str">
        <f>IFERROR(__xludf.DUMMYFUNCTION("""COMPUTED_VALUE"""),"ETIM SUNDAY")</f>
        <v>ETIM SUNDAY</v>
      </c>
      <c r="D484" s="96" t="str">
        <f>IFERROR(__xludf.DUMMYFUNCTION("""COMPUTED_VALUE"""),"ETIM SUNDAY1")</f>
        <v>ETIM SUNDAY1</v>
      </c>
      <c r="E484" s="96"/>
      <c r="F484" s="96"/>
      <c r="G484" s="96"/>
      <c r="H484" s="96"/>
      <c r="I484" s="96"/>
      <c r="J484" s="96"/>
      <c r="K484" s="96">
        <f>IFERROR(__xludf.DUMMYFUNCTION("""COMPUTED_VALUE"""),200000.0)</f>
        <v>200000</v>
      </c>
      <c r="L484" s="99">
        <f>IFERROR(__xludf.DUMMYFUNCTION("""COMPUTED_VALUE"""),200000.0)</f>
        <v>200000</v>
      </c>
      <c r="M484" s="96"/>
      <c r="N484" s="96">
        <f>IFERROR(__xludf.DUMMYFUNCTION("""COMPUTED_VALUE"""),0.0)</f>
        <v>0</v>
      </c>
      <c r="O484" s="96">
        <f>IFERROR(__xludf.DUMMYFUNCTION("""COMPUTED_VALUE"""),0.0)</f>
        <v>0</v>
      </c>
      <c r="P484" s="96">
        <f>IFERROR(__xludf.DUMMYFUNCTION("""COMPUTED_VALUE"""),0.0)</f>
        <v>0</v>
      </c>
      <c r="Q484" s="129">
        <f>IFERROR(__xludf.DUMMYFUNCTION("""COMPUTED_VALUE"""),0.0)</f>
        <v>0</v>
      </c>
      <c r="R484" s="99"/>
      <c r="S484" s="99">
        <f>IFERROR(__xludf.DUMMYFUNCTION("""COMPUTED_VALUE"""),200000.0)</f>
        <v>200000</v>
      </c>
    </row>
    <row r="485">
      <c r="A485" s="96">
        <f>IFERROR(__xludf.DUMMYFUNCTION("""COMPUTED_VALUE"""),4.0)</f>
        <v>4</v>
      </c>
      <c r="B485" s="98">
        <f>IFERROR(__xludf.DUMMYFUNCTION("""COMPUTED_VALUE"""),44112.0)</f>
        <v>44112</v>
      </c>
      <c r="C485" s="96" t="str">
        <f>IFERROR(__xludf.DUMMYFUNCTION("""COMPUTED_VALUE"""),"ABANG. ORU")</f>
        <v>ABANG. ORU</v>
      </c>
      <c r="D485" s="96" t="str">
        <f>IFERROR(__xludf.DUMMYFUNCTION("""COMPUTED_VALUE"""),"ABANG. ORU4")</f>
        <v>ABANG. ORU4</v>
      </c>
      <c r="E485" s="96"/>
      <c r="F485" s="96"/>
      <c r="G485" s="96"/>
      <c r="H485" s="96"/>
      <c r="I485" s="96"/>
      <c r="J485" s="96"/>
      <c r="K485" s="96">
        <f>IFERROR(__xludf.DUMMYFUNCTION("""COMPUTED_VALUE"""),16500.0)</f>
        <v>16500</v>
      </c>
      <c r="L485" s="99">
        <f>IFERROR(__xludf.DUMMYFUNCTION("""COMPUTED_VALUE"""),16500.0)</f>
        <v>16500</v>
      </c>
      <c r="M485" s="96"/>
      <c r="N485" s="96">
        <f>IFERROR(__xludf.DUMMYFUNCTION("""COMPUTED_VALUE"""),0.0)</f>
        <v>0</v>
      </c>
      <c r="O485" s="96">
        <f>IFERROR(__xludf.DUMMYFUNCTION("""COMPUTED_VALUE"""),0.0)</f>
        <v>0</v>
      </c>
      <c r="P485" s="96">
        <f>IFERROR(__xludf.DUMMYFUNCTION("""COMPUTED_VALUE"""),0.0)</f>
        <v>0</v>
      </c>
      <c r="Q485" s="129">
        <f>IFERROR(__xludf.DUMMYFUNCTION("""COMPUTED_VALUE"""),0.0)</f>
        <v>0</v>
      </c>
      <c r="R485" s="99"/>
      <c r="S485" s="99">
        <f>IFERROR(__xludf.DUMMYFUNCTION("""COMPUTED_VALUE"""),20000.0)</f>
        <v>20000</v>
      </c>
    </row>
    <row r="486">
      <c r="A486" s="96">
        <f>IFERROR(__xludf.DUMMYFUNCTION("""COMPUTED_VALUE"""),6.0)</f>
        <v>6</v>
      </c>
      <c r="B486" s="98">
        <f>IFERROR(__xludf.DUMMYFUNCTION("""COMPUTED_VALUE"""),44112.0)</f>
        <v>44112</v>
      </c>
      <c r="C486" s="96" t="str">
        <f>IFERROR(__xludf.DUMMYFUNCTION("""COMPUTED_VALUE"""),"AGEGE BOY")</f>
        <v>AGEGE BOY</v>
      </c>
      <c r="D486" s="96" t="str">
        <f>IFERROR(__xludf.DUMMYFUNCTION("""COMPUTED_VALUE"""),"AGEGE BOY6")</f>
        <v>AGEGE BOY6</v>
      </c>
      <c r="E486" s="96"/>
      <c r="F486" s="96"/>
      <c r="G486" s="96"/>
      <c r="H486" s="96"/>
      <c r="I486" s="96"/>
      <c r="J486" s="96"/>
      <c r="K486" s="96">
        <f>IFERROR(__xludf.DUMMYFUNCTION("""COMPUTED_VALUE"""),10000.0)</f>
        <v>10000</v>
      </c>
      <c r="L486" s="99">
        <f>IFERROR(__xludf.DUMMYFUNCTION("""COMPUTED_VALUE"""),10000.0)</f>
        <v>10000</v>
      </c>
      <c r="M486" s="96"/>
      <c r="N486" s="96">
        <f>IFERROR(__xludf.DUMMYFUNCTION("""COMPUTED_VALUE"""),0.0)</f>
        <v>0</v>
      </c>
      <c r="O486" s="96">
        <f>IFERROR(__xludf.DUMMYFUNCTION("""COMPUTED_VALUE"""),0.0)</f>
        <v>0</v>
      </c>
      <c r="P486" s="96">
        <f>IFERROR(__xludf.DUMMYFUNCTION("""COMPUTED_VALUE"""),0.0)</f>
        <v>0</v>
      </c>
      <c r="Q486" s="129">
        <f>IFERROR(__xludf.DUMMYFUNCTION("""COMPUTED_VALUE"""),0.0)</f>
        <v>0</v>
      </c>
      <c r="R486" s="99"/>
      <c r="S486" s="99">
        <f>IFERROR(__xludf.DUMMYFUNCTION("""COMPUTED_VALUE"""),659880.0)</f>
        <v>659880</v>
      </c>
    </row>
    <row r="487">
      <c r="A487" s="96">
        <f>IFERROR(__xludf.DUMMYFUNCTION("""COMPUTED_VALUE"""),4.0)</f>
        <v>4</v>
      </c>
      <c r="B487" s="98">
        <f>IFERROR(__xludf.DUMMYFUNCTION("""COMPUTED_VALUE"""),44112.0)</f>
        <v>44112</v>
      </c>
      <c r="C487" s="96" t="str">
        <f>IFERROR(__xludf.DUMMYFUNCTION("""COMPUTED_VALUE"""),"CHINWE CHIDI")</f>
        <v>CHINWE CHIDI</v>
      </c>
      <c r="D487" s="96" t="str">
        <f>IFERROR(__xludf.DUMMYFUNCTION("""COMPUTED_VALUE"""),"CHINWE CHIDI4")</f>
        <v>CHINWE CHIDI4</v>
      </c>
      <c r="E487" s="96"/>
      <c r="F487" s="96"/>
      <c r="G487" s="96"/>
      <c r="H487" s="96"/>
      <c r="I487" s="96"/>
      <c r="J487" s="96"/>
      <c r="K487" s="96">
        <f>IFERROR(__xludf.DUMMYFUNCTION("""COMPUTED_VALUE"""),1439300.0)</f>
        <v>1439300</v>
      </c>
      <c r="L487" s="99">
        <f>IFERROR(__xludf.DUMMYFUNCTION("""COMPUTED_VALUE"""),1439300.0)</f>
        <v>1439300</v>
      </c>
      <c r="M487" s="96"/>
      <c r="N487" s="96">
        <f>IFERROR(__xludf.DUMMYFUNCTION("""COMPUTED_VALUE"""),0.0)</f>
        <v>0</v>
      </c>
      <c r="O487" s="96">
        <f>IFERROR(__xludf.DUMMYFUNCTION("""COMPUTED_VALUE"""),0.0)</f>
        <v>0</v>
      </c>
      <c r="P487" s="96">
        <f>IFERROR(__xludf.DUMMYFUNCTION("""COMPUTED_VALUE"""),0.0)</f>
        <v>0</v>
      </c>
      <c r="Q487" s="129">
        <f>IFERROR(__xludf.DUMMYFUNCTION("""COMPUTED_VALUE"""),0.0)</f>
        <v>0</v>
      </c>
      <c r="R487" s="99"/>
      <c r="S487" s="99">
        <f>IFERROR(__xludf.DUMMYFUNCTION("""COMPUTED_VALUE"""),1745300.0)</f>
        <v>1745300</v>
      </c>
    </row>
    <row r="488">
      <c r="A488" s="96">
        <f>IFERROR(__xludf.DUMMYFUNCTION("""COMPUTED_VALUE"""),5.0)</f>
        <v>5</v>
      </c>
      <c r="B488" s="98">
        <f>IFERROR(__xludf.DUMMYFUNCTION("""COMPUTED_VALUE"""),44112.0)</f>
        <v>44112</v>
      </c>
      <c r="C488" s="96" t="str">
        <f>IFERROR(__xludf.DUMMYFUNCTION("""COMPUTED_VALUE"""),"R.  MAXWELL AGRO")</f>
        <v>R.  MAXWELL AGRO</v>
      </c>
      <c r="D488" s="96" t="str">
        <f>IFERROR(__xludf.DUMMYFUNCTION("""COMPUTED_VALUE"""),"R.  MAXWELL AGRO5")</f>
        <v>R.  MAXWELL AGRO5</v>
      </c>
      <c r="E488" s="96"/>
      <c r="F488" s="96"/>
      <c r="G488" s="96"/>
      <c r="H488" s="96"/>
      <c r="I488" s="96"/>
      <c r="J488" s="96"/>
      <c r="K488" s="96">
        <f>IFERROR(__xludf.DUMMYFUNCTION("""COMPUTED_VALUE"""),5000.0)</f>
        <v>5000</v>
      </c>
      <c r="L488" s="99">
        <f>IFERROR(__xludf.DUMMYFUNCTION("""COMPUTED_VALUE"""),5000.0)</f>
        <v>5000</v>
      </c>
      <c r="M488" s="96"/>
      <c r="N488" s="96">
        <f>IFERROR(__xludf.DUMMYFUNCTION("""COMPUTED_VALUE"""),0.0)</f>
        <v>0</v>
      </c>
      <c r="O488" s="96">
        <f>IFERROR(__xludf.DUMMYFUNCTION("""COMPUTED_VALUE"""),0.0)</f>
        <v>0</v>
      </c>
      <c r="P488" s="96">
        <f>IFERROR(__xludf.DUMMYFUNCTION("""COMPUTED_VALUE"""),0.0)</f>
        <v>0</v>
      </c>
      <c r="Q488" s="129">
        <f>IFERROR(__xludf.DUMMYFUNCTION("""COMPUTED_VALUE"""),0.0)</f>
        <v>0</v>
      </c>
      <c r="R488" s="99"/>
      <c r="S488" s="99">
        <f>IFERROR(__xludf.DUMMYFUNCTION("""COMPUTED_VALUE"""),2.0575E7)</f>
        <v>20575000</v>
      </c>
    </row>
    <row r="489">
      <c r="A489" s="96">
        <f>IFERROR(__xludf.DUMMYFUNCTION("""COMPUTED_VALUE"""),8.0)</f>
        <v>8</v>
      </c>
      <c r="B489" s="98">
        <f>IFERROR(__xludf.DUMMYFUNCTION("""COMPUTED_VALUE"""),44113.0)</f>
        <v>44113</v>
      </c>
      <c r="C489" s="96" t="str">
        <f>IFERROR(__xludf.DUMMYFUNCTION("""COMPUTED_VALUE"""),"PRINNESS")</f>
        <v>PRINNESS</v>
      </c>
      <c r="D489" s="96" t="str">
        <f>IFERROR(__xludf.DUMMYFUNCTION("""COMPUTED_VALUE"""),"PRINNESS8")</f>
        <v>PRINNESS8</v>
      </c>
      <c r="E489" s="96"/>
      <c r="F489" s="96"/>
      <c r="G489" s="96"/>
      <c r="H489" s="96"/>
      <c r="I489" s="96"/>
      <c r="J489" s="96"/>
      <c r="K489" s="96">
        <f>IFERROR(__xludf.DUMMYFUNCTION("""COMPUTED_VALUE"""),400000.0)</f>
        <v>400000</v>
      </c>
      <c r="L489" s="99">
        <f>IFERROR(__xludf.DUMMYFUNCTION("""COMPUTED_VALUE"""),400000.0)</f>
        <v>400000</v>
      </c>
      <c r="M489" s="96"/>
      <c r="N489" s="96">
        <f>IFERROR(__xludf.DUMMYFUNCTION("""COMPUTED_VALUE"""),0.0)</f>
        <v>0</v>
      </c>
      <c r="O489" s="96">
        <f>IFERROR(__xludf.DUMMYFUNCTION("""COMPUTED_VALUE"""),0.0)</f>
        <v>0</v>
      </c>
      <c r="P489" s="96">
        <f>IFERROR(__xludf.DUMMYFUNCTION("""COMPUTED_VALUE"""),0.0)</f>
        <v>0</v>
      </c>
      <c r="Q489" s="129">
        <f>IFERROR(__xludf.DUMMYFUNCTION("""COMPUTED_VALUE"""),0.0)</f>
        <v>0</v>
      </c>
      <c r="R489" s="99"/>
      <c r="S489" s="99">
        <f>IFERROR(__xludf.DUMMYFUNCTION("""COMPUTED_VALUE"""),1214980.0)</f>
        <v>1214980</v>
      </c>
    </row>
    <row r="490">
      <c r="A490" s="96">
        <f>IFERROR(__xludf.DUMMYFUNCTION("""COMPUTED_VALUE"""),20.0)</f>
        <v>20</v>
      </c>
      <c r="B490" s="98">
        <f>IFERROR(__xludf.DUMMYFUNCTION("""COMPUTED_VALUE"""),44113.0)</f>
        <v>44113</v>
      </c>
      <c r="C490" s="96" t="str">
        <f>IFERROR(__xludf.DUMMYFUNCTION("""COMPUTED_VALUE"""),"LIVINUS")</f>
        <v>LIVINUS</v>
      </c>
      <c r="D490" s="96" t="str">
        <f>IFERROR(__xludf.DUMMYFUNCTION("""COMPUTED_VALUE"""),"LIVINUS20")</f>
        <v>LIVINUS20</v>
      </c>
      <c r="E490" s="96"/>
      <c r="F490" s="96"/>
      <c r="G490" s="96"/>
      <c r="H490" s="96"/>
      <c r="I490" s="96"/>
      <c r="J490" s="96"/>
      <c r="K490" s="96">
        <f>IFERROR(__xludf.DUMMYFUNCTION("""COMPUTED_VALUE"""),300000.0)</f>
        <v>300000</v>
      </c>
      <c r="L490" s="99">
        <f>IFERROR(__xludf.DUMMYFUNCTION("""COMPUTED_VALUE"""),300000.0)</f>
        <v>300000</v>
      </c>
      <c r="M490" s="96"/>
      <c r="N490" s="96">
        <f>IFERROR(__xludf.DUMMYFUNCTION("""COMPUTED_VALUE"""),0.0)</f>
        <v>0</v>
      </c>
      <c r="O490" s="96">
        <f>IFERROR(__xludf.DUMMYFUNCTION("""COMPUTED_VALUE"""),0.0)</f>
        <v>0</v>
      </c>
      <c r="P490" s="96">
        <f>IFERROR(__xludf.DUMMYFUNCTION("""COMPUTED_VALUE"""),0.0)</f>
        <v>0</v>
      </c>
      <c r="Q490" s="129">
        <f>IFERROR(__xludf.DUMMYFUNCTION("""COMPUTED_VALUE"""),0.0)</f>
        <v>0</v>
      </c>
      <c r="R490" s="99"/>
      <c r="S490" s="99">
        <f>IFERROR(__xludf.DUMMYFUNCTION("""COMPUTED_VALUE"""),1.17015E7)</f>
        <v>11701500</v>
      </c>
    </row>
    <row r="491">
      <c r="A491" s="96">
        <f>IFERROR(__xludf.DUMMYFUNCTION("""COMPUTED_VALUE"""),6.0)</f>
        <v>6</v>
      </c>
      <c r="B491" s="98">
        <f>IFERROR(__xludf.DUMMYFUNCTION("""COMPUTED_VALUE"""),44113.0)</f>
        <v>44113</v>
      </c>
      <c r="C491" s="96" t="str">
        <f>IFERROR(__xludf.DUMMYFUNCTION("""COMPUTED_VALUE"""),"NDOMA PRIN")</f>
        <v>NDOMA PRIN</v>
      </c>
      <c r="D491" s="96" t="str">
        <f>IFERROR(__xludf.DUMMYFUNCTION("""COMPUTED_VALUE"""),"NDOMA PRIN6")</f>
        <v>NDOMA PRIN6</v>
      </c>
      <c r="E491" s="96"/>
      <c r="F491" s="96"/>
      <c r="G491" s="96"/>
      <c r="H491" s="96"/>
      <c r="I491" s="96"/>
      <c r="J491" s="96"/>
      <c r="K491" s="96">
        <f>IFERROR(__xludf.DUMMYFUNCTION("""COMPUTED_VALUE"""),300000.0)</f>
        <v>300000</v>
      </c>
      <c r="L491" s="99">
        <f>IFERROR(__xludf.DUMMYFUNCTION("""COMPUTED_VALUE"""),300000.0)</f>
        <v>300000</v>
      </c>
      <c r="M491" s="96"/>
      <c r="N491" s="96">
        <f>IFERROR(__xludf.DUMMYFUNCTION("""COMPUTED_VALUE"""),0.0)</f>
        <v>0</v>
      </c>
      <c r="O491" s="96">
        <f>IFERROR(__xludf.DUMMYFUNCTION("""COMPUTED_VALUE"""),0.0)</f>
        <v>0</v>
      </c>
      <c r="P491" s="96">
        <f>IFERROR(__xludf.DUMMYFUNCTION("""COMPUTED_VALUE"""),0.0)</f>
        <v>0</v>
      </c>
      <c r="Q491" s="129">
        <f>IFERROR(__xludf.DUMMYFUNCTION("""COMPUTED_VALUE"""),0.0)</f>
        <v>0</v>
      </c>
      <c r="R491" s="99"/>
      <c r="S491" s="99">
        <f>IFERROR(__xludf.DUMMYFUNCTION("""COMPUTED_VALUE"""),1175900.0)</f>
        <v>1175900</v>
      </c>
    </row>
    <row r="492">
      <c r="A492" s="96">
        <f>IFERROR(__xludf.DUMMYFUNCTION("""COMPUTED_VALUE"""),21.0)</f>
        <v>21</v>
      </c>
      <c r="B492" s="98">
        <f>IFERROR(__xludf.DUMMYFUNCTION("""COMPUTED_VALUE"""),44113.0)</f>
        <v>44113</v>
      </c>
      <c r="C492" s="96" t="str">
        <f>IFERROR(__xludf.DUMMYFUNCTION("""COMPUTED_VALUE"""),"BOSURU  BOSURU")</f>
        <v>BOSURU  BOSURU</v>
      </c>
      <c r="D492" s="96" t="str">
        <f>IFERROR(__xludf.DUMMYFUNCTION("""COMPUTED_VALUE"""),"BOSURU  BOSURU21")</f>
        <v>BOSURU  BOSURU21</v>
      </c>
      <c r="E492" s="96"/>
      <c r="F492" s="96"/>
      <c r="G492" s="96"/>
      <c r="H492" s="96"/>
      <c r="I492" s="96"/>
      <c r="J492" s="96"/>
      <c r="K492" s="96">
        <f>IFERROR(__xludf.DUMMYFUNCTION("""COMPUTED_VALUE"""),250000.0)</f>
        <v>250000</v>
      </c>
      <c r="L492" s="99">
        <f>IFERROR(__xludf.DUMMYFUNCTION("""COMPUTED_VALUE"""),250000.0)</f>
        <v>250000</v>
      </c>
      <c r="M492" s="96"/>
      <c r="N492" s="96">
        <f>IFERROR(__xludf.DUMMYFUNCTION("""COMPUTED_VALUE"""),0.0)</f>
        <v>0</v>
      </c>
      <c r="O492" s="96">
        <f>IFERROR(__xludf.DUMMYFUNCTION("""COMPUTED_VALUE"""),0.0)</f>
        <v>0</v>
      </c>
      <c r="P492" s="96">
        <f>IFERROR(__xludf.DUMMYFUNCTION("""COMPUTED_VALUE"""),0.0)</f>
        <v>0</v>
      </c>
      <c r="Q492" s="129">
        <f>IFERROR(__xludf.DUMMYFUNCTION("""COMPUTED_VALUE"""),0.0)</f>
        <v>0</v>
      </c>
      <c r="R492" s="99"/>
      <c r="S492" s="99">
        <f>IFERROR(__xludf.DUMMYFUNCTION("""COMPUTED_VALUE"""),3117700.0)</f>
        <v>3117700</v>
      </c>
    </row>
    <row r="493">
      <c r="A493" s="96">
        <f>IFERROR(__xludf.DUMMYFUNCTION("""COMPUTED_VALUE"""),1.0)</f>
        <v>1</v>
      </c>
      <c r="B493" s="98">
        <f>IFERROR(__xludf.DUMMYFUNCTION("""COMPUTED_VALUE"""),44113.0)</f>
        <v>44113</v>
      </c>
      <c r="C493" s="96" t="str">
        <f>IFERROR(__xludf.DUMMYFUNCTION("""COMPUTED_VALUE"""),"MATIAT Y")</f>
        <v>MATIAT Y</v>
      </c>
      <c r="D493" s="96" t="str">
        <f>IFERROR(__xludf.DUMMYFUNCTION("""COMPUTED_VALUE"""),"MATIAT Y1")</f>
        <v>MATIAT Y1</v>
      </c>
      <c r="E493" s="96"/>
      <c r="F493" s="96"/>
      <c r="G493" s="96"/>
      <c r="H493" s="96"/>
      <c r="I493" s="96"/>
      <c r="J493" s="96"/>
      <c r="K493" s="96">
        <f>IFERROR(__xludf.DUMMYFUNCTION("""COMPUTED_VALUE"""),1200000.0)</f>
        <v>1200000</v>
      </c>
      <c r="L493" s="99">
        <f>IFERROR(__xludf.DUMMYFUNCTION("""COMPUTED_VALUE"""),1200000.0)</f>
        <v>1200000</v>
      </c>
      <c r="M493" s="96"/>
      <c r="N493" s="96">
        <f>IFERROR(__xludf.DUMMYFUNCTION("""COMPUTED_VALUE"""),0.0)</f>
        <v>0</v>
      </c>
      <c r="O493" s="96">
        <f>IFERROR(__xludf.DUMMYFUNCTION("""COMPUTED_VALUE"""),0.0)</f>
        <v>0</v>
      </c>
      <c r="P493" s="96">
        <f>IFERROR(__xludf.DUMMYFUNCTION("""COMPUTED_VALUE"""),0.0)</f>
        <v>0</v>
      </c>
      <c r="Q493" s="129">
        <f>IFERROR(__xludf.DUMMYFUNCTION("""COMPUTED_VALUE"""),0.0)</f>
        <v>0</v>
      </c>
      <c r="R493" s="99"/>
      <c r="S493" s="99">
        <f>IFERROR(__xludf.DUMMYFUNCTION("""COMPUTED_VALUE"""),1200000.0)</f>
        <v>1200000</v>
      </c>
    </row>
    <row r="494">
      <c r="A494" s="96">
        <f>IFERROR(__xludf.DUMMYFUNCTION("""COMPUTED_VALUE"""),13.0)</f>
        <v>13</v>
      </c>
      <c r="B494" s="98">
        <f>IFERROR(__xludf.DUMMYFUNCTION("""COMPUTED_VALUE"""),44113.0)</f>
        <v>44113</v>
      </c>
      <c r="C494" s="96" t="str">
        <f>IFERROR(__xludf.DUMMYFUNCTION("""COMPUTED_VALUE"""),"ALFRED ALABI")</f>
        <v>ALFRED ALABI</v>
      </c>
      <c r="D494" s="96" t="str">
        <f>IFERROR(__xludf.DUMMYFUNCTION("""COMPUTED_VALUE"""),"ALFRED ALABI13")</f>
        <v>ALFRED ALABI13</v>
      </c>
      <c r="E494" s="96"/>
      <c r="F494" s="96"/>
      <c r="G494" s="96"/>
      <c r="H494" s="96"/>
      <c r="I494" s="96"/>
      <c r="J494" s="96"/>
      <c r="K494" s="96">
        <f>IFERROR(__xludf.DUMMYFUNCTION("""COMPUTED_VALUE"""),6000.0)</f>
        <v>6000</v>
      </c>
      <c r="L494" s="99">
        <f>IFERROR(__xludf.DUMMYFUNCTION("""COMPUTED_VALUE"""),6000.0)</f>
        <v>6000</v>
      </c>
      <c r="M494" s="96"/>
      <c r="N494" s="96">
        <f>IFERROR(__xludf.DUMMYFUNCTION("""COMPUTED_VALUE"""),0.0)</f>
        <v>0</v>
      </c>
      <c r="O494" s="96">
        <f>IFERROR(__xludf.DUMMYFUNCTION("""COMPUTED_VALUE"""),0.0)</f>
        <v>0</v>
      </c>
      <c r="P494" s="96">
        <f>IFERROR(__xludf.DUMMYFUNCTION("""COMPUTED_VALUE"""),0.0)</f>
        <v>0</v>
      </c>
      <c r="Q494" s="129">
        <f>IFERROR(__xludf.DUMMYFUNCTION("""COMPUTED_VALUE"""),0.0)</f>
        <v>0</v>
      </c>
      <c r="R494" s="99"/>
      <c r="S494" s="99">
        <f>IFERROR(__xludf.DUMMYFUNCTION("""COMPUTED_VALUE"""),1006020.0)</f>
        <v>1006020</v>
      </c>
    </row>
    <row r="495">
      <c r="A495" s="96">
        <f>IFERROR(__xludf.DUMMYFUNCTION("""COMPUTED_VALUE"""),22.0)</f>
        <v>22</v>
      </c>
      <c r="B495" s="98">
        <f>IFERROR(__xludf.DUMMYFUNCTION("""COMPUTED_VALUE"""),44113.0)</f>
        <v>44113</v>
      </c>
      <c r="C495" s="96" t="str">
        <f>IFERROR(__xludf.DUMMYFUNCTION("""COMPUTED_VALUE"""),"BOSURU  BOSURU")</f>
        <v>BOSURU  BOSURU</v>
      </c>
      <c r="D495" s="96" t="str">
        <f>IFERROR(__xludf.DUMMYFUNCTION("""COMPUTED_VALUE"""),"BOSURU  BOSURU22")</f>
        <v>BOSURU  BOSURU22</v>
      </c>
      <c r="E495" s="96"/>
      <c r="F495" s="96"/>
      <c r="G495" s="96"/>
      <c r="H495" s="96"/>
      <c r="I495" s="96"/>
      <c r="J495" s="96"/>
      <c r="K495" s="96">
        <f>IFERROR(__xludf.DUMMYFUNCTION("""COMPUTED_VALUE"""),1661000.0)</f>
        <v>1661000</v>
      </c>
      <c r="L495" s="99">
        <f>IFERROR(__xludf.DUMMYFUNCTION("""COMPUTED_VALUE"""),1661000.0)</f>
        <v>1661000</v>
      </c>
      <c r="M495" s="96"/>
      <c r="N495" s="96">
        <f>IFERROR(__xludf.DUMMYFUNCTION("""COMPUTED_VALUE"""),0.0)</f>
        <v>0</v>
      </c>
      <c r="O495" s="96">
        <f>IFERROR(__xludf.DUMMYFUNCTION("""COMPUTED_VALUE"""),0.0)</f>
        <v>0</v>
      </c>
      <c r="P495" s="96">
        <f>IFERROR(__xludf.DUMMYFUNCTION("""COMPUTED_VALUE"""),0.0)</f>
        <v>0</v>
      </c>
      <c r="Q495" s="129">
        <f>IFERROR(__xludf.DUMMYFUNCTION("""COMPUTED_VALUE"""),0.0)</f>
        <v>0</v>
      </c>
      <c r="R495" s="99"/>
      <c r="S495" s="99">
        <f>IFERROR(__xludf.DUMMYFUNCTION("""COMPUTED_VALUE"""),4778700.0)</f>
        <v>4778700</v>
      </c>
    </row>
    <row r="496">
      <c r="A496" s="96">
        <f>IFERROR(__xludf.DUMMYFUNCTION("""COMPUTED_VALUE"""),1.0)</f>
        <v>1</v>
      </c>
      <c r="B496" s="98">
        <f>IFERROR(__xludf.DUMMYFUNCTION("""COMPUTED_VALUE"""),44113.0)</f>
        <v>44113</v>
      </c>
      <c r="C496" s="96" t="str">
        <f>IFERROR(__xludf.DUMMYFUNCTION("""COMPUTED_VALUE"""),"SAMUEL KEIBO")</f>
        <v>SAMUEL KEIBO</v>
      </c>
      <c r="D496" s="96" t="str">
        <f>IFERROR(__xludf.DUMMYFUNCTION("""COMPUTED_VALUE"""),"SAMUEL KEIBO1")</f>
        <v>SAMUEL KEIBO1</v>
      </c>
      <c r="E496" s="96"/>
      <c r="F496" s="96"/>
      <c r="G496" s="96"/>
      <c r="H496" s="96"/>
      <c r="I496" s="96"/>
      <c r="J496" s="96"/>
      <c r="K496" s="96">
        <f>IFERROR(__xludf.DUMMYFUNCTION("""COMPUTED_VALUE"""),570000.0)</f>
        <v>570000</v>
      </c>
      <c r="L496" s="99">
        <f>IFERROR(__xludf.DUMMYFUNCTION("""COMPUTED_VALUE"""),570000.0)</f>
        <v>570000</v>
      </c>
      <c r="M496" s="96"/>
      <c r="N496" s="96">
        <f>IFERROR(__xludf.DUMMYFUNCTION("""COMPUTED_VALUE"""),0.0)</f>
        <v>0</v>
      </c>
      <c r="O496" s="96">
        <f>IFERROR(__xludf.DUMMYFUNCTION("""COMPUTED_VALUE"""),0.0)</f>
        <v>0</v>
      </c>
      <c r="P496" s="96">
        <f>IFERROR(__xludf.DUMMYFUNCTION("""COMPUTED_VALUE"""),0.0)</f>
        <v>0</v>
      </c>
      <c r="Q496" s="129">
        <f>IFERROR(__xludf.DUMMYFUNCTION("""COMPUTED_VALUE"""),0.0)</f>
        <v>0</v>
      </c>
      <c r="R496" s="99"/>
      <c r="S496" s="99">
        <f>IFERROR(__xludf.DUMMYFUNCTION("""COMPUTED_VALUE"""),570000.0)</f>
        <v>570000</v>
      </c>
    </row>
    <row r="497">
      <c r="A497" s="96">
        <f>IFERROR(__xludf.DUMMYFUNCTION("""COMPUTED_VALUE"""),7.0)</f>
        <v>7</v>
      </c>
      <c r="B497" s="98">
        <f>IFERROR(__xludf.DUMMYFUNCTION("""COMPUTED_VALUE"""),44113.0)</f>
        <v>44113</v>
      </c>
      <c r="C497" s="96" t="str">
        <f>IFERROR(__xludf.DUMMYFUNCTION("""COMPUTED_VALUE"""),"AGEGE BOY")</f>
        <v>AGEGE BOY</v>
      </c>
      <c r="D497" s="96" t="str">
        <f>IFERROR(__xludf.DUMMYFUNCTION("""COMPUTED_VALUE"""),"AGEGE BOY7")</f>
        <v>AGEGE BOY7</v>
      </c>
      <c r="E497" s="96"/>
      <c r="F497" s="96"/>
      <c r="G497" s="96"/>
      <c r="H497" s="96"/>
      <c r="I497" s="96"/>
      <c r="J497" s="96"/>
      <c r="K497" s="96">
        <f>IFERROR(__xludf.DUMMYFUNCTION("""COMPUTED_VALUE"""),1780700.0)</f>
        <v>1780700</v>
      </c>
      <c r="L497" s="99">
        <f>IFERROR(__xludf.DUMMYFUNCTION("""COMPUTED_VALUE"""),1780700.0)</f>
        <v>1780700</v>
      </c>
      <c r="M497" s="96"/>
      <c r="N497" s="96">
        <f>IFERROR(__xludf.DUMMYFUNCTION("""COMPUTED_VALUE"""),0.0)</f>
        <v>0</v>
      </c>
      <c r="O497" s="96">
        <f>IFERROR(__xludf.DUMMYFUNCTION("""COMPUTED_VALUE"""),0.0)</f>
        <v>0</v>
      </c>
      <c r="P497" s="96">
        <f>IFERROR(__xludf.DUMMYFUNCTION("""COMPUTED_VALUE"""),0.0)</f>
        <v>0</v>
      </c>
      <c r="Q497" s="129">
        <f>IFERROR(__xludf.DUMMYFUNCTION("""COMPUTED_VALUE"""),0.0)</f>
        <v>0</v>
      </c>
      <c r="R497" s="99"/>
      <c r="S497" s="99">
        <f>IFERROR(__xludf.DUMMYFUNCTION("""COMPUTED_VALUE"""),2440580.0)</f>
        <v>2440580</v>
      </c>
    </row>
    <row r="498">
      <c r="A498" s="96">
        <f>IFERROR(__xludf.DUMMYFUNCTION("""COMPUTED_VALUE"""),15.0)</f>
        <v>15</v>
      </c>
      <c r="B498" s="98">
        <f>IFERROR(__xludf.DUMMYFUNCTION("""COMPUTED_VALUE"""),44114.0)</f>
        <v>44114</v>
      </c>
      <c r="C498" s="96" t="str">
        <f>IFERROR(__xludf.DUMMYFUNCTION("""COMPUTED_VALUE"""),"OTU KOKO KEIBO")</f>
        <v>OTU KOKO KEIBO</v>
      </c>
      <c r="D498" s="96" t="str">
        <f>IFERROR(__xludf.DUMMYFUNCTION("""COMPUTED_VALUE"""),"OTU KOKO KEIBO15")</f>
        <v>OTU KOKO KEIBO15</v>
      </c>
      <c r="E498" s="96"/>
      <c r="F498" s="96"/>
      <c r="G498" s="96"/>
      <c r="H498" s="96"/>
      <c r="I498" s="96"/>
      <c r="J498" s="96"/>
      <c r="K498" s="96">
        <f>IFERROR(__xludf.DUMMYFUNCTION("""COMPUTED_VALUE"""),800000.0)</f>
        <v>800000</v>
      </c>
      <c r="L498" s="99">
        <f>IFERROR(__xludf.DUMMYFUNCTION("""COMPUTED_VALUE"""),800000.0)</f>
        <v>800000</v>
      </c>
      <c r="M498" s="96"/>
      <c r="N498" s="96">
        <f>IFERROR(__xludf.DUMMYFUNCTION("""COMPUTED_VALUE"""),0.0)</f>
        <v>0</v>
      </c>
      <c r="O498" s="96">
        <f>IFERROR(__xludf.DUMMYFUNCTION("""COMPUTED_VALUE"""),0.0)</f>
        <v>0</v>
      </c>
      <c r="P498" s="96">
        <f>IFERROR(__xludf.DUMMYFUNCTION("""COMPUTED_VALUE"""),0.0)</f>
        <v>0</v>
      </c>
      <c r="Q498" s="129">
        <f>IFERROR(__xludf.DUMMYFUNCTION("""COMPUTED_VALUE"""),0.0)</f>
        <v>0</v>
      </c>
      <c r="R498" s="99"/>
      <c r="S498" s="99">
        <f>IFERROR(__xludf.DUMMYFUNCTION("""COMPUTED_VALUE"""),2.9064425E7)</f>
        <v>29064425</v>
      </c>
    </row>
    <row r="499">
      <c r="A499" s="96">
        <f>IFERROR(__xludf.DUMMYFUNCTION("""COMPUTED_VALUE"""),16.0)</f>
        <v>16</v>
      </c>
      <c r="B499" s="98">
        <f>IFERROR(__xludf.DUMMYFUNCTION("""COMPUTED_VALUE"""),44114.0)</f>
        <v>44114</v>
      </c>
      <c r="C499" s="96" t="str">
        <f>IFERROR(__xludf.DUMMYFUNCTION("""COMPUTED_VALUE"""),"OTU KOKO KEIBO")</f>
        <v>OTU KOKO KEIBO</v>
      </c>
      <c r="D499" s="96" t="str">
        <f>IFERROR(__xludf.DUMMYFUNCTION("""COMPUTED_VALUE"""),"OTU KOKO KEIBO16")</f>
        <v>OTU KOKO KEIBO16</v>
      </c>
      <c r="E499" s="96"/>
      <c r="F499" s="96"/>
      <c r="G499" s="96"/>
      <c r="H499" s="96"/>
      <c r="I499" s="96"/>
      <c r="J499" s="96"/>
      <c r="K499" s="96">
        <f>IFERROR(__xludf.DUMMYFUNCTION("""COMPUTED_VALUE"""),800000.0)</f>
        <v>800000</v>
      </c>
      <c r="L499" s="99">
        <f>IFERROR(__xludf.DUMMYFUNCTION("""COMPUTED_VALUE"""),800000.0)</f>
        <v>800000</v>
      </c>
      <c r="M499" s="96"/>
      <c r="N499" s="96">
        <f>IFERROR(__xludf.DUMMYFUNCTION("""COMPUTED_VALUE"""),0.0)</f>
        <v>0</v>
      </c>
      <c r="O499" s="96">
        <f>IFERROR(__xludf.DUMMYFUNCTION("""COMPUTED_VALUE"""),0.0)</f>
        <v>0</v>
      </c>
      <c r="P499" s="96">
        <f>IFERROR(__xludf.DUMMYFUNCTION("""COMPUTED_VALUE"""),0.0)</f>
        <v>0</v>
      </c>
      <c r="Q499" s="129">
        <f>IFERROR(__xludf.DUMMYFUNCTION("""COMPUTED_VALUE"""),0.0)</f>
        <v>0</v>
      </c>
      <c r="R499" s="99"/>
      <c r="S499" s="99">
        <f>IFERROR(__xludf.DUMMYFUNCTION("""COMPUTED_VALUE"""),2.9864425E7)</f>
        <v>29864425</v>
      </c>
    </row>
    <row r="500">
      <c r="A500" s="96">
        <f>IFERROR(__xludf.DUMMYFUNCTION("""COMPUTED_VALUE"""),6.0)</f>
        <v>6</v>
      </c>
      <c r="B500" s="98">
        <f>IFERROR(__xludf.DUMMYFUNCTION("""COMPUTED_VALUE"""),44114.0)</f>
        <v>44114</v>
      </c>
      <c r="C500" s="96" t="str">
        <f>IFERROR(__xludf.DUMMYFUNCTION("""COMPUTED_VALUE"""),"R.  MAXWELL AGRO")</f>
        <v>R.  MAXWELL AGRO</v>
      </c>
      <c r="D500" s="96" t="str">
        <f>IFERROR(__xludf.DUMMYFUNCTION("""COMPUTED_VALUE"""),"R.  MAXWELL AGRO6")</f>
        <v>R.  MAXWELL AGRO6</v>
      </c>
      <c r="E500" s="96"/>
      <c r="F500" s="96"/>
      <c r="G500" s="96"/>
      <c r="H500" s="96"/>
      <c r="I500" s="96"/>
      <c r="J500" s="96"/>
      <c r="K500" s="96">
        <f>IFERROR(__xludf.DUMMYFUNCTION("""COMPUTED_VALUE"""),12000.0)</f>
        <v>12000</v>
      </c>
      <c r="L500" s="99">
        <f>IFERROR(__xludf.DUMMYFUNCTION("""COMPUTED_VALUE"""),12000.0)</f>
        <v>12000</v>
      </c>
      <c r="M500" s="96"/>
      <c r="N500" s="96">
        <f>IFERROR(__xludf.DUMMYFUNCTION("""COMPUTED_VALUE"""),0.0)</f>
        <v>0</v>
      </c>
      <c r="O500" s="96">
        <f>IFERROR(__xludf.DUMMYFUNCTION("""COMPUTED_VALUE"""),0.0)</f>
        <v>0</v>
      </c>
      <c r="P500" s="96">
        <f>IFERROR(__xludf.DUMMYFUNCTION("""COMPUTED_VALUE"""),0.0)</f>
        <v>0</v>
      </c>
      <c r="Q500" s="129">
        <f>IFERROR(__xludf.DUMMYFUNCTION("""COMPUTED_VALUE"""),0.0)</f>
        <v>0</v>
      </c>
      <c r="R500" s="99"/>
      <c r="S500" s="99">
        <f>IFERROR(__xludf.DUMMYFUNCTION("""COMPUTED_VALUE"""),2.0587E7)</f>
        <v>20587000</v>
      </c>
    </row>
    <row r="501">
      <c r="A501" s="96">
        <f>IFERROR(__xludf.DUMMYFUNCTION("""COMPUTED_VALUE"""),17.0)</f>
        <v>17</v>
      </c>
      <c r="B501" s="98">
        <f>IFERROR(__xludf.DUMMYFUNCTION("""COMPUTED_VALUE"""),44114.0)</f>
        <v>44114</v>
      </c>
      <c r="C501" s="96" t="str">
        <f>IFERROR(__xludf.DUMMYFUNCTION("""COMPUTED_VALUE"""),"OTU KOKO KEIBO")</f>
        <v>OTU KOKO KEIBO</v>
      </c>
      <c r="D501" s="96" t="str">
        <f>IFERROR(__xludf.DUMMYFUNCTION("""COMPUTED_VALUE"""),"OTU KOKO KEIBO17")</f>
        <v>OTU KOKO KEIBO17</v>
      </c>
      <c r="E501" s="96"/>
      <c r="F501" s="96"/>
      <c r="G501" s="96"/>
      <c r="H501" s="96"/>
      <c r="I501" s="96"/>
      <c r="J501" s="96"/>
      <c r="K501" s="96">
        <f>IFERROR(__xludf.DUMMYFUNCTION("""COMPUTED_VALUE"""),800000.0)</f>
        <v>800000</v>
      </c>
      <c r="L501" s="99">
        <f>IFERROR(__xludf.DUMMYFUNCTION("""COMPUTED_VALUE"""),800000.0)</f>
        <v>800000</v>
      </c>
      <c r="M501" s="96"/>
      <c r="N501" s="96">
        <f>IFERROR(__xludf.DUMMYFUNCTION("""COMPUTED_VALUE"""),0.0)</f>
        <v>0</v>
      </c>
      <c r="O501" s="96">
        <f>IFERROR(__xludf.DUMMYFUNCTION("""COMPUTED_VALUE"""),0.0)</f>
        <v>0</v>
      </c>
      <c r="P501" s="96">
        <f>IFERROR(__xludf.DUMMYFUNCTION("""COMPUTED_VALUE"""),0.0)</f>
        <v>0</v>
      </c>
      <c r="Q501" s="129">
        <f>IFERROR(__xludf.DUMMYFUNCTION("""COMPUTED_VALUE"""),0.0)</f>
        <v>0</v>
      </c>
      <c r="R501" s="99"/>
      <c r="S501" s="99">
        <f>IFERROR(__xludf.DUMMYFUNCTION("""COMPUTED_VALUE"""),3.0664425E7)</f>
        <v>30664425</v>
      </c>
    </row>
    <row r="502">
      <c r="A502" s="96">
        <f>IFERROR(__xludf.DUMMYFUNCTION("""COMPUTED_VALUE"""),2.0)</f>
        <v>2</v>
      </c>
      <c r="B502" s="98">
        <f>IFERROR(__xludf.DUMMYFUNCTION("""COMPUTED_VALUE"""),44114.0)</f>
        <v>44114</v>
      </c>
      <c r="C502" s="96" t="str">
        <f>IFERROR(__xludf.DUMMYFUNCTION("""COMPUTED_VALUE"""),"NELSON &amp; PALUS")</f>
        <v>NELSON &amp; PALUS</v>
      </c>
      <c r="D502" s="96" t="str">
        <f>IFERROR(__xludf.DUMMYFUNCTION("""COMPUTED_VALUE"""),"NELSON &amp; PALUS2")</f>
        <v>NELSON &amp; PALUS2</v>
      </c>
      <c r="E502" s="96"/>
      <c r="F502" s="96"/>
      <c r="G502" s="96"/>
      <c r="H502" s="96"/>
      <c r="I502" s="96"/>
      <c r="J502" s="96"/>
      <c r="K502" s="96">
        <f>IFERROR(__xludf.DUMMYFUNCTION("""COMPUTED_VALUE"""),12000.0)</f>
        <v>12000</v>
      </c>
      <c r="L502" s="99">
        <f>IFERROR(__xludf.DUMMYFUNCTION("""COMPUTED_VALUE"""),12000.0)</f>
        <v>12000</v>
      </c>
      <c r="M502" s="96"/>
      <c r="N502" s="96">
        <f>IFERROR(__xludf.DUMMYFUNCTION("""COMPUTED_VALUE"""),0.0)</f>
        <v>0</v>
      </c>
      <c r="O502" s="96">
        <f>IFERROR(__xludf.DUMMYFUNCTION("""COMPUTED_VALUE"""),0.0)</f>
        <v>0</v>
      </c>
      <c r="P502" s="96">
        <f>IFERROR(__xludf.DUMMYFUNCTION("""COMPUTED_VALUE"""),0.0)</f>
        <v>0</v>
      </c>
      <c r="Q502" s="129">
        <f>IFERROR(__xludf.DUMMYFUNCTION("""COMPUTED_VALUE"""),0.0)</f>
        <v>0</v>
      </c>
      <c r="R502" s="99"/>
      <c r="S502" s="99">
        <f>IFERROR(__xludf.DUMMYFUNCTION("""COMPUTED_VALUE"""),35000.0)</f>
        <v>35000</v>
      </c>
    </row>
    <row r="503">
      <c r="A503" s="96">
        <f>IFERROR(__xludf.DUMMYFUNCTION("""COMPUTED_VALUE"""),16.0)</f>
        <v>16</v>
      </c>
      <c r="B503" s="98">
        <f>IFERROR(__xludf.DUMMYFUNCTION("""COMPUTED_VALUE"""),44109.0)</f>
        <v>44109</v>
      </c>
      <c r="C503" s="96" t="str">
        <f>IFERROR(__xludf.DUMMYFUNCTION("""COMPUTED_VALUE"""),"ANDRDEW GREAT")</f>
        <v>ANDRDEW GREAT</v>
      </c>
      <c r="D503" s="96" t="str">
        <f>IFERROR(__xludf.DUMMYFUNCTION("""COMPUTED_VALUE"""),"ANDRDEW GREAT16")</f>
        <v>ANDRDEW GREAT16</v>
      </c>
      <c r="E503" s="96">
        <f>IFERROR(__xludf.DUMMYFUNCTION("""COMPUTED_VALUE"""),2220.0)</f>
        <v>2220</v>
      </c>
      <c r="F503" s="96">
        <f>IFERROR(__xludf.DUMMYFUNCTION("""COMPUTED_VALUE"""),331.0)</f>
        <v>331</v>
      </c>
      <c r="G503" s="96"/>
      <c r="H503" s="96">
        <f>IFERROR(__xludf.DUMMYFUNCTION("""COMPUTED_VALUE"""),32.0)</f>
        <v>32</v>
      </c>
      <c r="I503" s="96"/>
      <c r="J503" s="96">
        <f>IFERROR(__xludf.DUMMYFUNCTION("""COMPUTED_VALUE"""),946.6)</f>
        <v>946.6</v>
      </c>
      <c r="K503" s="96"/>
      <c r="L503" s="99">
        <f>IFERROR(__xludf.DUMMYFUNCTION("""COMPUTED_VALUE"""),-2022890.0)</f>
        <v>-2022890</v>
      </c>
      <c r="M503" s="96">
        <f>IFERROR(__xludf.DUMMYFUNCTION("""COMPUTED_VALUE"""),10.34)</f>
        <v>10.34</v>
      </c>
      <c r="N503" s="96">
        <f>IFERROR(__xludf.DUMMYFUNCTION("""COMPUTED_VALUE"""),51.0)</f>
        <v>51</v>
      </c>
      <c r="O503" s="96">
        <f>IFERROR(__xludf.DUMMYFUNCTION("""COMPUTED_VALUE"""),33.0)</f>
        <v>33</v>
      </c>
      <c r="P503" s="96">
        <f>IFERROR(__xludf.DUMMYFUNCTION("""COMPUTED_VALUE"""),57.0)</f>
        <v>57</v>
      </c>
      <c r="Q503" s="129">
        <f>IFERROR(__xludf.DUMMYFUNCTION("""COMPUTED_VALUE"""),2137.0)</f>
        <v>2137</v>
      </c>
      <c r="R503" s="99">
        <f>IFERROR(__xludf.DUMMYFUNCTION("""COMPUTED_VALUE"""),2022890.0)</f>
        <v>2022890</v>
      </c>
      <c r="S503" s="99">
        <f>IFERROR(__xludf.DUMMYFUNCTION("""COMPUTED_VALUE"""),1683970.0)</f>
        <v>1683970</v>
      </c>
    </row>
    <row r="504">
      <c r="A504" s="96">
        <f>IFERROR(__xludf.DUMMYFUNCTION("""COMPUTED_VALUE"""),23.0)</f>
        <v>23</v>
      </c>
      <c r="B504" s="98">
        <f>IFERROR(__xludf.DUMMYFUNCTION("""COMPUTED_VALUE"""),44107.0)</f>
        <v>44107</v>
      </c>
      <c r="C504" s="96" t="str">
        <f>IFERROR(__xludf.DUMMYFUNCTION("""COMPUTED_VALUE"""),"BOSURU  BOSURU")</f>
        <v>BOSURU  BOSURU</v>
      </c>
      <c r="D504" s="96" t="str">
        <f>IFERROR(__xludf.DUMMYFUNCTION("""COMPUTED_VALUE"""),"BOSURU  BOSURU23")</f>
        <v>BOSURU  BOSURU23</v>
      </c>
      <c r="E504" s="96">
        <f>IFERROR(__xludf.DUMMYFUNCTION("""COMPUTED_VALUE"""),2253.0)</f>
        <v>2253</v>
      </c>
      <c r="F504" s="96">
        <f>IFERROR(__xludf.DUMMYFUNCTION("""COMPUTED_VALUE"""),278.0)</f>
        <v>278</v>
      </c>
      <c r="G504" s="96"/>
      <c r="H504" s="96">
        <f>IFERROR(__xludf.DUMMYFUNCTION("""COMPUTED_VALUE"""),28.0)</f>
        <v>28</v>
      </c>
      <c r="I504" s="96"/>
      <c r="J504" s="96">
        <f>IFERROR(__xludf.DUMMYFUNCTION("""COMPUTED_VALUE"""),1334.3)</f>
        <v>1334.3</v>
      </c>
      <c r="K504" s="96"/>
      <c r="L504" s="99">
        <f>IFERROR(__xludf.DUMMYFUNCTION("""COMPUTED_VALUE"""),-2911450.0)</f>
        <v>-2911450</v>
      </c>
      <c r="M504" s="96">
        <f>IFERROR(__xludf.DUMMYFUNCTION("""COMPUTED_VALUE"""),9.93)</f>
        <v>9.93</v>
      </c>
      <c r="N504" s="96">
        <f>IFERROR(__xludf.DUMMYFUNCTION("""COMPUTED_VALUE"""),43.0)</f>
        <v>43</v>
      </c>
      <c r="O504" s="96">
        <f>IFERROR(__xludf.DUMMYFUNCTION("""COMPUTED_VALUE"""),34.0)</f>
        <v>34</v>
      </c>
      <c r="P504" s="96">
        <f>IFERROR(__xludf.DUMMYFUNCTION("""COMPUTED_VALUE"""),39.0)</f>
        <v>39</v>
      </c>
      <c r="Q504" s="129">
        <f>IFERROR(__xludf.DUMMYFUNCTION("""COMPUTED_VALUE"""),2182.0)</f>
        <v>2182</v>
      </c>
      <c r="R504" s="99">
        <f>IFERROR(__xludf.DUMMYFUNCTION("""COMPUTED_VALUE"""),2911450.0)</f>
        <v>2911450</v>
      </c>
      <c r="S504" s="99">
        <f>IFERROR(__xludf.DUMMYFUNCTION("""COMPUTED_VALUE"""),1867250.0)</f>
        <v>1867250</v>
      </c>
    </row>
    <row r="505">
      <c r="A505" s="96">
        <f>IFERROR(__xludf.DUMMYFUNCTION("""COMPUTED_VALUE"""),5.0)</f>
        <v>5</v>
      </c>
      <c r="B505" s="98">
        <f>IFERROR(__xludf.DUMMYFUNCTION("""COMPUTED_VALUE"""),44112.0)</f>
        <v>44112</v>
      </c>
      <c r="C505" s="96" t="str">
        <f>IFERROR(__xludf.DUMMYFUNCTION("""COMPUTED_VALUE"""),"CHINWE CHIDI")</f>
        <v>CHINWE CHIDI</v>
      </c>
      <c r="D505" s="96" t="str">
        <f>IFERROR(__xludf.DUMMYFUNCTION("""COMPUTED_VALUE"""),"CHINWE CHIDI5")</f>
        <v>CHINWE CHIDI5</v>
      </c>
      <c r="E505" s="96">
        <f>IFERROR(__xludf.DUMMYFUNCTION("""COMPUTED_VALUE"""),1553.0)</f>
        <v>1553</v>
      </c>
      <c r="F505" s="96">
        <f>IFERROR(__xludf.DUMMYFUNCTION("""COMPUTED_VALUE"""),206.5)</f>
        <v>206.5</v>
      </c>
      <c r="G505" s="96"/>
      <c r="H505" s="96">
        <f>IFERROR(__xludf.DUMMYFUNCTION("""COMPUTED_VALUE"""),19.0)</f>
        <v>19</v>
      </c>
      <c r="I505" s="96"/>
      <c r="J505" s="96">
        <f>IFERROR(__xludf.DUMMYFUNCTION("""COMPUTED_VALUE"""),965.97)</f>
        <v>965.97</v>
      </c>
      <c r="K505" s="96"/>
      <c r="L505" s="99">
        <f>IFERROR(__xludf.DUMMYFUNCTION("""COMPUTED_VALUE"""),-1439300.0)</f>
        <v>-1439300</v>
      </c>
      <c r="M505" s="96">
        <f>IFERROR(__xludf.DUMMYFUNCTION("""COMPUTED_VALUE"""),10.87)</f>
        <v>10.87</v>
      </c>
      <c r="N505" s="96">
        <f>IFERROR(__xludf.DUMMYFUNCTION("""COMPUTED_VALUE"""),44.0)</f>
        <v>44</v>
      </c>
      <c r="O505" s="96">
        <f>IFERROR(__xludf.DUMMYFUNCTION("""COMPUTED_VALUE"""),23.0)</f>
        <v>23</v>
      </c>
      <c r="P505" s="96">
        <f>IFERROR(__xludf.DUMMYFUNCTION("""COMPUTED_VALUE"""),41.0)</f>
        <v>41</v>
      </c>
      <c r="Q505" s="129">
        <f>IFERROR(__xludf.DUMMYFUNCTION("""COMPUTED_VALUE"""),1490.0)</f>
        <v>1490</v>
      </c>
      <c r="R505" s="99">
        <f>IFERROR(__xludf.DUMMYFUNCTION("""COMPUTED_VALUE"""),1439300.0)</f>
        <v>1439300</v>
      </c>
      <c r="S505" s="99">
        <f>IFERROR(__xludf.DUMMYFUNCTION("""COMPUTED_VALUE"""),306000.0)</f>
        <v>306000</v>
      </c>
    </row>
    <row r="506">
      <c r="A506" s="96">
        <f>IFERROR(__xludf.DUMMYFUNCTION("""COMPUTED_VALUE"""),20.0)</f>
        <v>20</v>
      </c>
      <c r="B506" s="98">
        <f>IFERROR(__xludf.DUMMYFUNCTION("""COMPUTED_VALUE"""),44109.0)</f>
        <v>44109</v>
      </c>
      <c r="C506" s="96" t="str">
        <f>IFERROR(__xludf.DUMMYFUNCTION("""COMPUTED_VALUE"""),"ETUK EFFI")</f>
        <v>ETUK EFFI</v>
      </c>
      <c r="D506" s="96" t="str">
        <f>IFERROR(__xludf.DUMMYFUNCTION("""COMPUTED_VALUE"""),"ETUK EFFI20")</f>
        <v>ETUK EFFI20</v>
      </c>
      <c r="E506" s="96">
        <f>IFERROR(__xludf.DUMMYFUNCTION("""COMPUTED_VALUE"""),2661.0)</f>
        <v>2661</v>
      </c>
      <c r="F506" s="96">
        <f>IFERROR(__xludf.DUMMYFUNCTION("""COMPUTED_VALUE"""),320.0)</f>
        <v>320</v>
      </c>
      <c r="G506" s="96"/>
      <c r="H506" s="96">
        <f>IFERROR(__xludf.DUMMYFUNCTION("""COMPUTED_VALUE"""),40.0)</f>
        <v>40</v>
      </c>
      <c r="I506" s="96"/>
      <c r="J506" s="96">
        <f>IFERROR(__xludf.DUMMYFUNCTION("""COMPUTED_VALUE"""),961.47)</f>
        <v>961.47</v>
      </c>
      <c r="K506" s="96"/>
      <c r="L506" s="99">
        <f>IFERROR(__xludf.DUMMYFUNCTION("""COMPUTED_VALUE"""),-2520000.0)</f>
        <v>-2520000</v>
      </c>
      <c r="M506" s="96">
        <f>IFERROR(__xludf.DUMMYFUNCTION("""COMPUTED_VALUE"""),8.0)</f>
        <v>8</v>
      </c>
      <c r="N506" s="96">
        <f>IFERROR(__xludf.DUMMYFUNCTION("""COMPUTED_VALUE"""),0.0)</f>
        <v>0</v>
      </c>
      <c r="O506" s="96">
        <f>IFERROR(__xludf.DUMMYFUNCTION("""COMPUTED_VALUE"""),41.0)</f>
        <v>41</v>
      </c>
      <c r="P506" s="96">
        <f>IFERROR(__xludf.DUMMYFUNCTION("""COMPUTED_VALUE"""),37.0)</f>
        <v>37</v>
      </c>
      <c r="Q506" s="129">
        <f>IFERROR(__xludf.DUMMYFUNCTION("""COMPUTED_VALUE"""),2621.0)</f>
        <v>2621</v>
      </c>
      <c r="R506" s="99">
        <f>IFERROR(__xludf.DUMMYFUNCTION("""COMPUTED_VALUE"""),2520000.0)</f>
        <v>2520000</v>
      </c>
      <c r="S506" s="99">
        <f>IFERROR(__xludf.DUMMYFUNCTION("""COMPUTED_VALUE"""),2900100.0)</f>
        <v>2900100</v>
      </c>
    </row>
    <row r="507">
      <c r="A507" s="96">
        <f>IFERROR(__xludf.DUMMYFUNCTION("""COMPUTED_VALUE"""),8.0)</f>
        <v>8</v>
      </c>
      <c r="B507" s="98">
        <f>IFERROR(__xludf.DUMMYFUNCTION("""COMPUTED_VALUE"""),44113.0)</f>
        <v>44113</v>
      </c>
      <c r="C507" s="96" t="str">
        <f>IFERROR(__xludf.DUMMYFUNCTION("""COMPUTED_VALUE"""),"AGEGE BOY")</f>
        <v>AGEGE BOY</v>
      </c>
      <c r="D507" s="96" t="str">
        <f>IFERROR(__xludf.DUMMYFUNCTION("""COMPUTED_VALUE"""),"AGEGE BOY8")</f>
        <v>AGEGE BOY8</v>
      </c>
      <c r="E507" s="96">
        <f>IFERROR(__xludf.DUMMYFUNCTION("""COMPUTED_VALUE"""),1943.0)</f>
        <v>1943</v>
      </c>
      <c r="F507" s="96">
        <f>IFERROR(__xludf.DUMMYFUNCTION("""COMPUTED_VALUE"""),224.0)</f>
        <v>224</v>
      </c>
      <c r="G507" s="96"/>
      <c r="H507" s="96">
        <f>IFERROR(__xludf.DUMMYFUNCTION("""COMPUTED_VALUE"""),28.0)</f>
        <v>28</v>
      </c>
      <c r="I507" s="96"/>
      <c r="J507" s="96">
        <f>IFERROR(__xludf.DUMMYFUNCTION("""COMPUTED_VALUE"""),929.9)</f>
        <v>929.9</v>
      </c>
      <c r="K507" s="96"/>
      <c r="L507" s="99">
        <f>IFERROR(__xludf.DUMMYFUNCTION("""COMPUTED_VALUE"""),-1780750.0)</f>
        <v>-1780750</v>
      </c>
      <c r="M507" s="96">
        <f>IFERROR(__xludf.DUMMYFUNCTION("""COMPUTED_VALUE"""),8.0)</f>
        <v>8</v>
      </c>
      <c r="N507" s="96">
        <f>IFERROR(__xludf.DUMMYFUNCTION("""COMPUTED_VALUE"""),0.0)</f>
        <v>0</v>
      </c>
      <c r="O507" s="96">
        <f>IFERROR(__xludf.DUMMYFUNCTION("""COMPUTED_VALUE"""),30.0)</f>
        <v>30</v>
      </c>
      <c r="P507" s="96">
        <f>IFERROR(__xludf.DUMMYFUNCTION("""COMPUTED_VALUE"""),24.0)</f>
        <v>24</v>
      </c>
      <c r="Q507" s="129">
        <f>IFERROR(__xludf.DUMMYFUNCTION("""COMPUTED_VALUE"""),1915.0)</f>
        <v>1915</v>
      </c>
      <c r="R507" s="99">
        <f>IFERROR(__xludf.DUMMYFUNCTION("""COMPUTED_VALUE"""),1780750.0)</f>
        <v>1780750</v>
      </c>
      <c r="S507" s="99">
        <f>IFERROR(__xludf.DUMMYFUNCTION("""COMPUTED_VALUE"""),659830.0)</f>
        <v>659830</v>
      </c>
    </row>
    <row r="508">
      <c r="A508" s="96">
        <f>IFERROR(__xludf.DUMMYFUNCTION("""COMPUTED_VALUE"""),3.0)</f>
        <v>3</v>
      </c>
      <c r="B508" s="98">
        <f>IFERROR(__xludf.DUMMYFUNCTION("""COMPUTED_VALUE"""),44114.0)</f>
        <v>44114</v>
      </c>
      <c r="C508" s="96" t="str">
        <f>IFERROR(__xludf.DUMMYFUNCTION("""COMPUTED_VALUE"""),"NELSON &amp; PALUS")</f>
        <v>NELSON &amp; PALUS</v>
      </c>
      <c r="D508" s="96" t="str">
        <f>IFERROR(__xludf.DUMMYFUNCTION("""COMPUTED_VALUE"""),"NELSON &amp; PALUS3")</f>
        <v>NELSON &amp; PALUS3</v>
      </c>
      <c r="E508" s="96">
        <f>IFERROR(__xludf.DUMMYFUNCTION("""COMPUTED_VALUE"""),456.0)</f>
        <v>456</v>
      </c>
      <c r="F508" s="96">
        <f>IFERROR(__xludf.DUMMYFUNCTION("""COMPUTED_VALUE"""),78.0)</f>
        <v>78</v>
      </c>
      <c r="G508" s="96"/>
      <c r="H508" s="96">
        <f>IFERROR(__xludf.DUMMYFUNCTION("""COMPUTED_VALUE"""),7.0)</f>
        <v>7</v>
      </c>
      <c r="I508" s="96"/>
      <c r="J508" s="96">
        <f>IFERROR(__xludf.DUMMYFUNCTION("""COMPUTED_VALUE"""),966.27)</f>
        <v>966.27</v>
      </c>
      <c r="K508" s="96"/>
      <c r="L508" s="99">
        <f>IFERROR(__xludf.DUMMYFUNCTION("""COMPUTED_VALUE"""),-420328.0)</f>
        <v>-420328</v>
      </c>
      <c r="M508" s="96">
        <f>IFERROR(__xludf.DUMMYFUNCTION("""COMPUTED_VALUE"""),11.14)</f>
        <v>11.14</v>
      </c>
      <c r="N508" s="96">
        <f>IFERROR(__xludf.DUMMYFUNCTION("""COMPUTED_VALUE"""),14.0)</f>
        <v>14</v>
      </c>
      <c r="O508" s="96">
        <f>IFERROR(__xludf.DUMMYFUNCTION("""COMPUTED_VALUE"""),6.0)</f>
        <v>6</v>
      </c>
      <c r="P508" s="96">
        <f>IFERROR(__xludf.DUMMYFUNCTION("""COMPUTED_VALUE"""),57.0)</f>
        <v>57</v>
      </c>
      <c r="Q508" s="129">
        <f>IFERROR(__xludf.DUMMYFUNCTION("""COMPUTED_VALUE"""),435.0)</f>
        <v>435</v>
      </c>
      <c r="R508" s="99">
        <f>IFERROR(__xludf.DUMMYFUNCTION("""COMPUTED_VALUE"""),420328.0)</f>
        <v>420328</v>
      </c>
      <c r="S508" s="99">
        <f>IFERROR(__xludf.DUMMYFUNCTION("""COMPUTED_VALUE"""),-385328.0)</f>
        <v>-385328</v>
      </c>
    </row>
    <row r="509">
      <c r="A509" s="96">
        <f>IFERROR(__xludf.DUMMYFUNCTION("""COMPUTED_VALUE"""),4.0)</f>
        <v>4</v>
      </c>
      <c r="B509" s="98">
        <f>IFERROR(__xludf.DUMMYFUNCTION("""COMPUTED_VALUE"""),44114.0)</f>
        <v>44114</v>
      </c>
      <c r="C509" s="96" t="str">
        <f>IFERROR(__xludf.DUMMYFUNCTION("""COMPUTED_VALUE"""),"NELSON &amp; PALUS")</f>
        <v>NELSON &amp; PALUS</v>
      </c>
      <c r="D509" s="96" t="str">
        <f>IFERROR(__xludf.DUMMYFUNCTION("""COMPUTED_VALUE"""),"NELSON &amp; PALUS4")</f>
        <v>NELSON &amp; PALUS4</v>
      </c>
      <c r="E509" s="96">
        <f>IFERROR(__xludf.DUMMYFUNCTION("""COMPUTED_VALUE"""),626.0)</f>
        <v>626</v>
      </c>
      <c r="F509" s="96">
        <f>IFERROR(__xludf.DUMMYFUNCTION("""COMPUTED_VALUE"""),106.0)</f>
        <v>106</v>
      </c>
      <c r="G509" s="96"/>
      <c r="H509" s="96">
        <f>IFERROR(__xludf.DUMMYFUNCTION("""COMPUTED_VALUE"""),10.0)</f>
        <v>10</v>
      </c>
      <c r="I509" s="96"/>
      <c r="J509" s="96">
        <f>IFERROR(__xludf.DUMMYFUNCTION("""COMPUTED_VALUE"""),970.6)</f>
        <v>970.6</v>
      </c>
      <c r="K509" s="96"/>
      <c r="L509" s="99">
        <f>IFERROR(__xludf.DUMMYFUNCTION("""COMPUTED_VALUE"""),-582359.0)</f>
        <v>-582359</v>
      </c>
      <c r="M509" s="96">
        <f>IFERROR(__xludf.DUMMYFUNCTION("""COMPUTED_VALUE"""),10.6)</f>
        <v>10.6</v>
      </c>
      <c r="N509" s="96">
        <f>IFERROR(__xludf.DUMMYFUNCTION("""COMPUTED_VALUE"""),16.0)</f>
        <v>16</v>
      </c>
      <c r="O509" s="96">
        <f>IFERROR(__xludf.DUMMYFUNCTION("""COMPUTED_VALUE"""),9.0)</f>
        <v>9</v>
      </c>
      <c r="P509" s="96">
        <f>IFERROR(__xludf.DUMMYFUNCTION("""COMPUTED_VALUE"""),33.0)</f>
        <v>33</v>
      </c>
      <c r="Q509" s="129">
        <f>IFERROR(__xludf.DUMMYFUNCTION("""COMPUTED_VALUE"""),600.0)</f>
        <v>600</v>
      </c>
      <c r="R509" s="99">
        <f>IFERROR(__xludf.DUMMYFUNCTION("""COMPUTED_VALUE"""),582359.0)</f>
        <v>582359</v>
      </c>
      <c r="S509" s="99">
        <f>IFERROR(__xludf.DUMMYFUNCTION("""COMPUTED_VALUE"""),-967687.0)</f>
        <v>-967687</v>
      </c>
    </row>
    <row r="510">
      <c r="A510" s="96">
        <f>IFERROR(__xludf.DUMMYFUNCTION("""COMPUTED_VALUE"""),5.0)</f>
        <v>5</v>
      </c>
      <c r="B510" s="98">
        <f>IFERROR(__xludf.DUMMYFUNCTION("""COMPUTED_VALUE"""),44116.0)</f>
        <v>44116</v>
      </c>
      <c r="C510" s="96" t="str">
        <f>IFERROR(__xludf.DUMMYFUNCTION("""COMPUTED_VALUE"""),"UNCLE BIGGIE")</f>
        <v>UNCLE BIGGIE</v>
      </c>
      <c r="D510" s="96" t="str">
        <f>IFERROR(__xludf.DUMMYFUNCTION("""COMPUTED_VALUE"""),"UNCLE BIGGIE5")</f>
        <v>UNCLE BIGGIE5</v>
      </c>
      <c r="E510" s="96"/>
      <c r="F510" s="96"/>
      <c r="G510" s="96"/>
      <c r="H510" s="96"/>
      <c r="I510" s="96"/>
      <c r="J510" s="96"/>
      <c r="K510" s="96">
        <f>IFERROR(__xludf.DUMMYFUNCTION("""COMPUTED_VALUE"""),100000.0)</f>
        <v>100000</v>
      </c>
      <c r="L510" s="99">
        <f>IFERROR(__xludf.DUMMYFUNCTION("""COMPUTED_VALUE"""),100000.0)</f>
        <v>100000</v>
      </c>
      <c r="M510" s="96"/>
      <c r="N510" s="96">
        <f>IFERROR(__xludf.DUMMYFUNCTION("""COMPUTED_VALUE"""),0.0)</f>
        <v>0</v>
      </c>
      <c r="O510" s="96">
        <f>IFERROR(__xludf.DUMMYFUNCTION("""COMPUTED_VALUE"""),0.0)</f>
        <v>0</v>
      </c>
      <c r="P510" s="96">
        <f>IFERROR(__xludf.DUMMYFUNCTION("""COMPUTED_VALUE"""),0.0)</f>
        <v>0</v>
      </c>
      <c r="Q510" s="129">
        <f>IFERROR(__xludf.DUMMYFUNCTION("""COMPUTED_VALUE"""),0.0)</f>
        <v>0</v>
      </c>
      <c r="R510" s="99"/>
      <c r="S510" s="99">
        <f>IFERROR(__xludf.DUMMYFUNCTION("""COMPUTED_VALUE"""),640000.0)</f>
        <v>640000</v>
      </c>
    </row>
    <row r="511">
      <c r="A511" s="96">
        <f>IFERROR(__xludf.DUMMYFUNCTION("""COMPUTED_VALUE"""),18.0)</f>
        <v>18</v>
      </c>
      <c r="B511" s="98">
        <f>IFERROR(__xludf.DUMMYFUNCTION("""COMPUTED_VALUE"""),44116.0)</f>
        <v>44116</v>
      </c>
      <c r="C511" s="96" t="str">
        <f>IFERROR(__xludf.DUMMYFUNCTION("""COMPUTED_VALUE"""),"OTU KOKO KEIBO")</f>
        <v>OTU KOKO KEIBO</v>
      </c>
      <c r="D511" s="96" t="str">
        <f>IFERROR(__xludf.DUMMYFUNCTION("""COMPUTED_VALUE"""),"OTU KOKO KEIBO18")</f>
        <v>OTU KOKO KEIBO18</v>
      </c>
      <c r="E511" s="96"/>
      <c r="F511" s="96"/>
      <c r="G511" s="96"/>
      <c r="H511" s="96"/>
      <c r="I511" s="96"/>
      <c r="J511" s="96"/>
      <c r="K511" s="96">
        <f>IFERROR(__xludf.DUMMYFUNCTION("""COMPUTED_VALUE"""),120000.0)</f>
        <v>120000</v>
      </c>
      <c r="L511" s="99">
        <f>IFERROR(__xludf.DUMMYFUNCTION("""COMPUTED_VALUE"""),120000.0)</f>
        <v>120000</v>
      </c>
      <c r="M511" s="96"/>
      <c r="N511" s="96">
        <f>IFERROR(__xludf.DUMMYFUNCTION("""COMPUTED_VALUE"""),0.0)</f>
        <v>0</v>
      </c>
      <c r="O511" s="96">
        <f>IFERROR(__xludf.DUMMYFUNCTION("""COMPUTED_VALUE"""),0.0)</f>
        <v>0</v>
      </c>
      <c r="P511" s="96">
        <f>IFERROR(__xludf.DUMMYFUNCTION("""COMPUTED_VALUE"""),0.0)</f>
        <v>0</v>
      </c>
      <c r="Q511" s="129">
        <f>IFERROR(__xludf.DUMMYFUNCTION("""COMPUTED_VALUE"""),0.0)</f>
        <v>0</v>
      </c>
      <c r="R511" s="99"/>
      <c r="S511" s="99">
        <f>IFERROR(__xludf.DUMMYFUNCTION("""COMPUTED_VALUE"""),3.0784425E7)</f>
        <v>30784425</v>
      </c>
    </row>
    <row r="512">
      <c r="A512" s="96">
        <f>IFERROR(__xludf.DUMMYFUNCTION("""COMPUTED_VALUE"""),19.0)</f>
        <v>19</v>
      </c>
      <c r="B512" s="98">
        <f>IFERROR(__xludf.DUMMYFUNCTION("""COMPUTED_VALUE"""),44116.0)</f>
        <v>44116</v>
      </c>
      <c r="C512" s="96" t="str">
        <f>IFERROR(__xludf.DUMMYFUNCTION("""COMPUTED_VALUE"""),"OTU KOKO KEIBO")</f>
        <v>OTU KOKO KEIBO</v>
      </c>
      <c r="D512" s="96" t="str">
        <f>IFERROR(__xludf.DUMMYFUNCTION("""COMPUTED_VALUE"""),"OTU KOKO KEIBO19")</f>
        <v>OTU KOKO KEIBO19</v>
      </c>
      <c r="E512" s="96"/>
      <c r="F512" s="96"/>
      <c r="G512" s="96"/>
      <c r="H512" s="96"/>
      <c r="I512" s="96"/>
      <c r="J512" s="96"/>
      <c r="K512" s="96">
        <f>IFERROR(__xludf.DUMMYFUNCTION("""COMPUTED_VALUE"""),160400.0)</f>
        <v>160400</v>
      </c>
      <c r="L512" s="99">
        <f>IFERROR(__xludf.DUMMYFUNCTION("""COMPUTED_VALUE"""),160400.0)</f>
        <v>160400</v>
      </c>
      <c r="M512" s="96"/>
      <c r="N512" s="96">
        <f>IFERROR(__xludf.DUMMYFUNCTION("""COMPUTED_VALUE"""),0.0)</f>
        <v>0</v>
      </c>
      <c r="O512" s="96">
        <f>IFERROR(__xludf.DUMMYFUNCTION("""COMPUTED_VALUE"""),0.0)</f>
        <v>0</v>
      </c>
      <c r="P512" s="96">
        <f>IFERROR(__xludf.DUMMYFUNCTION("""COMPUTED_VALUE"""),0.0)</f>
        <v>0</v>
      </c>
      <c r="Q512" s="129">
        <f>IFERROR(__xludf.DUMMYFUNCTION("""COMPUTED_VALUE"""),0.0)</f>
        <v>0</v>
      </c>
      <c r="R512" s="99"/>
      <c r="S512" s="99">
        <f>IFERROR(__xludf.DUMMYFUNCTION("""COMPUTED_VALUE"""),3.0944825E7)</f>
        <v>30944825</v>
      </c>
    </row>
    <row r="513">
      <c r="A513" s="96">
        <f>IFERROR(__xludf.DUMMYFUNCTION("""COMPUTED_VALUE"""),20.0)</f>
        <v>20</v>
      </c>
      <c r="B513" s="98">
        <f>IFERROR(__xludf.DUMMYFUNCTION("""COMPUTED_VALUE"""),44116.0)</f>
        <v>44116</v>
      </c>
      <c r="C513" s="96" t="str">
        <f>IFERROR(__xludf.DUMMYFUNCTION("""COMPUTED_VALUE"""),"OTU KOKO KEIBO")</f>
        <v>OTU KOKO KEIBO</v>
      </c>
      <c r="D513" s="96" t="str">
        <f>IFERROR(__xludf.DUMMYFUNCTION("""COMPUTED_VALUE"""),"OTU KOKO KEIBO20")</f>
        <v>OTU KOKO KEIBO20</v>
      </c>
      <c r="E513" s="96"/>
      <c r="F513" s="96"/>
      <c r="G513" s="96"/>
      <c r="H513" s="96"/>
      <c r="I513" s="96"/>
      <c r="J513" s="96"/>
      <c r="K513" s="96">
        <f>IFERROR(__xludf.DUMMYFUNCTION("""COMPUTED_VALUE"""),73500.0)</f>
        <v>73500</v>
      </c>
      <c r="L513" s="99">
        <f>IFERROR(__xludf.DUMMYFUNCTION("""COMPUTED_VALUE"""),73500.0)</f>
        <v>73500</v>
      </c>
      <c r="M513" s="96"/>
      <c r="N513" s="96">
        <f>IFERROR(__xludf.DUMMYFUNCTION("""COMPUTED_VALUE"""),0.0)</f>
        <v>0</v>
      </c>
      <c r="O513" s="96">
        <f>IFERROR(__xludf.DUMMYFUNCTION("""COMPUTED_VALUE"""),0.0)</f>
        <v>0</v>
      </c>
      <c r="P513" s="96">
        <f>IFERROR(__xludf.DUMMYFUNCTION("""COMPUTED_VALUE"""),0.0)</f>
        <v>0</v>
      </c>
      <c r="Q513" s="129">
        <f>IFERROR(__xludf.DUMMYFUNCTION("""COMPUTED_VALUE"""),0.0)</f>
        <v>0</v>
      </c>
      <c r="R513" s="99"/>
      <c r="S513" s="99">
        <f>IFERROR(__xludf.DUMMYFUNCTION("""COMPUTED_VALUE"""),3.1018325E7)</f>
        <v>31018325</v>
      </c>
    </row>
    <row r="514">
      <c r="A514" s="96">
        <f>IFERROR(__xludf.DUMMYFUNCTION("""COMPUTED_VALUE"""),21.0)</f>
        <v>21</v>
      </c>
      <c r="B514" s="98">
        <f>IFERROR(__xludf.DUMMYFUNCTION("""COMPUTED_VALUE"""),44116.0)</f>
        <v>44116</v>
      </c>
      <c r="C514" s="96" t="str">
        <f>IFERROR(__xludf.DUMMYFUNCTION("""COMPUTED_VALUE"""),"OTU KOKO KEIBO")</f>
        <v>OTU KOKO KEIBO</v>
      </c>
      <c r="D514" s="96" t="str">
        <f>IFERROR(__xludf.DUMMYFUNCTION("""COMPUTED_VALUE"""),"OTU KOKO KEIBO21")</f>
        <v>OTU KOKO KEIBO21</v>
      </c>
      <c r="E514" s="96"/>
      <c r="F514" s="96"/>
      <c r="G514" s="96"/>
      <c r="H514" s="96"/>
      <c r="I514" s="96"/>
      <c r="J514" s="96"/>
      <c r="K514" s="96">
        <f>IFERROR(__xludf.DUMMYFUNCTION("""COMPUTED_VALUE"""),150000.0)</f>
        <v>150000</v>
      </c>
      <c r="L514" s="99">
        <f>IFERROR(__xludf.DUMMYFUNCTION("""COMPUTED_VALUE"""),150000.0)</f>
        <v>150000</v>
      </c>
      <c r="M514" s="96"/>
      <c r="N514" s="96">
        <f>IFERROR(__xludf.DUMMYFUNCTION("""COMPUTED_VALUE"""),0.0)</f>
        <v>0</v>
      </c>
      <c r="O514" s="96">
        <f>IFERROR(__xludf.DUMMYFUNCTION("""COMPUTED_VALUE"""),0.0)</f>
        <v>0</v>
      </c>
      <c r="P514" s="96">
        <f>IFERROR(__xludf.DUMMYFUNCTION("""COMPUTED_VALUE"""),0.0)</f>
        <v>0</v>
      </c>
      <c r="Q514" s="129">
        <f>IFERROR(__xludf.DUMMYFUNCTION("""COMPUTED_VALUE"""),0.0)</f>
        <v>0</v>
      </c>
      <c r="R514" s="99"/>
      <c r="S514" s="99">
        <f>IFERROR(__xludf.DUMMYFUNCTION("""COMPUTED_VALUE"""),3.1168325E7)</f>
        <v>31168325</v>
      </c>
    </row>
    <row r="515">
      <c r="A515" s="96">
        <f>IFERROR(__xludf.DUMMYFUNCTION("""COMPUTED_VALUE"""),22.0)</f>
        <v>22</v>
      </c>
      <c r="B515" s="98">
        <f>IFERROR(__xludf.DUMMYFUNCTION("""COMPUTED_VALUE"""),44116.0)</f>
        <v>44116</v>
      </c>
      <c r="C515" s="96" t="str">
        <f>IFERROR(__xludf.DUMMYFUNCTION("""COMPUTED_VALUE"""),"OTU KOKO KEIBO")</f>
        <v>OTU KOKO KEIBO</v>
      </c>
      <c r="D515" s="96" t="str">
        <f>IFERROR(__xludf.DUMMYFUNCTION("""COMPUTED_VALUE"""),"OTU KOKO KEIBO22")</f>
        <v>OTU KOKO KEIBO22</v>
      </c>
      <c r="E515" s="96"/>
      <c r="F515" s="96"/>
      <c r="G515" s="96"/>
      <c r="H515" s="96"/>
      <c r="I515" s="96"/>
      <c r="J515" s="96"/>
      <c r="K515" s="96">
        <f>IFERROR(__xludf.DUMMYFUNCTION("""COMPUTED_VALUE"""),234000.0)</f>
        <v>234000</v>
      </c>
      <c r="L515" s="99">
        <f>IFERROR(__xludf.DUMMYFUNCTION("""COMPUTED_VALUE"""),234000.0)</f>
        <v>234000</v>
      </c>
      <c r="M515" s="96"/>
      <c r="N515" s="96">
        <f>IFERROR(__xludf.DUMMYFUNCTION("""COMPUTED_VALUE"""),0.0)</f>
        <v>0</v>
      </c>
      <c r="O515" s="96">
        <f>IFERROR(__xludf.DUMMYFUNCTION("""COMPUTED_VALUE"""),0.0)</f>
        <v>0</v>
      </c>
      <c r="P515" s="96">
        <f>IFERROR(__xludf.DUMMYFUNCTION("""COMPUTED_VALUE"""),0.0)</f>
        <v>0</v>
      </c>
      <c r="Q515" s="129">
        <f>IFERROR(__xludf.DUMMYFUNCTION("""COMPUTED_VALUE"""),0.0)</f>
        <v>0</v>
      </c>
      <c r="R515" s="99"/>
      <c r="S515" s="99">
        <f>IFERROR(__xludf.DUMMYFUNCTION("""COMPUTED_VALUE"""),3.1402325E7)</f>
        <v>31402325</v>
      </c>
    </row>
    <row r="516">
      <c r="A516" s="96">
        <f>IFERROR(__xludf.DUMMYFUNCTION("""COMPUTED_VALUE"""),4.0)</f>
        <v>4</v>
      </c>
      <c r="B516" s="98">
        <f>IFERROR(__xludf.DUMMYFUNCTION("""COMPUTED_VALUE"""),44116.0)</f>
        <v>44116</v>
      </c>
      <c r="C516" s="96" t="str">
        <f>IFERROR(__xludf.DUMMYFUNCTION("""COMPUTED_VALUE"""),"REIMON ALABA")</f>
        <v>REIMON ALABA</v>
      </c>
      <c r="D516" s="96" t="str">
        <f>IFERROR(__xludf.DUMMYFUNCTION("""COMPUTED_VALUE"""),"REIMON ALABA4")</f>
        <v>REIMON ALABA4</v>
      </c>
      <c r="E516" s="96"/>
      <c r="F516" s="96"/>
      <c r="G516" s="96"/>
      <c r="H516" s="96"/>
      <c r="I516" s="96"/>
      <c r="J516" s="96"/>
      <c r="K516" s="96">
        <f>IFERROR(__xludf.DUMMYFUNCTION("""COMPUTED_VALUE"""),50000.0)</f>
        <v>50000</v>
      </c>
      <c r="L516" s="99">
        <f>IFERROR(__xludf.DUMMYFUNCTION("""COMPUTED_VALUE"""),50000.0)</f>
        <v>50000</v>
      </c>
      <c r="M516" s="96"/>
      <c r="N516" s="96">
        <f>IFERROR(__xludf.DUMMYFUNCTION("""COMPUTED_VALUE"""),0.0)</f>
        <v>0</v>
      </c>
      <c r="O516" s="96">
        <f>IFERROR(__xludf.DUMMYFUNCTION("""COMPUTED_VALUE"""),0.0)</f>
        <v>0</v>
      </c>
      <c r="P516" s="96">
        <f>IFERROR(__xludf.DUMMYFUNCTION("""COMPUTED_VALUE"""),0.0)</f>
        <v>0</v>
      </c>
      <c r="Q516" s="129">
        <f>IFERROR(__xludf.DUMMYFUNCTION("""COMPUTED_VALUE"""),0.0)</f>
        <v>0</v>
      </c>
      <c r="R516" s="99"/>
      <c r="S516" s="99">
        <f>IFERROR(__xludf.DUMMYFUNCTION("""COMPUTED_VALUE"""),420000.0)</f>
        <v>420000</v>
      </c>
    </row>
    <row r="517">
      <c r="A517" s="96">
        <f>IFERROR(__xludf.DUMMYFUNCTION("""COMPUTED_VALUE"""),20.0)</f>
        <v>20</v>
      </c>
      <c r="B517" s="98">
        <f>IFERROR(__xludf.DUMMYFUNCTION("""COMPUTED_VALUE"""),44116.0)</f>
        <v>44116</v>
      </c>
      <c r="C517" s="96" t="str">
        <f>IFERROR(__xludf.DUMMYFUNCTION("""COMPUTED_VALUE""")," MAXWELL AGRO")</f>
        <v> MAXWELL AGRO</v>
      </c>
      <c r="D517" s="96" t="str">
        <f>IFERROR(__xludf.DUMMYFUNCTION("""COMPUTED_VALUE""")," MAXWELL AGRO20")</f>
        <v> MAXWELL AGRO20</v>
      </c>
      <c r="E517" s="96"/>
      <c r="F517" s="96"/>
      <c r="G517" s="96"/>
      <c r="H517" s="96"/>
      <c r="I517" s="96"/>
      <c r="J517" s="96"/>
      <c r="K517" s="96">
        <f>IFERROR(__xludf.DUMMYFUNCTION("""COMPUTED_VALUE"""),280000.0)</f>
        <v>280000</v>
      </c>
      <c r="L517" s="99">
        <f>IFERROR(__xludf.DUMMYFUNCTION("""COMPUTED_VALUE"""),280000.0)</f>
        <v>280000</v>
      </c>
      <c r="M517" s="96"/>
      <c r="N517" s="96">
        <f>IFERROR(__xludf.DUMMYFUNCTION("""COMPUTED_VALUE"""),0.0)</f>
        <v>0</v>
      </c>
      <c r="O517" s="96">
        <f>IFERROR(__xludf.DUMMYFUNCTION("""COMPUTED_VALUE"""),0.0)</f>
        <v>0</v>
      </c>
      <c r="P517" s="96">
        <f>IFERROR(__xludf.DUMMYFUNCTION("""COMPUTED_VALUE"""),0.0)</f>
        <v>0</v>
      </c>
      <c r="Q517" s="129">
        <f>IFERROR(__xludf.DUMMYFUNCTION("""COMPUTED_VALUE"""),0.0)</f>
        <v>0</v>
      </c>
      <c r="R517" s="99"/>
      <c r="S517" s="99">
        <f>IFERROR(__xludf.DUMMYFUNCTION("""COMPUTED_VALUE"""),2884432.0)</f>
        <v>2884432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4.38"/>
    <col customWidth="1" min="8" max="8" width="17.5"/>
  </cols>
  <sheetData>
    <row r="1"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>
      <c r="A2" s="131" t="str">
        <f>IFERROR(__xludf.DUMMYFUNCTION("Query(PreFinance!A2:S1000,""SELECT *"" &amp; IF(COUNTBLANK(HelperFormulas!A2:A3)=2,"""","" WHERE "" &amp; TEXTJOIN("" AND "", TRUE, HelperFormulas!A2:A3)),1)"),"COUNT")</f>
        <v>COUNT</v>
      </c>
      <c r="B2" s="132" t="str">
        <f>IFERROR(__xludf.DUMMYFUNCTION("""COMPUTED_VALUE"""),"DATE")</f>
        <v>DATE</v>
      </c>
      <c r="C2" s="132" t="str">
        <f>IFERROR(__xludf.DUMMYFUNCTION("""COMPUTED_VALUE"""),"NAMES")</f>
        <v>NAMES</v>
      </c>
      <c r="D2" s="132" t="str">
        <f>IFERROR(__xludf.DUMMYFUNCTION("""COMPUTED_VALUE"""),"Cnam")</f>
        <v>Cnam</v>
      </c>
      <c r="E2" s="132" t="str">
        <f>IFERROR(__xludf.DUMMYFUNCTION("""COMPUTED_VALUE"""),"GROSS WT")</f>
        <v>GROSS WT</v>
      </c>
      <c r="F2" s="132" t="str">
        <f>IFERROR(__xludf.DUMMYFUNCTION("""COMPUTED_VALUE"""),"TOTAL MST")</f>
        <v>TOTAL MST</v>
      </c>
      <c r="G2" s="133" t="str">
        <f>IFERROR(__xludf.DUMMYFUNCTION("""COMPUTED_VALUE"""),"QTY")</f>
        <v>QTY</v>
      </c>
      <c r="H2" s="133" t="str">
        <f>IFERROR(__xludf.DUMMYFUNCTION("""COMPUTED_VALUE"""),"TOTAL BAGS")</f>
        <v>TOTAL BAGS</v>
      </c>
      <c r="I2" s="133" t="str">
        <f>IFERROR(__xludf.DUMMYFUNCTION("""COMPUTED_VALUE""")," CHINA BAGS")</f>
        <v> CHINA BAGS</v>
      </c>
      <c r="J2" s="133" t="str">
        <f>IFERROR(__xludf.DUMMYFUNCTION("""COMPUTED_VALUE"""),"UNIT PRC")</f>
        <v>UNIT PRC</v>
      </c>
      <c r="K2" s="133" t="str">
        <f>IFERROR(__xludf.DUMMYFUNCTION("""COMPUTED_VALUE"""),"ADVANCE")</f>
        <v>ADVANCE</v>
      </c>
      <c r="L2" s="133" t="str">
        <f>IFERROR(__xludf.DUMMYFUNCTION("""COMPUTED_VALUE"""),"BAL~")</f>
        <v>BAL~</v>
      </c>
      <c r="M2" s="133" t="str">
        <f>IFERROR(__xludf.DUMMYFUNCTION("""COMPUTED_VALUE"""),"A M")</f>
        <v>A M</v>
      </c>
      <c r="N2" s="133" t="str">
        <f>IFERROR(__xludf.DUMMYFUNCTION("""COMPUTED_VALUE"""),"MSTRE DISCT")</f>
        <v>MSTRE DISCT</v>
      </c>
      <c r="O2" s="133" t="str">
        <f>IFERROR(__xludf.DUMMYFUNCTION("""COMPUTED_VALUE"""),"BAGS")</f>
        <v>BAGS</v>
      </c>
      <c r="P2" s="133" t="str">
        <f>IFERROR(__xludf.DUMMYFUNCTION("""COMPUTED_VALUE"""),"KGS")</f>
        <v>KGS</v>
      </c>
      <c r="Q2" s="133" t="str">
        <f>IFERROR(__xludf.DUMMYFUNCTION("""COMPUTED_VALUE"""),"PAYABLE")</f>
        <v>PAYABLE</v>
      </c>
      <c r="R2" s="133" t="str">
        <f>IFERROR(__xludf.DUMMYFUNCTION("""COMPUTED_VALUE"""),"AMT")</f>
        <v>AMT</v>
      </c>
      <c r="S2" s="133" t="str">
        <f>IFERROR(__xludf.DUMMYFUNCTION("""COMPUTED_VALUE"""),"RUNNING BAL")</f>
        <v>RUNNING BAL</v>
      </c>
      <c r="T2" s="133"/>
      <c r="U2" s="133"/>
      <c r="V2" s="132"/>
    </row>
    <row r="3"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</row>
    <row r="4"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</row>
    <row r="5"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</row>
    <row r="6"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</row>
    <row r="7"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</row>
    <row r="8"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</row>
    <row r="9"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</row>
    <row r="10"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</row>
    <row r="11"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</row>
    <row r="12"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</row>
    <row r="13"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</row>
    <row r="14"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</row>
    <row r="15"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</row>
    <row r="16"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</row>
    <row r="17"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</row>
    <row r="18"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</row>
    <row r="20"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</row>
    <row r="21"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</row>
    <row r="22"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</row>
    <row r="23"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</row>
    <row r="24"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</row>
    <row r="25"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</row>
    <row r="26"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</row>
    <row r="27"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</row>
    <row r="28"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</row>
    <row r="29"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</row>
    <row r="30"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</row>
    <row r="31"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</row>
    <row r="32"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</row>
    <row r="33"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</row>
    <row r="34"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</row>
    <row r="35"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</row>
    <row r="37"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</row>
    <row r="38"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</row>
    <row r="39"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</row>
    <row r="40"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</row>
    <row r="41"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</row>
    <row r="42"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</row>
    <row r="43"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</row>
    <row r="44"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</row>
    <row r="45"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</row>
    <row r="46"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</row>
    <row r="47"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</row>
    <row r="48"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</row>
    <row r="50"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</row>
    <row r="51"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</row>
    <row r="52"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</row>
    <row r="53"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</row>
    <row r="54"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</row>
    <row r="55"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</row>
    <row r="56"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</row>
    <row r="57"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</row>
    <row r="58"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</row>
    <row r="59"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</row>
    <row r="60"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</row>
    <row r="61"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</row>
    <row r="62"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</row>
    <row r="63"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</row>
    <row r="64"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</row>
    <row r="65"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</row>
    <row r="66"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</row>
    <row r="67"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</row>
    <row r="68"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</row>
    <row r="69"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</row>
    <row r="70"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</row>
    <row r="71"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</row>
    <row r="72"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</row>
    <row r="73"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</row>
    <row r="74"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</row>
    <row r="75"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</row>
    <row r="76"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</row>
    <row r="77"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</row>
    <row r="78"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</row>
    <row r="79"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</row>
    <row r="80"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</row>
    <row r="81"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</row>
    <row r="82"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</row>
    <row r="83"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</row>
    <row r="84"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</row>
    <row r="85"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</row>
    <row r="86"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</row>
    <row r="87"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</row>
    <row r="88"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</row>
    <row r="89"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</row>
    <row r="90"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</row>
    <row r="91"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</row>
    <row r="92"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</row>
    <row r="93"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</row>
    <row r="94"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</row>
    <row r="95"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</row>
    <row r="96"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</row>
    <row r="97"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</row>
    <row r="98"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</row>
    <row r="99"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</row>
    <row r="100"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</row>
    <row r="101"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</row>
    <row r="102"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</row>
    <row r="103"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</row>
    <row r="104"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</row>
    <row r="105"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</row>
    <row r="106"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</row>
    <row r="107"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</row>
    <row r="108"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</row>
    <row r="109"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</row>
    <row r="110"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</row>
    <row r="111"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</row>
    <row r="112"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</row>
    <row r="113"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</row>
    <row r="114"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</row>
    <row r="115"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</row>
    <row r="116"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</row>
    <row r="117"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</row>
    <row r="118"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</row>
    <row r="119"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</row>
    <row r="120"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</row>
    <row r="121"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</row>
    <row r="122"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</row>
    <row r="123"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</row>
    <row r="124"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</row>
    <row r="125"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</row>
    <row r="126"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</row>
    <row r="127"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</row>
    <row r="128"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</row>
    <row r="129"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</row>
    <row r="130"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</row>
    <row r="131"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</row>
    <row r="132"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</row>
    <row r="133"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</row>
    <row r="134"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</row>
    <row r="135"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</row>
    <row r="136"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</row>
    <row r="137"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</row>
    <row r="138"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</row>
    <row r="139"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</row>
    <row r="140"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</row>
    <row r="141"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</row>
    <row r="142"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</row>
    <row r="143"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</row>
    <row r="144"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</row>
    <row r="145"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</row>
    <row r="146"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</row>
    <row r="147"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</row>
    <row r="148"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</row>
    <row r="149"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</row>
    <row r="150"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</row>
    <row r="151"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</row>
    <row r="152"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</row>
    <row r="153"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</row>
    <row r="154"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</row>
    <row r="155"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</row>
    <row r="156"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</row>
    <row r="157"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</row>
    <row r="158"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</row>
    <row r="159"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</row>
    <row r="160"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</row>
    <row r="161"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</row>
    <row r="162"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</row>
    <row r="163"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</row>
    <row r="164"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</row>
    <row r="165"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</row>
    <row r="166"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</row>
    <row r="167"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</row>
    <row r="168"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</row>
    <row r="169"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</row>
    <row r="170"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</row>
    <row r="171"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</row>
    <row r="172"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</row>
    <row r="173"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</row>
    <row r="174"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</row>
    <row r="175"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</row>
    <row r="176"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</row>
    <row r="177"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</row>
    <row r="178"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</row>
    <row r="179"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</row>
    <row r="180"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</row>
    <row r="181"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</row>
    <row r="182"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</row>
    <row r="183"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</row>
    <row r="184"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</row>
    <row r="185"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</row>
    <row r="186"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</row>
    <row r="187"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</row>
    <row r="188"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</row>
    <row r="189"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</row>
    <row r="190"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</row>
    <row r="191"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</row>
    <row r="192"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</row>
    <row r="193"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</row>
    <row r="194"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</row>
    <row r="195"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</row>
    <row r="196"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</row>
    <row r="197"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</row>
    <row r="198"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</row>
    <row r="199"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</row>
    <row r="200"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</row>
    <row r="201"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</row>
    <row r="202"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</row>
    <row r="203"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</row>
    <row r="204"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</row>
    <row r="205"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</row>
    <row r="206"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</row>
    <row r="207"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</row>
    <row r="208"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</row>
    <row r="209"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</row>
    <row r="210"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</row>
    <row r="211"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</row>
    <row r="212"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</row>
    <row r="213"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</row>
    <row r="214"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</row>
    <row r="215"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</row>
    <row r="216"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</row>
    <row r="217"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</row>
    <row r="218"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</row>
    <row r="219"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</row>
    <row r="220"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</row>
    <row r="221"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</row>
    <row r="222"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</row>
    <row r="223"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</row>
    <row r="224"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</row>
    <row r="225"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</row>
    <row r="226"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</row>
    <row r="227"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</row>
    <row r="228"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</row>
    <row r="229"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</row>
    <row r="230"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</row>
    <row r="231"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</row>
    <row r="232"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</row>
    <row r="233"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</row>
    <row r="234"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</row>
    <row r="235"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</row>
    <row r="236"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</row>
    <row r="237"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</row>
    <row r="238"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</row>
    <row r="239"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</row>
    <row r="240"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</row>
    <row r="241"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</row>
    <row r="242"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</row>
    <row r="243"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</row>
    <row r="244"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</row>
    <row r="245"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</row>
    <row r="246"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</row>
    <row r="247"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</row>
    <row r="248"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</row>
    <row r="249"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</row>
    <row r="250"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</row>
    <row r="251"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</row>
    <row r="252"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</row>
    <row r="253"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</row>
    <row r="254"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</row>
    <row r="255"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</row>
    <row r="256"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</row>
    <row r="257"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</row>
    <row r="258"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</row>
    <row r="259"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</row>
    <row r="260"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</row>
    <row r="261"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</row>
    <row r="262"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</row>
    <row r="263"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</row>
    <row r="264"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</row>
    <row r="265"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</row>
    <row r="266"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</row>
    <row r="267"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</row>
    <row r="268"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</row>
    <row r="269"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</row>
    <row r="270"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</row>
    <row r="271"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</row>
    <row r="272"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</row>
    <row r="273"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</row>
    <row r="274"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</row>
    <row r="275"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</row>
    <row r="276"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</row>
    <row r="277"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</row>
    <row r="278"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</row>
    <row r="279"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</row>
    <row r="280"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</row>
    <row r="281"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</row>
    <row r="282"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</row>
    <row r="283"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</row>
    <row r="284"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</row>
    <row r="285"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</row>
    <row r="286"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</row>
    <row r="287"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</row>
    <row r="288"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</row>
    <row r="289"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</row>
    <row r="290"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</row>
    <row r="291"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</row>
    <row r="292"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</row>
    <row r="293"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</row>
    <row r="294"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</row>
    <row r="295"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</row>
    <row r="296"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</row>
    <row r="297"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</row>
    <row r="298"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</row>
    <row r="299"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</row>
    <row r="300"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</row>
    <row r="301"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</row>
    <row r="302"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</row>
    <row r="303"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</row>
    <row r="304"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</row>
    <row r="305"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</row>
    <row r="306"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</row>
    <row r="307"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</row>
    <row r="308"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</row>
    <row r="309"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</row>
    <row r="310"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</row>
    <row r="311"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</row>
    <row r="312"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</row>
    <row r="313"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</row>
    <row r="314"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</row>
    <row r="315"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</row>
    <row r="316"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</row>
    <row r="317"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</row>
    <row r="318"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</row>
    <row r="319"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</row>
    <row r="320"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</row>
    <row r="321"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</row>
    <row r="322"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</row>
    <row r="323"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</row>
    <row r="324"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</row>
    <row r="325"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</row>
    <row r="326"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</row>
    <row r="327"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</row>
    <row r="328"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</row>
    <row r="329"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</row>
    <row r="330"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</row>
    <row r="331"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</row>
    <row r="332"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</row>
    <row r="333"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</row>
    <row r="334"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</row>
    <row r="335"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</row>
    <row r="336"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</row>
    <row r="337"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</row>
    <row r="338"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</row>
    <row r="339"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</row>
    <row r="340"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</row>
    <row r="341"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</row>
    <row r="342"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</row>
    <row r="343"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</row>
    <row r="344"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</row>
    <row r="345"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</row>
    <row r="346"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</row>
    <row r="347"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</row>
    <row r="348"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</row>
    <row r="349"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</row>
    <row r="350"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</row>
    <row r="351"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</row>
    <row r="352"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</row>
    <row r="353"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</row>
    <row r="354"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</row>
    <row r="355"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</row>
    <row r="356"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</row>
    <row r="357"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</row>
    <row r="358"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</row>
    <row r="359"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</row>
    <row r="360"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</row>
    <row r="361"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</row>
    <row r="362"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</row>
    <row r="363"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</row>
    <row r="364"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</row>
    <row r="365"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</row>
    <row r="366"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</row>
    <row r="367"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</row>
    <row r="368"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</row>
    <row r="369"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</row>
    <row r="370"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</row>
    <row r="371"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</row>
    <row r="372"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</row>
    <row r="373"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</row>
    <row r="374"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</row>
    <row r="375"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</row>
    <row r="376"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</row>
    <row r="377"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</row>
    <row r="378"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</row>
    <row r="379"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</row>
    <row r="380"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</row>
    <row r="381"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</row>
    <row r="382"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</row>
    <row r="383"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</row>
    <row r="384"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</row>
    <row r="385"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</row>
    <row r="386"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</row>
    <row r="387"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</row>
    <row r="388"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</row>
    <row r="389"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</row>
    <row r="390"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</row>
    <row r="391"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</row>
    <row r="392"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</row>
    <row r="393"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</row>
    <row r="394"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</row>
    <row r="395"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</row>
    <row r="396"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</row>
    <row r="397"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</row>
    <row r="398"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</row>
    <row r="399"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</row>
    <row r="400"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</row>
    <row r="401"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</row>
    <row r="402"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</row>
    <row r="403"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</row>
    <row r="404"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</row>
    <row r="405"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</row>
    <row r="406"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</row>
    <row r="407"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</row>
    <row r="408"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</row>
    <row r="409"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</row>
    <row r="410"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</row>
    <row r="411"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</row>
    <row r="412"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</row>
    <row r="413"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</row>
    <row r="414"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</row>
    <row r="415"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</row>
    <row r="416"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</row>
    <row r="417"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</row>
    <row r="418"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</row>
    <row r="419"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</row>
    <row r="420"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</row>
    <row r="421"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</row>
    <row r="422"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</row>
    <row r="423"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</row>
    <row r="424"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</row>
    <row r="425"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</row>
    <row r="426"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</row>
    <row r="427"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</row>
    <row r="428"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</row>
    <row r="429"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</row>
    <row r="430"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</row>
    <row r="431"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</row>
    <row r="432"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</row>
    <row r="433"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</row>
    <row r="434"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</row>
    <row r="435"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</row>
    <row r="436"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</row>
    <row r="437"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</row>
    <row r="438"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</row>
    <row r="439"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</row>
    <row r="440"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</row>
    <row r="441"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</row>
    <row r="442"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</row>
    <row r="443"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</row>
    <row r="444"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</row>
    <row r="445"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</row>
    <row r="446"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</row>
    <row r="447"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</row>
    <row r="448"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</row>
    <row r="449"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</row>
    <row r="450"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</row>
    <row r="451"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</row>
    <row r="452"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</row>
    <row r="453"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</row>
    <row r="454"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</row>
    <row r="455"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</row>
    <row r="456"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</row>
    <row r="457"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</row>
    <row r="458"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</row>
    <row r="459"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</row>
    <row r="460"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</row>
    <row r="461"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</row>
    <row r="462"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</row>
    <row r="463"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</row>
    <row r="464"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</row>
    <row r="465"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</row>
    <row r="466"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</row>
    <row r="467"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</row>
    <row r="468"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</row>
    <row r="469"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</row>
    <row r="470"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</row>
    <row r="471"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</row>
    <row r="472"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</row>
    <row r="473"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</row>
    <row r="474"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</row>
    <row r="475"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</row>
    <row r="476"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</row>
    <row r="477"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</row>
    <row r="478"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</row>
    <row r="479"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</row>
    <row r="480"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</row>
    <row r="481"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</row>
    <row r="482"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</row>
    <row r="483"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</row>
    <row r="484"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</row>
    <row r="485"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</row>
    <row r="486"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</row>
    <row r="487"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</row>
    <row r="488"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</row>
    <row r="489"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</row>
    <row r="490"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</row>
    <row r="491"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</row>
    <row r="492"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</row>
    <row r="493"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</row>
    <row r="494"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</row>
    <row r="495"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</row>
    <row r="496"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</row>
    <row r="497"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</row>
    <row r="498"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</row>
    <row r="499"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</row>
    <row r="500"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</row>
    <row r="501"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</row>
    <row r="502"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</row>
    <row r="503"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</row>
    <row r="504"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</row>
    <row r="505"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</row>
    <row r="506"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</row>
    <row r="507"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</row>
    <row r="508"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</row>
    <row r="509"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</row>
    <row r="510"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</row>
    <row r="511"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</row>
    <row r="512"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</row>
    <row r="513"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</row>
    <row r="514"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</row>
    <row r="515"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</row>
    <row r="516"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</row>
    <row r="517"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</row>
    <row r="518"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</row>
    <row r="519"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</row>
    <row r="520"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</row>
    <row r="521"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</row>
    <row r="522"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</row>
    <row r="523"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</row>
    <row r="524"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</row>
    <row r="525"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</row>
    <row r="526"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</row>
    <row r="527"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</row>
    <row r="528"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</row>
    <row r="529"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</row>
    <row r="530"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</row>
    <row r="531"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</row>
    <row r="532"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</row>
    <row r="533"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</row>
    <row r="534"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</row>
    <row r="535"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</row>
    <row r="536"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</row>
    <row r="537"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</row>
    <row r="538"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</row>
    <row r="539"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</row>
    <row r="540"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</row>
    <row r="541"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</row>
    <row r="542"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</row>
    <row r="543"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</row>
    <row r="544"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</row>
    <row r="545"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</row>
    <row r="546"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</row>
    <row r="547"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</row>
    <row r="548"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</row>
    <row r="549"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</row>
    <row r="550"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</row>
    <row r="551"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</row>
    <row r="552"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</row>
    <row r="553"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</row>
    <row r="554"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</row>
    <row r="555"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</row>
    <row r="556"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</row>
    <row r="557"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</row>
    <row r="558"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</row>
    <row r="559"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</row>
    <row r="560"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</row>
    <row r="561"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</row>
    <row r="562"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</row>
    <row r="563"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</row>
    <row r="564"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</row>
    <row r="565"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</row>
    <row r="566"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</row>
    <row r="567"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</row>
    <row r="568"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</row>
    <row r="569"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</row>
    <row r="570"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</row>
    <row r="571"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</row>
    <row r="572"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</row>
    <row r="573"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</row>
    <row r="574"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</row>
    <row r="575"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</row>
    <row r="576"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</row>
    <row r="577"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</row>
    <row r="578"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</row>
    <row r="579"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</row>
    <row r="580"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</row>
    <row r="581"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</row>
    <row r="582"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</row>
    <row r="583"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</row>
    <row r="584"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</row>
    <row r="585"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</row>
    <row r="586"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</row>
    <row r="587"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</row>
    <row r="588"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</row>
    <row r="589"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</row>
    <row r="590"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</row>
    <row r="591"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</row>
    <row r="592"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</row>
    <row r="593"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</row>
    <row r="594"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</row>
    <row r="595"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</row>
    <row r="596"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</row>
    <row r="597"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</row>
    <row r="598"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</row>
    <row r="599"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</row>
    <row r="600"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</row>
    <row r="601"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</row>
    <row r="602"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</row>
    <row r="603"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</row>
    <row r="604"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</row>
    <row r="605"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</row>
    <row r="606"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</row>
    <row r="607"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</row>
    <row r="608"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</row>
    <row r="609"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</row>
    <row r="610"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</row>
    <row r="611"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</row>
    <row r="612"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</row>
    <row r="613"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</row>
    <row r="614"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</row>
    <row r="615"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</row>
    <row r="616"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</row>
    <row r="617"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</row>
    <row r="618"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</row>
    <row r="619"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</row>
    <row r="620"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</row>
    <row r="621"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</row>
    <row r="622"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</row>
    <row r="623"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</row>
    <row r="624"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</row>
    <row r="625"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</row>
    <row r="626"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</row>
    <row r="627"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</row>
    <row r="628"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</row>
    <row r="629"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</row>
    <row r="630"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</row>
    <row r="631"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</row>
    <row r="632"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</row>
    <row r="633"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</row>
    <row r="634"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</row>
    <row r="635"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</row>
    <row r="636"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</row>
    <row r="637"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</row>
    <row r="638"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</row>
    <row r="639"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</row>
    <row r="640"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</row>
    <row r="641"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</row>
    <row r="642"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</row>
    <row r="643"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</row>
    <row r="644"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</row>
    <row r="645"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</row>
    <row r="646"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</row>
    <row r="647"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</row>
    <row r="648"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</row>
    <row r="649"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</row>
    <row r="650"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</row>
    <row r="651"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</row>
    <row r="652"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</row>
    <row r="653"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</row>
    <row r="654"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</row>
    <row r="655"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</row>
    <row r="656"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</row>
    <row r="657"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</row>
    <row r="658"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</row>
    <row r="659"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</row>
    <row r="660"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</row>
    <row r="661"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</row>
    <row r="662"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</row>
    <row r="663"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</row>
    <row r="664"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</row>
    <row r="665"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</row>
    <row r="666"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</row>
    <row r="667"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</row>
    <row r="668"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</row>
    <row r="669"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</row>
    <row r="670"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</row>
    <row r="671"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</row>
    <row r="672"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</row>
    <row r="673"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</row>
    <row r="674"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</row>
    <row r="675"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</row>
    <row r="676"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</row>
    <row r="677"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</row>
    <row r="678"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</row>
    <row r="679"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</row>
    <row r="680"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</row>
    <row r="681"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</row>
    <row r="682"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</row>
    <row r="683"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</row>
    <row r="684"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</row>
    <row r="685"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</row>
    <row r="686"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</row>
    <row r="687"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</row>
    <row r="688"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</row>
    <row r="689"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</row>
    <row r="690"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</row>
    <row r="691"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</row>
    <row r="692"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</row>
    <row r="693"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</row>
    <row r="694"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</row>
    <row r="695"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</row>
    <row r="696"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</row>
    <row r="697"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</row>
    <row r="698"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</row>
    <row r="699"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</row>
    <row r="700"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</row>
    <row r="701"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</row>
    <row r="702"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</row>
    <row r="703"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</row>
    <row r="704"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</row>
    <row r="705"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</row>
    <row r="706"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</row>
    <row r="707"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</row>
    <row r="708"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</row>
    <row r="709"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</row>
    <row r="710"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</row>
    <row r="711"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</row>
    <row r="712"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</row>
    <row r="713"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</row>
    <row r="714"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</row>
    <row r="715"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</row>
    <row r="716"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</row>
    <row r="717"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</row>
    <row r="718"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</row>
    <row r="719"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</row>
    <row r="720"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</row>
    <row r="721"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</row>
    <row r="722"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</row>
    <row r="723"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</row>
    <row r="724"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</row>
    <row r="725"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</row>
    <row r="726"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</row>
    <row r="727"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</row>
    <row r="728"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</row>
    <row r="729"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</row>
    <row r="730"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</row>
    <row r="731"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</row>
    <row r="732"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</row>
    <row r="733"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</row>
    <row r="734"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</row>
    <row r="735"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</row>
    <row r="736"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</row>
    <row r="737"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</row>
    <row r="738"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</row>
    <row r="739"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</row>
    <row r="740"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</row>
    <row r="741"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</row>
    <row r="742"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</row>
    <row r="743"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</row>
    <row r="744"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</row>
    <row r="745"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</row>
    <row r="746"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</row>
    <row r="747"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</row>
    <row r="748"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</row>
    <row r="749"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</row>
    <row r="750"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</row>
    <row r="751"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</row>
    <row r="752"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</row>
    <row r="753"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</row>
    <row r="754"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</row>
    <row r="755"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</row>
    <row r="756"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</row>
    <row r="757"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</row>
    <row r="758"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</row>
    <row r="759"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</row>
    <row r="760"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</row>
    <row r="761"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</row>
    <row r="762"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</row>
    <row r="763"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</row>
    <row r="764"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</row>
    <row r="765"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</row>
    <row r="766"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</row>
    <row r="767"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</row>
    <row r="768"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</row>
    <row r="769"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</row>
    <row r="770"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</row>
    <row r="771"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</row>
    <row r="772"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</row>
    <row r="773"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</row>
    <row r="774"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</row>
    <row r="775"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</row>
    <row r="776"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</row>
    <row r="777"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</row>
    <row r="778"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</row>
    <row r="779"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</row>
    <row r="780"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</row>
    <row r="781"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</row>
    <row r="782"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</row>
    <row r="783"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</row>
    <row r="784"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</row>
    <row r="785"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</row>
    <row r="786"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</row>
    <row r="787"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</row>
    <row r="788"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</row>
    <row r="789"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</row>
    <row r="790"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</row>
    <row r="791"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</row>
    <row r="792"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</row>
    <row r="793"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</row>
    <row r="794"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</row>
    <row r="795"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</row>
    <row r="796"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</row>
    <row r="797"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</row>
    <row r="798"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</row>
    <row r="799"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</row>
    <row r="800"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</row>
    <row r="801"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</row>
    <row r="802"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</row>
    <row r="803"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</row>
    <row r="804"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</row>
    <row r="805"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</row>
    <row r="806"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</row>
    <row r="807"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</row>
    <row r="808"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</row>
    <row r="809"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</row>
    <row r="810"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</row>
    <row r="811"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</row>
    <row r="812"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</row>
    <row r="813"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</row>
    <row r="814"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</row>
    <row r="815"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</row>
    <row r="816"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</row>
    <row r="817"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</row>
    <row r="818"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</row>
    <row r="819"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</row>
    <row r="820"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</row>
    <row r="821"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</row>
    <row r="822"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</row>
    <row r="823"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</row>
    <row r="824"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</row>
    <row r="825"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</row>
    <row r="826"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</row>
    <row r="827"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</row>
    <row r="828"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</row>
    <row r="829"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</row>
    <row r="830"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</row>
    <row r="831"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</row>
    <row r="832"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</row>
    <row r="833"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</row>
    <row r="834"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</row>
    <row r="835"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</row>
    <row r="836"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</row>
    <row r="837"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</row>
    <row r="838"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</row>
    <row r="839"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</row>
    <row r="840"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</row>
    <row r="841"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</row>
    <row r="842"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</row>
    <row r="843"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</row>
    <row r="844"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</row>
    <row r="845"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</row>
    <row r="846"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</row>
    <row r="847"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</row>
    <row r="848"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</row>
    <row r="849"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</row>
    <row r="850"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</row>
    <row r="851"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</row>
    <row r="852"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</row>
    <row r="853"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</row>
    <row r="854"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</row>
    <row r="855"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</row>
    <row r="856"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</row>
    <row r="857"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</row>
    <row r="858"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</row>
    <row r="859"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</row>
    <row r="860"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</row>
    <row r="861"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</row>
    <row r="862"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</row>
    <row r="863"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</row>
    <row r="864"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</row>
    <row r="865"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</row>
    <row r="866"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</row>
    <row r="867"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</row>
    <row r="868"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</row>
    <row r="869"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</row>
    <row r="870"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</row>
    <row r="871"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</row>
    <row r="872"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</row>
    <row r="873"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</row>
    <row r="874"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</row>
    <row r="875"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</row>
    <row r="876"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</row>
    <row r="877"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</row>
    <row r="878"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</row>
    <row r="879"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</row>
    <row r="880"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</row>
    <row r="881"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</row>
    <row r="882"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</row>
    <row r="883"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</row>
    <row r="884"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</row>
    <row r="885"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</row>
    <row r="886"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</row>
    <row r="887"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</row>
    <row r="888"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</row>
    <row r="889"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</row>
    <row r="890"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</row>
    <row r="891"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</row>
    <row r="892"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</row>
    <row r="893"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</row>
    <row r="894"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</row>
    <row r="895"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</row>
    <row r="896"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</row>
    <row r="897"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</row>
    <row r="898"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</row>
    <row r="899"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</row>
    <row r="900"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</row>
    <row r="901"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</row>
    <row r="902"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</row>
    <row r="903"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</row>
    <row r="904"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</row>
    <row r="905"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</row>
    <row r="906"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</row>
    <row r="907"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</row>
    <row r="908"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</row>
    <row r="909"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</row>
    <row r="910"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</row>
    <row r="911"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</row>
    <row r="912"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</row>
    <row r="913"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</row>
    <row r="914"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</row>
    <row r="915"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</row>
    <row r="916"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</row>
    <row r="917"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</row>
    <row r="918"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</row>
    <row r="919"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</row>
    <row r="920"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</row>
    <row r="921"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</row>
    <row r="922"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</row>
    <row r="923"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</row>
    <row r="924"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</row>
    <row r="925"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</row>
    <row r="926"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</row>
    <row r="927"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</row>
    <row r="928"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</row>
    <row r="929"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</row>
    <row r="930"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</row>
    <row r="931"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</row>
    <row r="932"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</row>
    <row r="933"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</row>
    <row r="934"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</row>
    <row r="935"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</row>
    <row r="936"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</row>
    <row r="937"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</row>
    <row r="938"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</row>
    <row r="939"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</row>
    <row r="940"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</row>
    <row r="941"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</row>
    <row r="942"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</row>
    <row r="943"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</row>
    <row r="944"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</row>
    <row r="945"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</row>
    <row r="946"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</row>
    <row r="947"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</row>
    <row r="948"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</row>
    <row r="949"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</row>
    <row r="950"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</row>
    <row r="951"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</row>
    <row r="952"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</row>
    <row r="953"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</row>
    <row r="954"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</row>
    <row r="955"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</row>
    <row r="956"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</row>
    <row r="957"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</row>
    <row r="958"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</row>
    <row r="959"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</row>
    <row r="960"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</row>
    <row r="961"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</row>
    <row r="962"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</row>
    <row r="963"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</row>
    <row r="964"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</row>
    <row r="965"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</row>
    <row r="966"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</row>
    <row r="967"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</row>
    <row r="968"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</row>
    <row r="969"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</row>
    <row r="970"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</row>
    <row r="971"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</row>
    <row r="972"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</row>
    <row r="973"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</row>
    <row r="974"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</row>
    <row r="975"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</row>
    <row r="976"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</row>
    <row r="977"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</row>
    <row r="978"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</row>
    <row r="979"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</row>
    <row r="980"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</row>
    <row r="981"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</row>
    <row r="982"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</row>
    <row r="983"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</row>
    <row r="984"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</row>
    <row r="985"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</row>
    <row r="986"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</row>
    <row r="987"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</row>
    <row r="988"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</row>
    <row r="989"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</row>
    <row r="990"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</row>
    <row r="991"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</row>
    <row r="992"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</row>
    <row r="993"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</row>
    <row r="994"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</row>
    <row r="995"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</row>
    <row r="996"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</row>
    <row r="997"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</row>
    <row r="998"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</row>
    <row r="999"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</row>
    <row r="1000"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</row>
  </sheetData>
  <drawing r:id="rId1"/>
</worksheet>
</file>