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_car\Desktop\Projeto TCC\"/>
    </mc:Choice>
  </mc:AlternateContent>
  <xr:revisionPtr revIDLastSave="0" documentId="13_ncr:1_{A40FBA70-0F3F-409D-AE8B-A5EDB68D155F}" xr6:coauthVersionLast="47" xr6:coauthVersionMax="47" xr10:uidLastSave="{00000000-0000-0000-0000-000000000000}"/>
  <bookViews>
    <workbookView xWindow="-120" yWindow="-120" windowWidth="21840" windowHeight="13290" activeTab="2" xr2:uid="{D552791A-776A-4111-A5C8-C5BE1EE8587E}"/>
  </bookViews>
  <sheets>
    <sheet name="INSUMOS" sheetId="3" r:id="rId1"/>
    <sheet name="CARDAPIO+PREÇO" sheetId="2" r:id="rId2"/>
    <sheet name="CALCULO DE VENDAS" sheetId="1" r:id="rId3"/>
    <sheet name="$$$ DIARIA" sheetId="4" r:id="rId4"/>
    <sheet name="Gráfico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19" i="4"/>
  <c r="K24" i="4"/>
  <c r="K25" i="4"/>
  <c r="K26" i="4"/>
  <c r="K31" i="4"/>
  <c r="K32" i="4"/>
  <c r="K35" i="4"/>
  <c r="K39" i="4"/>
  <c r="K40" i="4"/>
  <c r="K41" i="4"/>
  <c r="K42" i="4"/>
  <c r="K43" i="4"/>
  <c r="K44" i="4"/>
  <c r="K45" i="4"/>
  <c r="K46" i="4"/>
  <c r="K47" i="4"/>
  <c r="H5" i="4"/>
  <c r="H6" i="4"/>
  <c r="H11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0" i="4"/>
  <c r="I59" i="4"/>
  <c r="I58" i="4"/>
  <c r="I57" i="4"/>
  <c r="I56" i="4"/>
  <c r="I55" i="4"/>
  <c r="I33" i="4"/>
  <c r="K33" i="4" s="1"/>
  <c r="I34" i="4"/>
  <c r="K34" i="4" s="1"/>
  <c r="I35" i="4"/>
  <c r="I36" i="4"/>
  <c r="K36" i="4" s="1"/>
  <c r="I37" i="4"/>
  <c r="K37" i="4" s="1"/>
  <c r="I38" i="4"/>
  <c r="K38" i="4" s="1"/>
  <c r="I39" i="4"/>
  <c r="I40" i="4"/>
  <c r="I41" i="4"/>
  <c r="I42" i="4"/>
  <c r="I43" i="4"/>
  <c r="I44" i="4"/>
  <c r="I45" i="4"/>
  <c r="I46" i="4"/>
  <c r="F7" i="1"/>
  <c r="F8" i="1"/>
  <c r="F9" i="1"/>
  <c r="F10" i="1"/>
  <c r="F11" i="1"/>
  <c r="F12" i="1"/>
  <c r="F13" i="1"/>
  <c r="F6" i="1"/>
  <c r="I32" i="4"/>
  <c r="I31" i="4"/>
  <c r="R44" i="1"/>
  <c r="J20" i="1"/>
  <c r="G63" i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0" i="1"/>
  <c r="G20" i="1" s="1"/>
  <c r="D72" i="1"/>
  <c r="F72" i="1"/>
  <c r="G72" i="1" s="1"/>
  <c r="F71" i="1"/>
  <c r="F70" i="1"/>
  <c r="F69" i="1"/>
  <c r="G69" i="1"/>
  <c r="G70" i="1"/>
  <c r="G71" i="1"/>
  <c r="J72" i="1"/>
  <c r="D71" i="1"/>
  <c r="J71" i="1"/>
  <c r="D70" i="1"/>
  <c r="D69" i="1"/>
  <c r="J70" i="1"/>
  <c r="I20" i="4"/>
  <c r="K20" i="4" s="1"/>
  <c r="I21" i="4"/>
  <c r="K21" i="4" s="1"/>
  <c r="I22" i="4"/>
  <c r="K22" i="4" s="1"/>
  <c r="I23" i="4"/>
  <c r="K23" i="4" s="1"/>
  <c r="I24" i="4"/>
  <c r="I27" i="4"/>
  <c r="K27" i="4" s="1"/>
  <c r="I28" i="4"/>
  <c r="K28" i="4" s="1"/>
  <c r="I29" i="4"/>
  <c r="K29" i="4" s="1"/>
  <c r="I30" i="4"/>
  <c r="K30" i="4" s="1"/>
  <c r="I19" i="4"/>
  <c r="J68" i="1"/>
  <c r="F68" i="1"/>
  <c r="G68" i="1" s="1"/>
  <c r="G75" i="1" s="1"/>
  <c r="J69" i="1"/>
  <c r="D68" i="1"/>
  <c r="AH14" i="2"/>
  <c r="O14" i="1"/>
  <c r="O16" i="1" s="1"/>
  <c r="P14" i="1"/>
  <c r="P16" i="1" s="1"/>
  <c r="F58" i="1"/>
  <c r="G58" i="1" s="1"/>
  <c r="F57" i="1"/>
  <c r="G57" i="1" s="1"/>
  <c r="F59" i="1"/>
  <c r="G59" i="1" s="1"/>
  <c r="F60" i="1"/>
  <c r="G60" i="1" s="1"/>
  <c r="J60" i="1"/>
  <c r="J59" i="1"/>
  <c r="J58" i="1"/>
  <c r="J57" i="1"/>
  <c r="AI18" i="2"/>
  <c r="C58" i="1" s="1"/>
  <c r="D58" i="1" s="1"/>
  <c r="AI16" i="2"/>
  <c r="AH22" i="2"/>
  <c r="AH21" i="2"/>
  <c r="AH20" i="2"/>
  <c r="AH19" i="2"/>
  <c r="AH18" i="2"/>
  <c r="AH17" i="2"/>
  <c r="AH16" i="2"/>
  <c r="F39" i="1"/>
  <c r="F40" i="1"/>
  <c r="F41" i="1"/>
  <c r="F42" i="1"/>
  <c r="F43" i="1"/>
  <c r="F44" i="1"/>
  <c r="F45" i="1"/>
  <c r="F46" i="1"/>
  <c r="J46" i="1"/>
  <c r="J45" i="1"/>
  <c r="J44" i="1"/>
  <c r="J43" i="1"/>
  <c r="J42" i="1"/>
  <c r="J41" i="1"/>
  <c r="J40" i="1"/>
  <c r="J39" i="1"/>
  <c r="X35" i="2"/>
  <c r="X30" i="2"/>
  <c r="J21" i="1"/>
  <c r="J22" i="1"/>
  <c r="J23" i="1"/>
  <c r="J24" i="1"/>
  <c r="J25" i="1"/>
  <c r="J26" i="1"/>
  <c r="J27" i="1"/>
  <c r="N27" i="2"/>
  <c r="N26" i="2"/>
  <c r="N25" i="2"/>
  <c r="N17" i="2"/>
  <c r="N5" i="2"/>
  <c r="N6" i="2"/>
  <c r="N7" i="2"/>
  <c r="N8" i="2"/>
  <c r="N9" i="2"/>
  <c r="N10" i="2"/>
  <c r="N11" i="2"/>
  <c r="N12" i="2"/>
  <c r="N13" i="2"/>
  <c r="N14" i="2"/>
  <c r="N15" i="2"/>
  <c r="N16" i="2"/>
  <c r="N18" i="2"/>
  <c r="N19" i="2"/>
  <c r="N20" i="2"/>
  <c r="N21" i="2"/>
  <c r="N22" i="2"/>
  <c r="N23" i="2"/>
  <c r="N24" i="2"/>
  <c r="F10" i="2"/>
  <c r="F16" i="2"/>
  <c r="F17" i="2"/>
  <c r="F18" i="2"/>
  <c r="F25" i="2"/>
  <c r="F26" i="2"/>
  <c r="F14" i="2"/>
  <c r="AH15" i="2"/>
  <c r="AH13" i="2"/>
  <c r="AH11" i="2"/>
  <c r="AH12" i="2"/>
  <c r="AH10" i="2"/>
  <c r="AH9" i="2"/>
  <c r="AI9" i="2" s="1"/>
  <c r="AH8" i="2"/>
  <c r="AH7" i="2"/>
  <c r="AH6" i="2"/>
  <c r="AH5" i="2"/>
  <c r="AI5" i="2" s="1"/>
  <c r="C59" i="1" s="1"/>
  <c r="F5" i="2"/>
  <c r="F6" i="2"/>
  <c r="F7" i="2"/>
  <c r="F8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0" i="2"/>
  <c r="X21" i="2"/>
  <c r="X22" i="2"/>
  <c r="X23" i="2"/>
  <c r="X24" i="2"/>
  <c r="X25" i="2"/>
  <c r="X26" i="2"/>
  <c r="X5" i="2"/>
  <c r="F9" i="2"/>
  <c r="F11" i="2"/>
  <c r="F12" i="2"/>
  <c r="F13" i="2"/>
  <c r="F15" i="2"/>
  <c r="F19" i="2"/>
  <c r="F20" i="2"/>
  <c r="F21" i="2"/>
  <c r="F22" i="2"/>
  <c r="F23" i="2"/>
  <c r="F24" i="2"/>
  <c r="G49" i="4" l="1"/>
  <c r="G85" i="4"/>
  <c r="J75" i="1"/>
  <c r="G30" i="1"/>
  <c r="O36" i="1" s="1"/>
  <c r="J30" i="1"/>
  <c r="J63" i="1"/>
  <c r="F15" i="4"/>
  <c r="D59" i="1"/>
  <c r="Q14" i="1"/>
  <c r="H58" i="1"/>
  <c r="K58" i="1" s="1"/>
  <c r="H59" i="1"/>
  <c r="K59" i="1" s="1"/>
  <c r="J49" i="1"/>
  <c r="Y12" i="2"/>
  <c r="O5" i="2"/>
  <c r="O19" i="2"/>
  <c r="O12" i="2"/>
  <c r="H5" i="2"/>
  <c r="H19" i="2"/>
  <c r="H11" i="2"/>
  <c r="Y20" i="2"/>
  <c r="Y5" i="2"/>
  <c r="AI6" i="2"/>
  <c r="C60" i="1" s="1"/>
  <c r="AI10" i="2"/>
  <c r="AI13" i="2"/>
  <c r="C57" i="1" s="1"/>
  <c r="M40" i="1" l="1"/>
  <c r="O42" i="1" s="1"/>
  <c r="D60" i="1"/>
  <c r="D57" i="1"/>
  <c r="H57" i="1"/>
  <c r="K57" i="1" s="1"/>
  <c r="H60" i="1"/>
  <c r="K60" i="1" s="1"/>
  <c r="C27" i="1"/>
  <c r="C46" i="1"/>
  <c r="C9" i="1"/>
  <c r="D9" i="1" s="1"/>
  <c r="C42" i="1"/>
  <c r="C23" i="1"/>
  <c r="C6" i="1"/>
  <c r="C39" i="1"/>
  <c r="C20" i="1"/>
  <c r="C26" i="1"/>
  <c r="C45" i="1"/>
  <c r="C10" i="1"/>
  <c r="C24" i="1"/>
  <c r="C43" i="1"/>
  <c r="C7" i="1"/>
  <c r="D7" i="1" s="1"/>
  <c r="C21" i="1"/>
  <c r="C70" i="1" s="1"/>
  <c r="H70" i="1" s="1"/>
  <c r="K70" i="1" s="1"/>
  <c r="C40" i="1"/>
  <c r="C8" i="1"/>
  <c r="C22" i="1"/>
  <c r="C41" i="1"/>
  <c r="C44" i="1"/>
  <c r="C25" i="1"/>
  <c r="C72" i="1" s="1"/>
  <c r="H72" i="1" s="1"/>
  <c r="K72" i="1" s="1"/>
  <c r="C12" i="1"/>
  <c r="C13" i="1"/>
  <c r="C11" i="1"/>
  <c r="J6" i="1"/>
  <c r="G7" i="1"/>
  <c r="H20" i="1" l="1"/>
  <c r="C68" i="1"/>
  <c r="H68" i="1" s="1"/>
  <c r="K68" i="1" s="1"/>
  <c r="H23" i="1"/>
  <c r="K23" i="1" s="1"/>
  <c r="C69" i="1"/>
  <c r="H69" i="1" s="1"/>
  <c r="K69" i="1" s="1"/>
  <c r="K75" i="1" s="1"/>
  <c r="H22" i="1"/>
  <c r="K22" i="1" s="1"/>
  <c r="C71" i="1"/>
  <c r="H71" i="1" s="1"/>
  <c r="K71" i="1" s="1"/>
  <c r="K63" i="1"/>
  <c r="G13" i="1"/>
  <c r="H13" i="1" s="1"/>
  <c r="K13" i="1" s="1"/>
  <c r="D13" i="1"/>
  <c r="G10" i="1"/>
  <c r="H10" i="1" s="1"/>
  <c r="K10" i="1" s="1"/>
  <c r="D10" i="1"/>
  <c r="J12" i="1"/>
  <c r="D12" i="1"/>
  <c r="G6" i="1"/>
  <c r="H6" i="1" s="1"/>
  <c r="K6" i="1" s="1"/>
  <c r="D6" i="1"/>
  <c r="G8" i="1"/>
  <c r="H8" i="1" s="1"/>
  <c r="K8" i="1" s="1"/>
  <c r="D8" i="1"/>
  <c r="G11" i="1"/>
  <c r="H11" i="1" s="1"/>
  <c r="K11" i="1" s="1"/>
  <c r="D11" i="1"/>
  <c r="H46" i="1"/>
  <c r="K46" i="1" s="1"/>
  <c r="D46" i="1"/>
  <c r="H42" i="1"/>
  <c r="K42" i="1" s="1"/>
  <c r="D42" i="1"/>
  <c r="D23" i="1"/>
  <c r="H39" i="1"/>
  <c r="K39" i="1" s="1"/>
  <c r="D39" i="1"/>
  <c r="D20" i="1"/>
  <c r="K20" i="1"/>
  <c r="H45" i="1"/>
  <c r="K45" i="1" s="1"/>
  <c r="D45" i="1"/>
  <c r="D24" i="1"/>
  <c r="H24" i="1"/>
  <c r="K24" i="1" s="1"/>
  <c r="D43" i="1"/>
  <c r="H43" i="1"/>
  <c r="K43" i="1" s="1"/>
  <c r="H40" i="1"/>
  <c r="K40" i="1" s="1"/>
  <c r="D40" i="1"/>
  <c r="D21" i="1"/>
  <c r="H21" i="1"/>
  <c r="K21" i="1" s="1"/>
  <c r="D41" i="1"/>
  <c r="H41" i="1"/>
  <c r="K41" i="1" s="1"/>
  <c r="D22" i="1"/>
  <c r="H44" i="1"/>
  <c r="K44" i="1" s="1"/>
  <c r="D44" i="1"/>
  <c r="D26" i="1"/>
  <c r="H26" i="1"/>
  <c r="K26" i="1" s="1"/>
  <c r="D27" i="1"/>
  <c r="H27" i="1"/>
  <c r="K27" i="1" s="1"/>
  <c r="D25" i="1"/>
  <c r="H25" i="1"/>
  <c r="K25" i="1" s="1"/>
  <c r="J13" i="1"/>
  <c r="G12" i="1"/>
  <c r="H12" i="1" s="1"/>
  <c r="K12" i="1" s="1"/>
  <c r="J8" i="1"/>
  <c r="J10" i="1"/>
  <c r="G9" i="1"/>
  <c r="H9" i="1" s="1"/>
  <c r="K9" i="1" s="1"/>
  <c r="J11" i="1"/>
  <c r="J7" i="1"/>
  <c r="H7" i="1"/>
  <c r="K7" i="1" s="1"/>
  <c r="J9" i="1"/>
  <c r="M25" i="1" l="1"/>
  <c r="Q42" i="1" s="1"/>
  <c r="S42" i="1" s="1"/>
  <c r="K30" i="1"/>
  <c r="K49" i="1"/>
  <c r="K16" i="1"/>
</calcChain>
</file>

<file path=xl/sharedStrings.xml><?xml version="1.0" encoding="utf-8"?>
<sst xmlns="http://schemas.openxmlformats.org/spreadsheetml/2006/main" count="412" uniqueCount="226">
  <si>
    <t>PREÇO DE VENDA</t>
  </si>
  <si>
    <t>% DO IFOOD</t>
  </si>
  <si>
    <t>HAMBURGERS</t>
  </si>
  <si>
    <t>MULTIPLICADOR</t>
  </si>
  <si>
    <t>TAXA IFOOD</t>
  </si>
  <si>
    <t>LUCRO</t>
  </si>
  <si>
    <t>CUSTO PREPARO</t>
  </si>
  <si>
    <t>FATURAMENTO S.</t>
  </si>
  <si>
    <t>RESULTADO</t>
  </si>
  <si>
    <t>PAO</t>
  </si>
  <si>
    <t>CARNE</t>
  </si>
  <si>
    <t>MUSSARELA</t>
  </si>
  <si>
    <t>2XMUSSARELA</t>
  </si>
  <si>
    <t>BARBECUE</t>
  </si>
  <si>
    <t>CEBOLA CA.</t>
  </si>
  <si>
    <t>INGREDIENTES</t>
  </si>
  <si>
    <t>QUANTIDADE</t>
  </si>
  <si>
    <t>VALOR</t>
  </si>
  <si>
    <t>VALOR TOTAL</t>
  </si>
  <si>
    <t>2XCARNE</t>
  </si>
  <si>
    <t>MOLHO HOUSE</t>
  </si>
  <si>
    <t>CEBOLA CRY.</t>
  </si>
  <si>
    <t>BACON</t>
  </si>
  <si>
    <t>RUCULA</t>
  </si>
  <si>
    <t>TOMATE</t>
  </si>
  <si>
    <t>SMASH</t>
  </si>
  <si>
    <t>SMASH'S</t>
  </si>
  <si>
    <t>130g</t>
  </si>
  <si>
    <t>CARNE130g</t>
  </si>
  <si>
    <t>ALFACE</t>
  </si>
  <si>
    <t>OVO</t>
  </si>
  <si>
    <t>ESPECIAL</t>
  </si>
  <si>
    <t>CHEDDAR CREMOSO</t>
  </si>
  <si>
    <t>CEBOLA ROXA</t>
  </si>
  <si>
    <t>CREAM CHEESE</t>
  </si>
  <si>
    <t>ESPECIAIS</t>
  </si>
  <si>
    <t>FRANGO DESFIADO</t>
  </si>
  <si>
    <t>CREME GORGONZOLA</t>
  </si>
  <si>
    <t>CARNE DESFIADA</t>
  </si>
  <si>
    <t>FALAFEL HOUSE</t>
  </si>
  <si>
    <t>PREÇO PRODUÇAO</t>
  </si>
  <si>
    <t>PREÇO PRODUÇãO</t>
  </si>
  <si>
    <t>ID</t>
  </si>
  <si>
    <t>VEGETARIANO</t>
  </si>
  <si>
    <t>BATATAS E SUCOS</t>
  </si>
  <si>
    <t>BATATA+SUCO</t>
  </si>
  <si>
    <t>BATATA SIMPLES</t>
  </si>
  <si>
    <t>BATATA</t>
  </si>
  <si>
    <t>CHEDDAR</t>
  </si>
  <si>
    <t>BATATA CHEDDAR BACON</t>
  </si>
  <si>
    <t>SUCO LARANJA</t>
  </si>
  <si>
    <t>LARANJA</t>
  </si>
  <si>
    <t>GARRAFA</t>
  </si>
  <si>
    <t>AÇUCAR</t>
  </si>
  <si>
    <t>HAMBURGER'S 130g ESPECIAIS</t>
  </si>
  <si>
    <t>Coluna1</t>
  </si>
  <si>
    <t>2XOVO</t>
  </si>
  <si>
    <t>2XBACON</t>
  </si>
  <si>
    <t>Baby Monster</t>
  </si>
  <si>
    <t>CHEESE BACON</t>
  </si>
  <si>
    <t>SALAD HOUSE</t>
  </si>
  <si>
    <t>GORGON</t>
  </si>
  <si>
    <t>TOTAL BRUTO DIA</t>
  </si>
  <si>
    <t>VENDAS DO DIA</t>
  </si>
  <si>
    <t>GORGONZOLA</t>
  </si>
  <si>
    <t>MAIONESE ALHO</t>
  </si>
  <si>
    <t>MAIONESE VERDE</t>
  </si>
  <si>
    <t>COMPRA TOTAL</t>
  </si>
  <si>
    <t>POTE DE3,5L 42 REAIS</t>
  </si>
  <si>
    <t>PROMOÇAO 27$ O KG</t>
  </si>
  <si>
    <t>35 O KG FATIADO</t>
  </si>
  <si>
    <t>17 CARTELA COM 24</t>
  </si>
  <si>
    <t>PROMOÇAO BARRA 3KG 105</t>
  </si>
  <si>
    <t>PACOTE 1KG 48 REAIS CORUJAO</t>
  </si>
  <si>
    <t>1KG TA 72 NO CORUJÃO</t>
  </si>
  <si>
    <t>4 REAIS NO SACOLAO</t>
  </si>
  <si>
    <t>CEBOLA CARAMELIZADA</t>
  </si>
  <si>
    <t>CEBOLA CRISPY</t>
  </si>
  <si>
    <t>**CALCULAR AÇUCAR E MANTEIGA***</t>
  </si>
  <si>
    <t>**CALCULAR FARINHA TRIGO E OLEO***</t>
  </si>
  <si>
    <t>Loco Burger</t>
  </si>
  <si>
    <t>HAMBURGER</t>
  </si>
  <si>
    <t>% DO VALOR</t>
  </si>
  <si>
    <t>TAXA DO IFOOD</t>
  </si>
  <si>
    <t>FATURAM. PELO PREÇO DE VENDA</t>
  </si>
  <si>
    <t>DINHEIRO REAL CADA BURGER</t>
  </si>
  <si>
    <t>SPECIAL CHICKEN</t>
  </si>
  <si>
    <t>Monster House</t>
  </si>
  <si>
    <t>GOLDEN</t>
  </si>
  <si>
    <t>Salad House</t>
  </si>
  <si>
    <t>Cheese Bacon</t>
  </si>
  <si>
    <t>Golden</t>
  </si>
  <si>
    <t>Gorgon</t>
  </si>
  <si>
    <t>Special Chicken</t>
  </si>
  <si>
    <t>LUCRO REAL</t>
  </si>
  <si>
    <t>*</t>
  </si>
  <si>
    <t>FRANGO</t>
  </si>
  <si>
    <t>GÁS</t>
  </si>
  <si>
    <t>COLORAL</t>
  </si>
  <si>
    <t>ALHO</t>
  </si>
  <si>
    <t>CEBOLA</t>
  </si>
  <si>
    <t>PREPAROS</t>
  </si>
  <si>
    <t>TOTAL</t>
  </si>
  <si>
    <t>Coluna3</t>
  </si>
  <si>
    <t>Coluna4</t>
  </si>
  <si>
    <t>Coluna5</t>
  </si>
  <si>
    <t>PREPARO</t>
  </si>
  <si>
    <t>1kg</t>
  </si>
  <si>
    <t>PIMENTAO</t>
  </si>
  <si>
    <t>PAGAMENTO DO ENTREGADOR</t>
  </si>
  <si>
    <t>PAGAMENTO FUNCIONARIO1</t>
  </si>
  <si>
    <t>PAGAMENTO FUNCIONARIO2</t>
  </si>
  <si>
    <t>MONSTER HOUSE</t>
  </si>
  <si>
    <t>2XCHEDDAR</t>
  </si>
  <si>
    <t>*VENDAS IFOOD*</t>
  </si>
  <si>
    <t>***VENDAS PELO WHATSAPP***</t>
  </si>
  <si>
    <t>TESTE</t>
  </si>
  <si>
    <t>TOTAL SEM REPOCIÇÃO DE MATERIAL</t>
  </si>
  <si>
    <t>TOTAL SEM REPOSIÇÃO DE MATERIAL</t>
  </si>
  <si>
    <t xml:space="preserve">DA </t>
  </si>
  <si>
    <t>SOMA</t>
  </si>
  <si>
    <t>IFOOD</t>
  </si>
  <si>
    <t>+</t>
  </si>
  <si>
    <t>WPP</t>
  </si>
  <si>
    <t>PERDAS P IFOOD</t>
  </si>
  <si>
    <t>% DESCONTO</t>
  </si>
  <si>
    <t>ADICIONAIS</t>
  </si>
  <si>
    <t>CEBOLA CARAM</t>
  </si>
  <si>
    <t>CARNE SMASH</t>
  </si>
  <si>
    <t>+&gt;&gt;</t>
  </si>
  <si>
    <t>TOTAL DIÁRIO WHATSAPP</t>
  </si>
  <si>
    <t>SUCO - PUDIM - BATATA</t>
  </si>
  <si>
    <t>PUDIM LEITE</t>
  </si>
  <si>
    <t>BATATA CHE+BAC</t>
  </si>
  <si>
    <t>PUDIM DE LEITE</t>
  </si>
  <si>
    <t>LEITE CONDEN</t>
  </si>
  <si>
    <t>LEITE</t>
  </si>
  <si>
    <t>GELATINA</t>
  </si>
  <si>
    <t>CREME DE LEITE</t>
  </si>
  <si>
    <t>POTE</t>
  </si>
  <si>
    <t>COLHER</t>
  </si>
  <si>
    <t>QUANT.</t>
  </si>
  <si>
    <t>DIV. '=</t>
  </si>
  <si>
    <t>EXTRA</t>
  </si>
  <si>
    <t>TOTAL DIÁRIO EXTRAS</t>
  </si>
  <si>
    <t>SOMAR EXTRAS</t>
  </si>
  <si>
    <t>+ = 2600 MÊS</t>
  </si>
  <si>
    <t xml:space="preserve">REPOSIÇAO </t>
  </si>
  <si>
    <t>DE MATERIAL</t>
  </si>
  <si>
    <t>=</t>
  </si>
  <si>
    <t>- TOTAL DIARIO</t>
  </si>
  <si>
    <t>- PERDAS IFOOD</t>
  </si>
  <si>
    <t>REPOSIÇAO</t>
  </si>
  <si>
    <t>TOTAL SEM</t>
  </si>
  <si>
    <t>Q FICA IGUAL</t>
  </si>
  <si>
    <t>&lt;&lt;&lt;</t>
  </si>
  <si>
    <t>BOLSO DIARIO</t>
  </si>
  <si>
    <t>- ENTREGADOR</t>
  </si>
  <si>
    <t>PIX</t>
  </si>
  <si>
    <t>DINHEIRO</t>
  </si>
  <si>
    <t>ENTREGADOR 1</t>
  </si>
  <si>
    <t>ENTREGADOR 2</t>
  </si>
  <si>
    <t>- RESPOSIÇAO</t>
  </si>
  <si>
    <t>- PAGAMENTO</t>
  </si>
  <si>
    <t>FUNCIONARIA1</t>
  </si>
  <si>
    <t>^^^</t>
  </si>
  <si>
    <t>DEZEMBRO</t>
  </si>
  <si>
    <t>ENTRADA</t>
  </si>
  <si>
    <t>MOTOBOY</t>
  </si>
  <si>
    <t>GASTO DE MATERIAL</t>
  </si>
  <si>
    <t>CARNE EM $$$</t>
  </si>
  <si>
    <t>KG</t>
  </si>
  <si>
    <t>CARNE UTILIZADA KG</t>
  </si>
  <si>
    <t>LUCRO EMPRESA +</t>
  </si>
  <si>
    <t>TOTAL DIÁRIO IFOOD</t>
  </si>
  <si>
    <t>LUCRO TOTAL MENSAL DA EMPRESA</t>
  </si>
  <si>
    <t>DA EMPRESA</t>
  </si>
  <si>
    <t>vvv</t>
  </si>
  <si>
    <t>sc</t>
  </si>
  <si>
    <t>de 25 por 19,99</t>
  </si>
  <si>
    <t>loco</t>
  </si>
  <si>
    <t>BATATA RUSTICA**</t>
  </si>
  <si>
    <t>BATATA RUSTICA C+B**</t>
  </si>
  <si>
    <t>BATATA FRITA</t>
  </si>
  <si>
    <t>COMBOS</t>
  </si>
  <si>
    <t>GOLDEN+BATATA</t>
  </si>
  <si>
    <t>GORGON+BATATA</t>
  </si>
  <si>
    <t>VALOR COMBO</t>
  </si>
  <si>
    <t>JANEIRO</t>
  </si>
  <si>
    <t>CARNE NOSSA</t>
  </si>
  <si>
    <t>CARNE NOSSA EM $$$</t>
  </si>
  <si>
    <t>CHEESE BACON+BATATA</t>
  </si>
  <si>
    <t>BABY MONSTER+BATATA</t>
  </si>
  <si>
    <t>MONSTER HOUSE+BATATA</t>
  </si>
  <si>
    <t>PERDAS IFOOD TAXA</t>
  </si>
  <si>
    <t>+combo</t>
  </si>
  <si>
    <t>de 28 por 23</t>
  </si>
  <si>
    <t>Special Chicken**</t>
  </si>
  <si>
    <t>Loco Burger**</t>
  </si>
  <si>
    <t>ALTERAÇAO</t>
  </si>
  <si>
    <t>DE 33</t>
  </si>
  <si>
    <t>POR 34,99</t>
  </si>
  <si>
    <t>FRETE GRATIS</t>
  </si>
  <si>
    <t>DE 25</t>
  </si>
  <si>
    <t>DE 34,99</t>
  </si>
  <si>
    <t>DE 18</t>
  </si>
  <si>
    <t>POR 19,99</t>
  </si>
  <si>
    <t>DE 27</t>
  </si>
  <si>
    <t>POR 28,99</t>
  </si>
  <si>
    <t>POR 33,99</t>
  </si>
  <si>
    <t>CARNE FUNCIONARIOS</t>
  </si>
  <si>
    <t>CARNE FUNCIONARIOS EM $$$</t>
  </si>
  <si>
    <t>Padaria da esquina</t>
  </si>
  <si>
    <t>PACOTE 1KG 44 REAIS ATAKADAO</t>
  </si>
  <si>
    <t>CALCULAR</t>
  </si>
  <si>
    <t>10 REAIS NO MERCADO</t>
  </si>
  <si>
    <t>PROMOÇAO 4 REAIS NO MERCADO</t>
  </si>
  <si>
    <t>UM MAÇO 4 REAIS NO MERCADO</t>
  </si>
  <si>
    <t>Hamburger 1</t>
  </si>
  <si>
    <t>Hamburger 2</t>
  </si>
  <si>
    <t>Hamburger 3</t>
  </si>
  <si>
    <t>Hamburger 4</t>
  </si>
  <si>
    <t>Hamburger 5</t>
  </si>
  <si>
    <t>Hamburger 6</t>
  </si>
  <si>
    <t>Hamburger 7</t>
  </si>
  <si>
    <t>Hamburger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</si>
</sst>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 val="singleAccounting"/>
      <sz val="11"/>
      <color rgb="FFFFC000"/>
      <name val="Calibri"/>
      <family val="2"/>
      <scheme val="minor"/>
    </font>
    <font>
      <b/>
      <u val="singleAccounting"/>
      <sz val="11"/>
      <color theme="1" tint="4.9989318521683403E-2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rgb="FFFF3399"/>
        <bgColor theme="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0" fillId="0" borderId="8" xfId="0" applyBorder="1"/>
    <xf numFmtId="44" fontId="0" fillId="0" borderId="6" xfId="0" applyNumberFormat="1" applyBorder="1"/>
    <xf numFmtId="0" fontId="4" fillId="0" borderId="11" xfId="0" applyFont="1" applyBorder="1" applyAlignment="1">
      <alignment horizontal="center" vertical="center"/>
    </xf>
    <xf numFmtId="44" fontId="4" fillId="0" borderId="11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4" fontId="4" fillId="0" borderId="12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4" fontId="4" fillId="0" borderId="4" xfId="1" applyFont="1" applyBorder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/>
    <xf numFmtId="0" fontId="0" fillId="0" borderId="14" xfId="0" applyBorder="1" applyAlignment="1">
      <alignment horizontal="center" vertical="center"/>
    </xf>
    <xf numFmtId="0" fontId="0" fillId="0" borderId="5" xfId="0" applyBorder="1"/>
    <xf numFmtId="44" fontId="0" fillId="0" borderId="2" xfId="0" applyNumberFormat="1" applyBorder="1"/>
    <xf numFmtId="0" fontId="0" fillId="3" borderId="7" xfId="0" applyFill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4" fontId="0" fillId="0" borderId="7" xfId="0" applyNumberFormat="1" applyBorder="1"/>
    <xf numFmtId="0" fontId="0" fillId="0" borderId="9" xfId="0" applyBorder="1" applyAlignment="1">
      <alignment horizontal="center" vertical="center"/>
    </xf>
    <xf numFmtId="44" fontId="4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4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4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4" fontId="0" fillId="0" borderId="16" xfId="1" applyFont="1" applyBorder="1" applyAlignment="1">
      <alignment horizontal="center" vertical="center"/>
    </xf>
    <xf numFmtId="4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44" fontId="0" fillId="8" borderId="8" xfId="0" applyNumberFormat="1" applyFill="1" applyBorder="1"/>
    <xf numFmtId="44" fontId="5" fillId="8" borderId="9" xfId="0" applyNumberFormat="1" applyFont="1" applyFill="1" applyBorder="1" applyAlignment="1">
      <alignment horizontal="center" vertical="center"/>
    </xf>
    <xf numFmtId="44" fontId="0" fillId="8" borderId="6" xfId="0" applyNumberFormat="1" applyFill="1" applyBorder="1"/>
    <xf numFmtId="44" fontId="0" fillId="8" borderId="7" xfId="0" applyNumberFormat="1" applyFill="1" applyBorder="1"/>
    <xf numFmtId="9" fontId="0" fillId="0" borderId="7" xfId="2" applyFon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44" fontId="0" fillId="7" borderId="7" xfId="1" applyFont="1" applyFill="1" applyBorder="1" applyAlignment="1">
      <alignment horizontal="center" vertical="center"/>
    </xf>
    <xf numFmtId="44" fontId="0" fillId="7" borderId="8" xfId="1" applyFont="1" applyFill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44" fontId="0" fillId="9" borderId="7" xfId="0" applyNumberFormat="1" applyFill="1" applyBorder="1" applyAlignment="1">
      <alignment horizontal="center" vertical="center"/>
    </xf>
    <xf numFmtId="44" fontId="0" fillId="9" borderId="8" xfId="0" applyNumberFormat="1" applyFill="1" applyBorder="1" applyAlignment="1">
      <alignment horizontal="center" vertical="center"/>
    </xf>
    <xf numFmtId="44" fontId="0" fillId="8" borderId="7" xfId="0" applyNumberFormat="1" applyFill="1" applyBorder="1" applyAlignment="1">
      <alignment horizontal="center" vertical="center"/>
    </xf>
    <xf numFmtId="44" fontId="0" fillId="8" borderId="8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44" fontId="0" fillId="9" borderId="3" xfId="1" applyFont="1" applyFill="1" applyBorder="1" applyAlignment="1">
      <alignment horizontal="center" vertical="center"/>
    </xf>
    <xf numFmtId="44" fontId="0" fillId="9" borderId="5" xfId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4" fontId="0" fillId="0" borderId="22" xfId="0" applyNumberFormat="1" applyBorder="1" applyAlignment="1">
      <alignment horizontal="center" vertical="center"/>
    </xf>
    <xf numFmtId="44" fontId="0" fillId="6" borderId="15" xfId="0" applyNumberFormat="1" applyFill="1" applyBorder="1"/>
    <xf numFmtId="44" fontId="0" fillId="6" borderId="14" xfId="0" applyNumberFormat="1" applyFill="1" applyBorder="1"/>
    <xf numFmtId="9" fontId="0" fillId="0" borderId="7" xfId="2" quotePrefix="1" applyFont="1" applyBorder="1" applyAlignment="1">
      <alignment horizontal="center" vertical="center"/>
    </xf>
    <xf numFmtId="44" fontId="0" fillId="0" borderId="1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0" fillId="8" borderId="9" xfId="0" applyNumberFormat="1" applyFill="1" applyBorder="1"/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/>
    <xf numFmtId="0" fontId="0" fillId="0" borderId="9" xfId="0" quotePrefix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44" fontId="2" fillId="9" borderId="9" xfId="0" applyNumberFormat="1" applyFont="1" applyFill="1" applyBorder="1"/>
    <xf numFmtId="44" fontId="2" fillId="8" borderId="9" xfId="0" applyNumberFormat="1" applyFont="1" applyFill="1" applyBorder="1"/>
    <xf numFmtId="44" fontId="2" fillId="8" borderId="9" xfId="1" applyFont="1" applyFill="1" applyBorder="1"/>
    <xf numFmtId="44" fontId="2" fillId="8" borderId="9" xfId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/>
    <xf numFmtId="44" fontId="2" fillId="0" borderId="0" xfId="1" applyFont="1" applyBorder="1"/>
    <xf numFmtId="44" fontId="2" fillId="9" borderId="9" xfId="1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44" fontId="0" fillId="8" borderId="18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44" fontId="4" fillId="0" borderId="7" xfId="1" applyFont="1" applyBorder="1" applyAlignment="1">
      <alignment horizontal="center" vertical="center"/>
    </xf>
    <xf numFmtId="44" fontId="4" fillId="0" borderId="8" xfId="1" applyFont="1" applyBorder="1" applyAlignment="1">
      <alignment horizontal="center" vertical="center"/>
    </xf>
    <xf numFmtId="44" fontId="4" fillId="0" borderId="24" xfId="1" applyFont="1" applyBorder="1" applyAlignment="1">
      <alignment horizontal="center" vertical="center"/>
    </xf>
    <xf numFmtId="44" fontId="4" fillId="0" borderId="26" xfId="1" applyFont="1" applyBorder="1" applyAlignment="1">
      <alignment horizontal="center" vertical="center"/>
    </xf>
    <xf numFmtId="44" fontId="4" fillId="0" borderId="23" xfId="1" applyFont="1" applyBorder="1" applyAlignment="1">
      <alignment horizontal="center" vertical="center"/>
    </xf>
    <xf numFmtId="44" fontId="4" fillId="0" borderId="27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44" fontId="4" fillId="0" borderId="25" xfId="1" applyFont="1" applyBorder="1" applyAlignment="1">
      <alignment horizontal="center" vertical="center"/>
    </xf>
    <xf numFmtId="44" fontId="4" fillId="0" borderId="19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9" fontId="0" fillId="0" borderId="6" xfId="2" quotePrefix="1" applyFont="1" applyBorder="1" applyAlignment="1">
      <alignment horizontal="center" vertical="center"/>
    </xf>
    <xf numFmtId="44" fontId="0" fillId="7" borderId="6" xfId="1" applyFont="1" applyFill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44" fontId="0" fillId="9" borderId="6" xfId="0" applyNumberFormat="1" applyFill="1" applyBorder="1" applyAlignment="1">
      <alignment horizontal="center" vertical="center"/>
    </xf>
    <xf numFmtId="44" fontId="0" fillId="8" borderId="6" xfId="0" applyNumberFormat="1" applyFill="1" applyBorder="1" applyAlignment="1">
      <alignment horizontal="center" vertical="center"/>
    </xf>
    <xf numFmtId="44" fontId="0" fillId="6" borderId="13" xfId="0" applyNumberFormat="1" applyFill="1" applyBorder="1"/>
    <xf numFmtId="44" fontId="0" fillId="0" borderId="4" xfId="0" applyNumberFormat="1" applyBorder="1" applyAlignment="1">
      <alignment horizontal="center" vertical="center"/>
    </xf>
    <xf numFmtId="44" fontId="0" fillId="15" borderId="0" xfId="0" applyNumberFormat="1" applyFill="1"/>
    <xf numFmtId="0" fontId="2" fillId="8" borderId="9" xfId="0" applyFont="1" applyFill="1" applyBorder="1" applyAlignment="1">
      <alignment horizontal="center" vertical="center"/>
    </xf>
    <xf numFmtId="9" fontId="0" fillId="7" borderId="7" xfId="2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1" fillId="0" borderId="6" xfId="1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44" fontId="2" fillId="6" borderId="8" xfId="0" applyNumberFormat="1" applyFont="1" applyFill="1" applyBorder="1" applyAlignment="1">
      <alignment horizontal="center" vertical="center"/>
    </xf>
    <xf numFmtId="44" fontId="12" fillId="0" borderId="9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44" fontId="2" fillId="0" borderId="9" xfId="0" applyNumberFormat="1" applyFont="1" applyBorder="1" applyAlignment="1">
      <alignment horizontal="center" vertical="center"/>
    </xf>
    <xf numFmtId="44" fontId="2" fillId="9" borderId="9" xfId="1" applyFont="1" applyFill="1" applyBorder="1"/>
    <xf numFmtId="44" fontId="2" fillId="8" borderId="9" xfId="0" applyNumberFormat="1" applyFont="1" applyFill="1" applyBorder="1" applyAlignment="1">
      <alignment horizontal="center" vertical="center"/>
    </xf>
    <xf numFmtId="44" fontId="6" fillId="11" borderId="9" xfId="1" applyFont="1" applyFill="1" applyBorder="1" applyAlignment="1">
      <alignment horizontal="center" vertical="center"/>
    </xf>
    <xf numFmtId="44" fontId="6" fillId="11" borderId="9" xfId="0" applyNumberFormat="1" applyFont="1" applyFill="1" applyBorder="1" applyAlignment="1">
      <alignment horizontal="center" vertical="center"/>
    </xf>
    <xf numFmtId="44" fontId="13" fillId="16" borderId="9" xfId="0" applyNumberFormat="1" applyFont="1" applyFill="1" applyBorder="1" applyAlignment="1">
      <alignment horizontal="center" vertical="center"/>
    </xf>
    <xf numFmtId="44" fontId="15" fillId="4" borderId="9" xfId="0" applyNumberFormat="1" applyFont="1" applyFill="1" applyBorder="1"/>
    <xf numFmtId="0" fontId="2" fillId="0" borderId="9" xfId="0" quotePrefix="1" applyFont="1" applyBorder="1" applyAlignment="1">
      <alignment horizontal="center" vertical="center"/>
    </xf>
    <xf numFmtId="44" fontId="0" fillId="0" borderId="9" xfId="1" applyFont="1" applyBorder="1"/>
    <xf numFmtId="44" fontId="6" fillId="11" borderId="6" xfId="0" applyNumberFormat="1" applyFont="1" applyFill="1" applyBorder="1" applyAlignment="1">
      <alignment horizontal="center" vertical="center"/>
    </xf>
    <xf numFmtId="44" fontId="2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4" fontId="6" fillId="11" borderId="6" xfId="1" applyFont="1" applyFill="1" applyBorder="1" applyAlignment="1">
      <alignment horizontal="center" vertical="center"/>
    </xf>
    <xf numFmtId="44" fontId="2" fillId="8" borderId="6" xfId="0" applyNumberFormat="1" applyFont="1" applyFill="1" applyBorder="1" applyAlignment="1">
      <alignment horizontal="center" vertical="center"/>
    </xf>
    <xf numFmtId="44" fontId="9" fillId="8" borderId="8" xfId="0" applyNumberFormat="1" applyFont="1" applyFill="1" applyBorder="1"/>
    <xf numFmtId="0" fontId="6" fillId="20" borderId="10" xfId="0" applyFont="1" applyFill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6" fillId="20" borderId="12" xfId="0" applyFont="1" applyFill="1" applyBorder="1"/>
    <xf numFmtId="44" fontId="0" fillId="0" borderId="9" xfId="0" applyNumberFormat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0" fontId="6" fillId="20" borderId="4" xfId="0" applyFont="1" applyFill="1" applyBorder="1" applyAlignment="1">
      <alignment horizontal="center" vertical="center"/>
    </xf>
    <xf numFmtId="44" fontId="0" fillId="8" borderId="9" xfId="0" applyNumberFormat="1" applyFill="1" applyBorder="1" applyAlignment="1">
      <alignment horizontal="center" vertical="center"/>
    </xf>
    <xf numFmtId="44" fontId="0" fillId="9" borderId="9" xfId="0" applyNumberFormat="1" applyFill="1" applyBorder="1" applyAlignment="1">
      <alignment horizontal="center" vertical="center"/>
    </xf>
    <xf numFmtId="44" fontId="0" fillId="6" borderId="9" xfId="0" applyNumberFormat="1" applyFill="1" applyBorder="1"/>
    <xf numFmtId="0" fontId="6" fillId="19" borderId="9" xfId="0" applyFont="1" applyFill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44" fontId="2" fillId="8" borderId="6" xfId="1" applyFont="1" applyFill="1" applyBorder="1" applyAlignment="1">
      <alignment horizontal="center" vertical="center"/>
    </xf>
    <xf numFmtId="44" fontId="2" fillId="8" borderId="8" xfId="1" applyFont="1" applyFill="1" applyBorder="1" applyAlignment="1">
      <alignment horizontal="center" vertical="center"/>
    </xf>
    <xf numFmtId="0" fontId="0" fillId="8" borderId="0" xfId="0" applyFill="1"/>
    <xf numFmtId="0" fontId="2" fillId="9" borderId="6" xfId="0" applyFont="1" applyFill="1" applyBorder="1" applyAlignment="1">
      <alignment horizontal="center" vertical="center"/>
    </xf>
    <xf numFmtId="44" fontId="0" fillId="9" borderId="9" xfId="0" applyNumberFormat="1" applyFill="1" applyBorder="1"/>
    <xf numFmtId="0" fontId="6" fillId="19" borderId="29" xfId="0" applyFont="1" applyFill="1" applyBorder="1" applyAlignment="1">
      <alignment horizontal="center" vertical="center"/>
    </xf>
    <xf numFmtId="0" fontId="6" fillId="21" borderId="28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44" fontId="0" fillId="9" borderId="0" xfId="1" applyFont="1" applyFill="1" applyAlignment="1">
      <alignment horizontal="center" vertical="center"/>
    </xf>
    <xf numFmtId="44" fontId="2" fillId="6" borderId="9" xfId="0" applyNumberFormat="1" applyFont="1" applyFill="1" applyBorder="1" applyAlignment="1">
      <alignment horizontal="center" vertical="center"/>
    </xf>
    <xf numFmtId="44" fontId="2" fillId="6" borderId="9" xfId="1" applyFont="1" applyFill="1" applyBorder="1" applyAlignment="1">
      <alignment horizontal="center" vertical="center"/>
    </xf>
    <xf numFmtId="44" fontId="2" fillId="6" borderId="6" xfId="1" applyFont="1" applyFill="1" applyBorder="1" applyAlignment="1">
      <alignment horizontal="center" vertical="center"/>
    </xf>
    <xf numFmtId="44" fontId="2" fillId="9" borderId="0" xfId="1" applyFont="1" applyFill="1" applyAlignment="1">
      <alignment horizontal="center" vertical="center"/>
    </xf>
    <xf numFmtId="44" fontId="2" fillId="11" borderId="9" xfId="0" applyNumberFormat="1" applyFont="1" applyFill="1" applyBorder="1" applyAlignment="1">
      <alignment horizontal="center" vertical="center"/>
    </xf>
    <xf numFmtId="44" fontId="2" fillId="11" borderId="9" xfId="1" applyFont="1" applyFill="1" applyBorder="1" applyAlignment="1">
      <alignment horizontal="center" vertical="center"/>
    </xf>
    <xf numFmtId="44" fontId="2" fillId="11" borderId="6" xfId="1" applyFont="1" applyFill="1" applyBorder="1" applyAlignment="1">
      <alignment horizontal="center" vertical="center"/>
    </xf>
    <xf numFmtId="164" fontId="2" fillId="11" borderId="9" xfId="1" applyNumberFormat="1" applyFont="1" applyFill="1" applyBorder="1" applyAlignment="1">
      <alignment horizontal="center" vertical="center"/>
    </xf>
    <xf numFmtId="0" fontId="0" fillId="18" borderId="12" xfId="0" applyFill="1" applyBorder="1"/>
    <xf numFmtId="0" fontId="2" fillId="0" borderId="0" xfId="0" quotePrefix="1" applyFont="1" applyAlignment="1">
      <alignment horizontal="left" vertical="center"/>
    </xf>
    <xf numFmtId="44" fontId="9" fillId="8" borderId="0" xfId="0" applyNumberFormat="1" applyFont="1" applyFill="1"/>
    <xf numFmtId="0" fontId="16" fillId="0" borderId="7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0" fillId="13" borderId="11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17" borderId="7" xfId="0" applyNumberFormat="1" applyFont="1" applyFill="1" applyBorder="1" applyAlignment="1">
      <alignment horizontal="center" vertical="center"/>
    </xf>
    <xf numFmtId="164" fontId="2" fillId="17" borderId="8" xfId="0" applyNumberFormat="1" applyFont="1" applyFill="1" applyBorder="1" applyAlignment="1">
      <alignment horizontal="center" vertical="center"/>
    </xf>
    <xf numFmtId="44" fontId="14" fillId="9" borderId="6" xfId="1" applyFont="1" applyFill="1" applyBorder="1" applyAlignment="1">
      <alignment horizontal="center" vertical="center"/>
    </xf>
    <xf numFmtId="44" fontId="14" fillId="9" borderId="7" xfId="1" applyFont="1" applyFill="1" applyBorder="1" applyAlignment="1">
      <alignment horizontal="center" vertical="center"/>
    </xf>
    <xf numFmtId="44" fontId="14" fillId="9" borderId="8" xfId="1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4" fontId="9" fillId="8" borderId="0" xfId="0" applyNumberFormat="1" applyFont="1" applyFill="1" applyAlignment="1">
      <alignment horizontal="center"/>
    </xf>
    <xf numFmtId="0" fontId="9" fillId="18" borderId="10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8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3399"/>
        </patternFill>
      </fill>
      <alignment horizontal="center" vertical="center" textRotation="0" wrapText="0" indent="0" justifyLastLine="0" shrinkToFit="0" readingOrder="0"/>
    </dxf>
    <dxf>
      <font>
        <b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3399"/>
        </patternFill>
      </fill>
      <alignment horizontal="center" vertical="center" textRotation="0" wrapText="0" indent="0" justifyLastLine="0" shrinkToFit="0" readingOrder="0"/>
    </dxf>
    <dxf>
      <font>
        <b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2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/>
        <family val="2"/>
      </font>
      <alignment horizontal="center" vertical="center" textRotation="0" wrapText="0" indent="0" justifyLastLine="0" shrinkToFit="0" readingOrder="0"/>
    </dxf>
    <dxf>
      <font>
        <b/>
        <family val="2"/>
      </font>
      <alignment horizontal="center" vertical="center" textRotation="0" wrapText="0" indent="0" justifyLastLine="0" shrinkToFit="0" readingOrder="0"/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outline="0">
        <left style="medium">
          <color indexed="64"/>
        </left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border outline="0">
        <left style="medium">
          <color indexed="64"/>
        </left>
      </border>
    </dxf>
    <dxf>
      <fill>
        <patternFill patternType="solid">
          <fgColor indexed="64"/>
          <bgColor rgb="FFFFFF00"/>
        </patternFill>
      </fill>
      <border outline="0">
        <right style="medium">
          <color indexed="64"/>
        </right>
      </border>
    </dxf>
    <dxf>
      <border outline="0">
        <left style="medium">
          <color indexed="64"/>
        </left>
        <right style="medium">
          <color indexed="64"/>
        </right>
      </border>
    </dxf>
    <dxf>
      <fill>
        <patternFill patternType="solid">
          <fgColor indexed="64"/>
          <bgColor rgb="FF92D050"/>
        </patternFill>
      </fill>
      <border outline="0">
        <left style="medium">
          <color indexed="64"/>
        </left>
      </border>
    </dxf>
    <dxf>
      <fill>
        <patternFill patternType="solid">
          <fgColor indexed="64"/>
          <bgColor rgb="FFFF3399"/>
        </patternFill>
      </fill>
      <border outline="0">
        <right style="medium">
          <color indexed="64"/>
        </right>
      </border>
    </dxf>
    <dxf>
      <border outline="0">
        <right style="medium">
          <color indexed="64"/>
        </right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FFFF00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FF3399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rgb="FFFF3399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FFFF00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FF3399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rgb="FFFF3399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FFFF00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FF3399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rgb="FFFF3399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434343"/>
        </patternFill>
      </fill>
    </dxf>
  </dxfs>
  <tableStyles count="1" defaultTableStyle="TableStyleMedium2" defaultPivotStyle="PivotStyleLight16">
    <tableStyle name="Estilo de Tabela 1" pivot="0" count="1" xr9:uid="{A0FCE3AC-77D8-48C9-8C50-F6E034587057}">
      <tableStyleElement type="wholeTable" dxfId="152"/>
    </tableStyle>
  </tableStyles>
  <colors>
    <mruColors>
      <color rgb="FFFF33CC"/>
      <color rgb="FFFF3399"/>
      <color rgb="FF434343"/>
      <color rgb="FF996633"/>
      <color rgb="FFFF9F11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'$$$ DIARIA'!$B$18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'$$$ DIARIA'!$B$19:$B$47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F-49FA-ACB3-3AA3F9D0831B}"/>
            </c:ext>
          </c:extLst>
        </c:ser>
        <c:ser>
          <c:idx val="1"/>
          <c:order val="1"/>
          <c:tx>
            <c:strRef>
              <c:f>'$$$ DIARIA'!$C$18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'$$$ DIARIA'!$C$19:$C$47</c:f>
              <c:numCache>
                <c:formatCode>_("R$"* #,##0.00_);_("R$"* \(#,##0.00\);_("R$"* "-"??_);_(@_)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F-49FA-ACB3-3AA3F9D0831B}"/>
            </c:ext>
          </c:extLst>
        </c:ser>
        <c:ser>
          <c:idx val="2"/>
          <c:order val="2"/>
          <c:tx>
            <c:strRef>
              <c:f>'$$$ DIARIA'!$D$18</c:f>
              <c:strCache>
                <c:ptCount val="1"/>
                <c:pt idx="0">
                  <c:v>MOTOBOY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'$$$ DIARIA'!$D$19:$D$47</c:f>
              <c:numCache>
                <c:formatCode>_("R$"* #,##0.00_);_("R$"* \(#,##0.00\);_("R$"* "-"??_);_(@_)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F-49FA-ACB3-3AA3F9D0831B}"/>
            </c:ext>
          </c:extLst>
        </c:ser>
        <c:ser>
          <c:idx val="3"/>
          <c:order val="3"/>
          <c:tx>
            <c:strRef>
              <c:f>'$$$ DIARIA'!$E$18</c:f>
              <c:strCache>
                <c:ptCount val="1"/>
                <c:pt idx="0">
                  <c:v>Coluna1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'$$$ DIARIA'!$E$19:$E$47</c:f>
            </c:numRef>
          </c:val>
          <c:extLst>
            <c:ext xmlns:c16="http://schemas.microsoft.com/office/drawing/2014/chart" uri="{C3380CC4-5D6E-409C-BE32-E72D297353CC}">
              <c16:uniqueId val="{00000003-C21F-49FA-ACB3-3AA3F9D0831B}"/>
            </c:ext>
          </c:extLst>
        </c:ser>
        <c:ser>
          <c:idx val="4"/>
          <c:order val="4"/>
          <c:tx>
            <c:strRef>
              <c:f>'$$$ DIARIA'!$F$18</c:f>
              <c:strCache>
                <c:ptCount val="1"/>
                <c:pt idx="0">
                  <c:v>GASTO DE MATERIAL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'$$$ DIARIA'!$F$19:$F$47</c:f>
              <c:numCache>
                <c:formatCode>_("R$"* #,##0.00_);_("R$"* \(#,##0.00\);_("R$"* "-"??_);_(@_)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5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F-49FA-ACB3-3AA3F9D0831B}"/>
            </c:ext>
          </c:extLst>
        </c:ser>
        <c:ser>
          <c:idx val="5"/>
          <c:order val="5"/>
          <c:tx>
            <c:strRef>
              <c:f>'$$$ DIARIA'!$G$18</c:f>
              <c:strCache>
                <c:ptCount val="1"/>
                <c:pt idx="0">
                  <c:v>CARNE UTILIZADA KG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'$$$ DIARIA'!$G$19:$G$47</c:f>
              <c:numCache>
                <c:formatCode>0.000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5-C21F-49FA-ACB3-3AA3F9D0831B}"/>
            </c:ext>
          </c:extLst>
        </c:ser>
        <c:ser>
          <c:idx val="6"/>
          <c:order val="6"/>
          <c:tx>
            <c:strRef>
              <c:f>'$$$ DIARIA'!$H$18</c:f>
              <c:strCache>
                <c:ptCount val="1"/>
                <c:pt idx="0">
                  <c:v>CARNE FUNCIONARIOS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'$$$ DIARIA'!$H$19:$H$47</c:f>
              <c:numCache>
                <c:formatCode>0.000</c:formatCode>
                <c:ptCount val="29"/>
                <c:pt idx="28" formatCode="_(&quot;R$&quot;* #,##0.00_);_(&quot;R$&quot;* \(#,##0.00\);_(&quot;R$&quot;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1F-49FA-ACB3-3AA3F9D0831B}"/>
            </c:ext>
          </c:extLst>
        </c:ser>
        <c:ser>
          <c:idx val="7"/>
          <c:order val="7"/>
          <c:tx>
            <c:strRef>
              <c:f>'$$$ DIARIA'!$I$18</c:f>
              <c:strCache>
                <c:ptCount val="1"/>
                <c:pt idx="0">
                  <c:v>CARNE FUNCIONARIOS EM $$$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'$$$ DIARIA'!$I$19:$I$47</c:f>
              <c:numCache>
                <c:formatCode>_("R$"* #,##0.00_);_("R$"* \(#,##0.00\);_("R$"* "-"??_);_(@_)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1F-49FA-ACB3-3AA3F9D0831B}"/>
            </c:ext>
          </c:extLst>
        </c:ser>
        <c:ser>
          <c:idx val="8"/>
          <c:order val="8"/>
          <c:tx>
            <c:strRef>
              <c:f>'$$$ DIARIA'!$J$18</c:f>
              <c:strCache>
                <c:ptCount val="1"/>
                <c:pt idx="0">
                  <c:v>PERDAS IFOOD TAXA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'$$$ DIARIA'!$J$19:$J$47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8-C21F-49FA-ACB3-3AA3F9D0831B}"/>
            </c:ext>
          </c:extLst>
        </c:ser>
        <c:ser>
          <c:idx val="9"/>
          <c:order val="9"/>
          <c:tx>
            <c:strRef>
              <c:f>'$$$ DIARIA'!$K$18</c:f>
              <c:strCache>
                <c:ptCount val="1"/>
                <c:pt idx="0">
                  <c:v>LUCRO EMPRESA +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'$$$ DIARIA'!$K$19:$K$47</c:f>
              <c:numCache>
                <c:formatCode>_("R$"* #,##0.00_);_("R$"* \(#,##0.00\);_("R$"* "-"??_);_(@_)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1F-49FA-ACB3-3AA3F9D0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888944"/>
        <c:axId val="761889424"/>
      </c:barChart>
      <c:catAx>
        <c:axId val="76188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889424"/>
        <c:crosses val="autoZero"/>
        <c:auto val="1"/>
        <c:lblAlgn val="ctr"/>
        <c:lblOffset val="100"/>
        <c:noMultiLvlLbl val="0"/>
      </c:catAx>
      <c:valAx>
        <c:axId val="7618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8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EEF0C1-F8DA-48BB-AD52-759A77BC74C5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5B61B-1E66-98E4-9E01-0A1CBBE933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92BB47-C4B1-4A43-9049-7F1D58DDF8DD}" name="Tabela3" displayName="Tabela3" ref="B3:E21" totalsRowShown="0" headerRowDxfId="151" dataDxfId="150">
  <autoFilter ref="B3:E21" xr:uid="{5092BB47-C4B1-4A43-9049-7F1D58DDF8DD}">
    <filterColumn colId="0" hiddenButton="1"/>
    <filterColumn colId="1" hiddenButton="1"/>
    <filterColumn colId="2" hiddenButton="1"/>
    <filterColumn colId="3" hiddenButton="1"/>
  </autoFilter>
  <tableColumns count="4">
    <tableColumn id="1" xr3:uid="{D3CDF4A7-13F7-415F-AD34-422D7D77DAE3}" name="ID" dataDxfId="149"/>
    <tableColumn id="2" xr3:uid="{12CCB222-D009-48C3-A8A5-16010106AC95}" name="INGREDIENTES" dataDxfId="148"/>
    <tableColumn id="3" xr3:uid="{B51D5057-4804-4814-8F01-2BCEF049A79E}" name="VALOR" dataDxfId="147" dataCellStyle="Moeda"/>
    <tableColumn id="4" xr3:uid="{3E2BA1E0-4CE6-4848-81BF-65F1524244DF}" name="COMPRA TOTAL" dataDxfId="146"/>
  </tableColumns>
  <tableStyleInfo name="TableStyleLight8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13377C-6DC1-4B50-9AD1-68BFAEA5BE46}" name="Tabela611" displayName="Tabela611" ref="B56:K60" totalsRowShown="0" headerRowDxfId="61" dataDxfId="59" headerRowBorderDxfId="60" tableBorderDxfId="58">
  <autoFilter ref="B56:K60" xr:uid="{EB13377C-6DC1-4B50-9AD1-68BFAEA5BE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B30FFD9-5FC0-4A68-A026-57A117DBBA9A}" name="EXTRA" dataDxfId="57"/>
    <tableColumn id="2" xr3:uid="{F7F2A49B-3AF5-46D3-81D9-79C73A357080}" name="CUSTO PREPARO" dataDxfId="56" dataCellStyle="Moeda"/>
    <tableColumn id="3" xr3:uid="{2ED6C2D7-2F78-45B0-9C32-A5E0ECF8FF6D}" name="% DO VALOR" dataDxfId="55" dataCellStyle="Porcentagem">
      <calculatedColumnFormula>Tabela611[[#This Row],[PREÇO DE VENDA]]/Tabela611[[#This Row],[CUSTO PREPARO]]</calculatedColumnFormula>
    </tableColumn>
    <tableColumn id="4" xr3:uid="{ECE5C761-497C-4B48-A0A7-760EF538E257}" name="PREÇO DE VENDA" dataDxfId="54" dataCellStyle="Moeda"/>
    <tableColumn id="5" xr3:uid="{5BB6BCCF-6BC0-42E1-B9A5-9E490330F3F0}" name="% DO IFOOD" dataDxfId="53">
      <calculatedColumnFormula>20%</calculatedColumnFormula>
    </tableColumn>
    <tableColumn id="6" xr3:uid="{0C83D9C6-60D2-4944-8A4E-B59BEA64FCA3}" name="TAXA DO IFOOD" dataDxfId="52">
      <calculatedColumnFormula>Tabela611[[#This Row],[% DO IFOOD]]*Tabela611[[#This Row],[PREÇO DE VENDA]]</calculatedColumnFormula>
    </tableColumn>
    <tableColumn id="7" xr3:uid="{D4D9B4DC-2C61-4201-BDEB-967C614E9FB9}" name="LUCRO REAL" dataDxfId="51">
      <calculatedColumnFormula>Tabela611[[#This Row],[PREÇO DE VENDA]]-Tabela611[[#This Row],[CUSTO PREPARO]]-Tabela611[[#This Row],[TAXA DO IFOOD]]</calculatedColumnFormula>
    </tableColumn>
    <tableColumn id="8" xr3:uid="{BD42FD4D-5037-4862-80E5-F4037A2B60B5}" name="VENDAS DO DIA" dataDxfId="50"/>
    <tableColumn id="9" xr3:uid="{3A45C6E3-630F-4F6E-A198-E2089B6DEDD6}" name="FATURAM. PELO PREÇO DE VENDA" dataDxfId="49">
      <calculatedColumnFormula>Tabela611[[#This Row],[VENDAS DO DIA]]*Tabela611[[#This Row],[PREÇO DE VENDA]]</calculatedColumnFormula>
    </tableColumn>
    <tableColumn id="10" xr3:uid="{F5339EC1-5F60-4471-A8D2-55480A0902BA}" name="DINHEIRO REAL CADA BURGER" dataDxfId="48">
      <calculatedColumnFormula>Tabela611[[#This Row],[VENDAS DO DIA]]*Tabela611[[#This Row],[LUCRO REAL]]</calculatedColumnFormula>
    </tableColumn>
  </tableColumns>
  <tableStyleInfo name="TableStyleMedium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D2AD05D-A133-42AB-AD19-F21BA13EAB3A}" name="Tabela12" displayName="Tabela12" ref="B67:K72" totalsRowShown="0" headerRowDxfId="47" headerRowBorderDxfId="46">
  <autoFilter ref="B67:K72" xr:uid="{0D2AD05D-A133-42AB-AD19-F21BA13EAB3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4DE92F1-1B07-40CA-80EE-95DCB059E73F}" name="COMBOS"/>
    <tableColumn id="2" xr3:uid="{CFC92906-8B28-42F7-917D-ACFF52561771}" name="CUSTO PREPARO"/>
    <tableColumn id="3" xr3:uid="{41C827F8-4970-487D-89F8-EC88EA3BF892}" name="VALOR COMBO"/>
    <tableColumn id="4" xr3:uid="{EDACB268-DCB2-49DF-83CE-F42965393F09}" name="PREÇO DE VENDA"/>
    <tableColumn id="5" xr3:uid="{9A93729E-930E-4837-888F-D6F99BF5EB2A}" name="% DO IFOOD" dataDxfId="45">
      <calculatedColumnFormula>18%</calculatedColumnFormula>
    </tableColumn>
    <tableColumn id="6" xr3:uid="{DF30C333-05C6-47CF-95C6-98FBE56B4C30}" name="TAXA DO IFOOD" dataDxfId="44">
      <calculatedColumnFormula>F68*E68</calculatedColumnFormula>
    </tableColumn>
    <tableColumn id="7" xr3:uid="{49D73B3E-9961-4A12-8515-18908D0D9E41}" name="LUCRO REAL" dataDxfId="43">
      <calculatedColumnFormula>E68-C68-G68</calculatedColumnFormula>
    </tableColumn>
    <tableColumn id="8" xr3:uid="{C10B62C8-A6BB-498A-87CD-394632400E32}" name="VENDAS DO DIA" dataDxfId="42"/>
    <tableColumn id="9" xr3:uid="{CA51AF5A-28B8-4A12-A12D-A8A500264691}" name="FATURAM. PELO PREÇO DE VENDA" dataDxfId="41">
      <calculatedColumnFormula>I68*E68</calculatedColumnFormula>
    </tableColumn>
    <tableColumn id="10" xr3:uid="{E9BB4E56-1B84-493C-8CE3-85C25CA03493}" name="DINHEIRO REAL CADA BURGER" dataDxfId="40">
      <calculatedColumnFormula>I68*H68</calculatedColumnFormula>
    </tableColumn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34FD43-B3A9-42E2-96F8-5AEAB7EF7E45}" name="Tabela11" displayName="Tabela11" ref="B3:I13" totalsRowShown="0" headerRowDxfId="39" dataDxfId="38">
  <autoFilter ref="B3:I13" xr:uid="{C634FD43-B3A9-42E2-96F8-5AEAB7EF7E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79CCC15-72ED-479F-BCE2-A6BB058CE868}" name="DEZEMBRO" dataDxfId="37"/>
    <tableColumn id="3" xr3:uid="{909E3CF3-53BD-4205-ADE6-D9323D84548D}" name="ENTRADA" dataDxfId="36">
      <calculatedColumnFormula>'CALCULO DE VENDAS'!J30+'CALCULO DE VENDAS'!J49+'CALCULO DE VENDAS'!J63</calculatedColumnFormula>
    </tableColumn>
    <tableColumn id="4" xr3:uid="{B58EE9A5-1998-4776-8CD7-84123FA36734}" name="MOTOBOY" dataDxfId="35"/>
    <tableColumn id="5" xr3:uid="{1E2200E5-679F-4D86-8AF2-276812F92CB9}" name="Coluna1" dataDxfId="34"/>
    <tableColumn id="7" xr3:uid="{97C397B4-4888-44CA-9A1A-F0E3B7DBC743}" name="GASTO DE MATERIAL" dataDxfId="33"/>
    <tableColumn id="8" xr3:uid="{9D57A504-D9A5-499E-ADCB-B9C37F6337B5}" name="CARNE UTILIZADA KG" dataDxfId="32"/>
    <tableColumn id="9" xr3:uid="{FE0864B0-2F06-435F-942D-4F1A63DE54D6}" name="CARNE EM $$$" dataDxfId="31"/>
    <tableColumn id="13" xr3:uid="{FED43763-3EE4-4338-B6F6-5BB99FCB8364}" name="LUCRO EMPRESA +" dataDxfId="30">
      <calculatedColumnFormula>Tabela11[[#This Row],[ENTRADA]]-Tabela11[[#This Row],[MOTOBOY]]-Tabela11[[#This Row],[GASTO DE MATERIAL]]</calculatedColumnFormula>
    </tableColumn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FF4B70E-BE22-49BE-9DCC-FB408188D49F}" name="Tabela13" displayName="Tabela13" ref="B18:K47" totalsRowShown="0" headerRowDxfId="29" dataDxfId="27" headerRowBorderDxfId="28" tableBorderDxfId="26">
  <autoFilter ref="B18:K47" xr:uid="{FFF4B70E-BE22-49BE-9DCC-FB408188D4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1CC2DFB7-739F-457A-86EC-C29A3D5A4DBC}" name="JANEIRO" dataDxfId="25"/>
    <tableColumn id="2" xr3:uid="{443CA519-DB68-47B3-A226-E12BE0326DE8}" name="ENTRADA" dataDxfId="24" dataCellStyle="Moeda"/>
    <tableColumn id="3" xr3:uid="{E7224BEF-16DD-4C7E-BBFA-B4DD9084DE9D}" name="MOTOBOY" dataDxfId="23" dataCellStyle="Moeda"/>
    <tableColumn id="4" xr3:uid="{1F7D2E95-DC4B-49BD-89A1-5B71CFE0DF27}" name="Coluna1" dataDxfId="22" dataCellStyle="Moeda"/>
    <tableColumn id="5" xr3:uid="{177337D7-BF56-44BB-8A10-4DD8043EB76B}" name="GASTO DE MATERIAL" dataDxfId="21" dataCellStyle="Moeda"/>
    <tableColumn id="6" xr3:uid="{78E9D33E-B8C2-4849-8111-7A0A52F214D5}" name="CARNE UTILIZADA KG" dataDxfId="20"/>
    <tableColumn id="7" xr3:uid="{03D0532A-BAD9-4B76-B2CE-176075F0198C}" name="CARNE FUNCIONARIOS" dataDxfId="19" dataCellStyle="Moeda"/>
    <tableColumn id="8" xr3:uid="{13949435-D880-4956-93F6-75F99DF1A05B}" name="CARNE FUNCIONARIOS EM $$$" dataDxfId="18" dataCellStyle="Moeda"/>
    <tableColumn id="9" xr3:uid="{9DE3DD71-4C38-4244-A4B3-5F43BFCDCCCC}" name="PERDAS IFOOD TAXA" dataDxfId="17"/>
    <tableColumn id="10" xr3:uid="{E3699BC3-2C84-468F-AF77-378A79BDF164}" name="LUCRO EMPRESA +" dataDxfId="16">
      <calculatedColumnFormula>Tabela13[[#This Row],[ENTRADA]]-Tabela13[[#This Row],[MOTOBOY]]-Tabela13[[#This Row],[GASTO DE MATERIAL]]-Tabela13[[#This Row],[CARNE FUNCIONARIOS EM $$$]]</calculatedColumnFormula>
    </tableColumn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114F6E-8F78-4271-AFA6-F709C783DBCC}" name="Tabela1315" displayName="Tabela1315" ref="B54:K84" totalsRowShown="0" headerRowDxfId="15" dataDxfId="13" headerRowBorderDxfId="14" tableBorderDxfId="12">
  <autoFilter ref="B54:K84" xr:uid="{6A114F6E-8F78-4271-AFA6-F709C783DB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AF579A3-1CA1-4660-8C6C-DDB33BA8D227}" name="JANEIRO" dataDxfId="11"/>
    <tableColumn id="2" xr3:uid="{36E6B017-FDA4-448E-9479-C65636C353B6}" name="ENTRADA" dataDxfId="10" dataCellStyle="Moeda"/>
    <tableColumn id="3" xr3:uid="{67F9827A-060F-44CD-8A42-0E9FA27612CC}" name="MOTOBOY" dataDxfId="9" dataCellStyle="Moeda"/>
    <tableColumn id="4" xr3:uid="{16C7CECA-E3AF-466D-B0B6-21C60A5D70C4}" name="Coluna1" dataDxfId="8" dataCellStyle="Moeda"/>
    <tableColumn id="5" xr3:uid="{E016A590-46C0-46B9-A8F5-AE03246D42F5}" name="GASTO DE MATERIAL" dataDxfId="7" dataCellStyle="Moeda"/>
    <tableColumn id="6" xr3:uid="{F941A57A-96F8-4B79-8313-0E43129BB370}" name="CARNE UTILIZADA KG" dataDxfId="6"/>
    <tableColumn id="7" xr3:uid="{E29351AF-EBF4-467C-B33E-24174034D49F}" name="CARNE NOSSA" dataDxfId="5" dataCellStyle="Moeda"/>
    <tableColumn id="8" xr3:uid="{2FBBAB19-E7C6-4F99-993C-E33B9DC6518D}" name="CARNE NOSSA EM $$$" dataDxfId="4" dataCellStyle="Moeda"/>
    <tableColumn id="9" xr3:uid="{22256F6F-2736-4A29-987F-FA60507CC4B7}" name="PERDAS IFOOD TAXA" dataDxfId="3"/>
    <tableColumn id="10" xr3:uid="{BC3E20BC-2430-4027-8003-73BAD1C3E3D0}" name="LUCRO EMPRESA +" dataDxfId="2">
      <calculatedColumnFormula>Tabela1315[[#This Row],[ENTRADA]]-Tabela1315[[#This Row],[MOTOBOY]]-Tabela1315[[#This Row],[GASTO DE MATERIAL]]-Tabela1315[[#This Row],[CARNE NOSSA EM $$$]]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246296-4972-473D-925C-A46884280D18}" name="Tabela1" displayName="Tabela1" ref="B4:G34" totalsRowShown="0" headerRowDxfId="145" dataDxfId="144">
  <autoFilter ref="B4:G34" xr:uid="{68246296-4972-473D-925C-A46884280D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16E5718-404B-490E-B8BD-B36F8BD422C4}" name="SMASH" dataDxfId="143"/>
    <tableColumn id="2" xr3:uid="{73432B13-12E1-4539-8F3A-DE9421ECB2BF}" name="INGREDIENTES" dataDxfId="142"/>
    <tableColumn id="3" xr3:uid="{086FB9CF-7D02-4468-A57B-0CDCA7D819B0}" name="QUANTIDADE" dataDxfId="141"/>
    <tableColumn id="4" xr3:uid="{EBE77C6A-3FFE-4B04-B995-F80205D2081B}" name="VALOR" dataDxfId="140"/>
    <tableColumn id="5" xr3:uid="{A2858BA7-DB71-4E0F-9E06-7BE4CBD151EE}" name="VALOR TOTAL" dataDxfId="139">
      <calculatedColumnFormula>D5*E5</calculatedColumnFormula>
    </tableColumn>
    <tableColumn id="6" xr3:uid="{63EF117C-95B2-438A-990B-3BF043773C8E}" name="Coluna1" dataDxfId="138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D8AA87-DEA1-4677-B42C-8A9D0F9141A8}" name="Tabela2" displayName="Tabela2" ref="J4:N27" totalsRowShown="0" headerRowDxfId="137" dataDxfId="135" headerRowBorderDxfId="136">
  <autoFilter ref="J4:N27" xr:uid="{A5D8AA87-DEA1-4677-B42C-8A9D0F9141A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8413D5B-8492-4E22-8270-E841D6652C04}" name="130g" dataDxfId="134"/>
    <tableColumn id="2" xr3:uid="{E1AFF188-8367-4204-B415-81E8642B3729}" name="INGREDIENTES" dataDxfId="133"/>
    <tableColumn id="3" xr3:uid="{5F016E73-811E-4FB2-A0EC-E26C619E01A8}" name="QUANTIDADE" dataDxfId="132"/>
    <tableColumn id="4" xr3:uid="{0314EA66-3616-4EE4-89FA-5CCDD9FF5EF3}" name="VALOR" dataDxfId="131"/>
    <tableColumn id="5" xr3:uid="{3AC3299E-25EF-40F3-AA35-0CD6B01E52F8}" name="VALOR TOTAL" dataDxfId="130">
      <calculatedColumnFormula>L5*M5</calculatedColumnFormula>
    </tableColumn>
  </tableColumns>
  <tableStyleInfo name="TableStyleLight1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BC1D5F-B8B3-440A-B7E9-EF03360B98EF}" name="Tabela4" displayName="Tabela4" ref="T4:X26" totalsRowShown="0" headerRowDxfId="129" dataDxfId="127" headerRowBorderDxfId="128">
  <autoFilter ref="T4:X26" xr:uid="{D4BC1D5F-B8B3-440A-B7E9-EF03360B98E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E2EF6AC-34B3-4988-9B72-37B89C1AAD08}" name="ESPECIAL" dataDxfId="126"/>
    <tableColumn id="2" xr3:uid="{18979070-B950-4191-BDB8-32196048624B}" name="INGREDIENTES" dataDxfId="125"/>
    <tableColumn id="3" xr3:uid="{266F862B-D545-4DD5-9067-DE22DBCBFFCA}" name="QUANTIDADE" dataDxfId="124"/>
    <tableColumn id="4" xr3:uid="{E354F7E6-4848-4CA1-BA7A-C503BB8ACB44}" name="VALOR" dataDxfId="123"/>
    <tableColumn id="5" xr3:uid="{888EECCF-BE36-45E3-9FBE-31FA1D9027FD}" name="VALOR TOTAL" dataDxfId="122">
      <calculatedColumnFormula>W5*V5</calculatedColumnFormula>
    </tableColumn>
  </tableColumns>
  <tableStyleInfo name="TableStyleLight10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B8384E-B899-4D84-BEF1-E6F402B88116}" name="Tabela5" displayName="Tabela5" ref="AD4:AJ22" totalsRowShown="0" headerRowDxfId="121" dataDxfId="119" headerRowBorderDxfId="120">
  <autoFilter ref="AD4:AJ22" xr:uid="{65B8384E-B899-4D84-BEF1-E6F402B881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A22DA6F-DA4B-4D95-B38E-87F487EC94EF}" name="BATATA+SUCO" dataDxfId="118"/>
    <tableColumn id="2" xr3:uid="{0DF98D12-8174-4D8C-987C-A0D8C25AF749}" name="INGREDIENTES" dataDxfId="117"/>
    <tableColumn id="3" xr3:uid="{2897C5F8-5319-4356-ABE7-2DF0C7824797}" name="QUANTIDADE" dataDxfId="116"/>
    <tableColumn id="4" xr3:uid="{F5AA31D4-7567-43B8-A52B-E79E0EFEBEF5}" name="VALOR" dataDxfId="115" dataCellStyle="Moeda"/>
    <tableColumn id="5" xr3:uid="{00F6A6C7-2299-4415-AB0C-5A49855D62E7}" name="VALOR TOTAL" dataDxfId="114" dataCellStyle="Moeda">
      <calculatedColumnFormula>Tabela5[[#This Row],[VALOR]]*Tabela5[[#This Row],[QUANTIDADE]]</calculatedColumnFormula>
    </tableColumn>
    <tableColumn id="6" xr3:uid="{83EACE2D-E568-4841-9F6B-D199E52FA84B}" name="PREÇO PRODUÇAO" dataDxfId="113" dataCellStyle="Moeda"/>
    <tableColumn id="7" xr3:uid="{1920ADF7-3EF9-441C-9986-31FA710003D3}" name="Coluna1" dataDxfId="112"/>
  </tableColumns>
  <tableStyleInfo name="TableStyleLight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6B0F13-EB4A-46D9-A29A-54C15F58DA33}" name="Tabela8" displayName="Tabela8" ref="T28:X39" totalsRowShown="0" headerRowDxfId="111" dataDxfId="110">
  <autoFilter ref="T28:X39" xr:uid="{D46B0F13-EB4A-46D9-A29A-54C15F58DA3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48C0B4-9692-4A3B-9A7F-76190F19E084}" name="PREPARO" dataDxfId="109"/>
    <tableColumn id="2" xr3:uid="{4E5FF11F-6A42-4FFE-955E-712A5C33A873}" name="INGREDIENTES" dataDxfId="108"/>
    <tableColumn id="3" xr3:uid="{39880A16-DB46-4B14-9DF5-36B68027E34E}" name="Coluna3" dataDxfId="107"/>
    <tableColumn id="4" xr3:uid="{B5CD906E-807C-415C-AC21-0674216A0656}" name="Coluna4" dataDxfId="106" dataCellStyle="Moeda"/>
    <tableColumn id="5" xr3:uid="{C4A712B0-B8AB-4A24-AFAA-31AF346E4C86}" name="Coluna5" dataDxfId="105" dataCellStyle="Moeda"/>
  </tableColumns>
  <tableStyleInfo name="TableStyleMedium4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AA6E9E-2126-41DB-833B-FF47A4905E36}" name="Tabela7" displayName="Tabela7" ref="B5:K13" totalsRowShown="0" headerRowDxfId="104" dataDxfId="102" headerRowBorderDxfId="103" tableBorderDxfId="101" totalsRowBorderDxfId="100">
  <autoFilter ref="B5:K13" xr:uid="{48AA6E9E-2126-41DB-833B-FF47A4905E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C6EB42EE-8798-4646-8450-4941C95C5386}" name="HAMBURGERS" dataDxfId="99"/>
    <tableColumn id="2" xr3:uid="{26D8D4A2-B874-4102-992B-810AA7803B15}" name="CUSTO PREPARO" dataDxfId="98" dataCellStyle="Moeda"/>
    <tableColumn id="3" xr3:uid="{2E21348C-B48A-438F-8227-CEE6887538B6}" name="MULTIPLICADOR" dataDxfId="97">
      <calculatedColumnFormula>Tabela7[[#This Row],[PREÇO DE VENDA]]/Tabela7[[#This Row],[CUSTO PREPARO]]</calculatedColumnFormula>
    </tableColumn>
    <tableColumn id="4" xr3:uid="{57FEFB1A-38FD-4868-8E89-F9D1E524BEFA}" name="PREÇO DE VENDA" dataDxfId="96">
      <calculatedColumnFormula>C6*D6</calculatedColumnFormula>
    </tableColumn>
    <tableColumn id="5" xr3:uid="{143DA79E-29AB-4BDC-B00C-FCC2127DD64C}" name="% DO IFOOD" dataDxfId="95">
      <calculatedColumnFormula>20%</calculatedColumnFormula>
    </tableColumn>
    <tableColumn id="6" xr3:uid="{2603F12F-E45F-4E4A-B5F6-AD2A537375EC}" name="TAXA IFOOD" dataDxfId="94">
      <calculatedColumnFormula>F6*E6</calculatedColumnFormula>
    </tableColumn>
    <tableColumn id="7" xr3:uid="{2CF79755-98CF-424C-8F0B-CEC2400AD6F7}" name="LUCRO" dataDxfId="93">
      <calculatedColumnFormula>E6-G6-C6</calculatedColumnFormula>
    </tableColumn>
    <tableColumn id="8" xr3:uid="{9B3C45E7-86F1-4BA6-9199-48D8946FE125}" name="VENDAS DO DIA" dataDxfId="92"/>
    <tableColumn id="9" xr3:uid="{576A3AD4-E18F-4615-8DEF-D372C499747D}" name="FATURAMENTO S." dataDxfId="91">
      <calculatedColumnFormula>I6*E6</calculatedColumnFormula>
    </tableColumn>
    <tableColumn id="10" xr3:uid="{D9C3201F-6F93-4DD3-8DBC-1326F6B4FE98}" name="RESULTADO" dataDxfId="90">
      <calculatedColumnFormula>I6*H6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DB62C6-41E7-4E46-A938-128B8B231E0D}" name="Tabela6" displayName="Tabela6" ref="B19:K27" totalsRowShown="0" headerRowDxfId="89" dataDxfId="87" headerRowBorderDxfId="88" tableBorderDxfId="86">
  <autoFilter ref="B19:K27" xr:uid="{19DB62C6-41E7-4E46-A938-128B8B231E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207AA52-DD9B-4549-A8FD-36F433777480}" name="HAMBURGER" dataDxfId="85"/>
    <tableColumn id="2" xr3:uid="{371B39E0-E0D3-49D0-932B-16E9897A244E}" name="CUSTO PREPARO" dataDxfId="84" dataCellStyle="Moeda"/>
    <tableColumn id="3" xr3:uid="{52D7A849-017F-4A1F-BDCB-5853686E4293}" name="% DO VALOR" dataDxfId="83" dataCellStyle="Porcentagem">
      <calculatedColumnFormula>Tabela6[[#This Row],[PREÇO DE VENDA]]/Tabela6[[#This Row],[CUSTO PREPARO]]</calculatedColumnFormula>
    </tableColumn>
    <tableColumn id="4" xr3:uid="{E3CEA5D8-58DE-450F-AB81-093865E4EC2E}" name="PREÇO DE VENDA" dataDxfId="82" dataCellStyle="Moeda"/>
    <tableColumn id="5" xr3:uid="{B019E5D3-B4C5-43D6-A224-B669D43B66B0}" name="% DO IFOOD" dataDxfId="81">
      <calculatedColumnFormula>19%</calculatedColumnFormula>
    </tableColumn>
    <tableColumn id="6" xr3:uid="{0D2D5FA8-7DD5-48D3-BACF-74B516ADD473}" name="TAXA DO IFOOD" dataDxfId="80">
      <calculatedColumnFormula>Tabela6[[#This Row],[% DO IFOOD]]*Tabela6[[#This Row],[PREÇO DE VENDA]]</calculatedColumnFormula>
    </tableColumn>
    <tableColumn id="7" xr3:uid="{FEF58055-13E2-494F-93AB-973AA52DEF2B}" name="LUCRO REAL" dataDxfId="79">
      <calculatedColumnFormula>Tabela6[[#This Row],[PREÇO DE VENDA]]-Tabela6[[#This Row],[CUSTO PREPARO]]-Tabela6[[#This Row],[TAXA DO IFOOD]]</calculatedColumnFormula>
    </tableColumn>
    <tableColumn id="8" xr3:uid="{CDF1E5B9-04CD-4E3E-BFD7-D16B2736B591}" name="VENDAS DO DIA" dataDxfId="78"/>
    <tableColumn id="9" xr3:uid="{642E2132-E5CC-4FBE-8757-31FFEB1A1A87}" name="FATURAM. PELO PREÇO DE VENDA" dataDxfId="77">
      <calculatedColumnFormula>Tabela6[[#This Row],[VENDAS DO DIA]]*Tabela6[[#This Row],[PREÇO DE VENDA]]</calculatedColumnFormula>
    </tableColumn>
    <tableColumn id="10" xr3:uid="{35344893-87DC-47FE-8122-477CC1CCFEC6}" name="DINHEIRO REAL CADA BURGER" dataDxfId="76">
      <calculatedColumnFormula>Tabela6[[#This Row],[VENDAS DO DIA]]*Tabela6[[#This Row],[LUCRO REAL]]</calculatedColumnFormula>
    </tableColumn>
  </tableColumns>
  <tableStyleInfo name="TableStyleMedium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59CBDC-EA6A-40B3-B9F7-578C3D289FE1}" name="Tabela610" displayName="Tabela610" ref="B38:K46" totalsRowShown="0" headerRowDxfId="75" dataDxfId="73" headerRowBorderDxfId="74" tableBorderDxfId="72">
  <autoFilter ref="B38:K46" xr:uid="{C259CBDC-EA6A-40B3-B9F7-578C3D289F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905B2592-BA28-4BA0-9D4B-84159E8660B1}" name="HAMBURGER" dataDxfId="71"/>
    <tableColumn id="2" xr3:uid="{3F98B1B4-EB66-472D-B9ED-D318A3BF67D3}" name="CUSTO PREPARO" dataDxfId="70" dataCellStyle="Moeda"/>
    <tableColumn id="3" xr3:uid="{26A23D5E-44F4-4F3F-855D-5ED7293C1F59}" name="% DO VALOR" dataDxfId="69" dataCellStyle="Porcentagem">
      <calculatedColumnFormula>Tabela610[[#This Row],[PREÇO DE VENDA]]/Tabela610[[#This Row],[CUSTO PREPARO]]</calculatedColumnFormula>
    </tableColumn>
    <tableColumn id="4" xr3:uid="{EF3A3DAE-C356-4219-B23E-0A3452448E10}" name="PREÇO DE VENDA" dataDxfId="68" dataCellStyle="Moeda"/>
    <tableColumn id="5" xr3:uid="{223D6CC5-0C22-43FB-BD73-51AD17500179}" name="% DESCONTO" dataDxfId="67">
      <calculatedColumnFormula>(E20-Tabela610[[#This Row],[PREÇO DE VENDA]])*100/E20/100</calculatedColumnFormula>
    </tableColumn>
    <tableColumn id="6" xr3:uid="{5981E772-DC1E-44B5-B137-002F9D44923E}" name="TAXA DO IFOOD" dataDxfId="66">
      <calculatedColumnFormula>Tabela610[[#This Row],[% DESCONTO]]*Tabela610[[#This Row],[PREÇO DE VENDA]]</calculatedColumnFormula>
    </tableColumn>
    <tableColumn id="7" xr3:uid="{6454AEBE-B45A-41B1-B4E2-8D377F8AF3F9}" name="LUCRO REAL" dataDxfId="65">
      <calculatedColumnFormula>Tabela610[[#This Row],[PREÇO DE VENDA]]-Tabela610[[#This Row],[CUSTO PREPARO]]</calculatedColumnFormula>
    </tableColumn>
    <tableColumn id="8" xr3:uid="{7AE39E56-9196-419F-96A0-583470EEA5D8}" name="VENDAS DO DIA" dataDxfId="64"/>
    <tableColumn id="9" xr3:uid="{2D2610E5-DBFD-4524-BD71-F9E3091C280D}" name="FATURAM. PELO PREÇO DE VENDA" dataDxfId="63">
      <calculatedColumnFormula>Tabela610[[#This Row],[VENDAS DO DIA]]*Tabela610[[#This Row],[PREÇO DE VENDA]]</calculatedColumnFormula>
    </tableColumn>
    <tableColumn id="10" xr3:uid="{56BC18C3-75E3-49FF-9BF1-752FC11BD379}" name="DINHEIRO REAL CADA BURGER" dataDxfId="62">
      <calculatedColumnFormula>Tabela610[[#This Row],[VENDAS DO DIA]]*Tabela610[[#This Row],[LUCRO REAL]]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66BF-2193-495D-ADC5-081D0785B955}">
  <dimension ref="B3:E21"/>
  <sheetViews>
    <sheetView zoomScale="115" zoomScaleNormal="115" workbookViewId="0">
      <selection activeCell="L11" sqref="L11"/>
    </sheetView>
  </sheetViews>
  <sheetFormatPr defaultRowHeight="15" x14ac:dyDescent="0.25"/>
  <cols>
    <col min="2" max="2" width="5.5703125" customWidth="1"/>
    <col min="3" max="3" width="26" customWidth="1"/>
    <col min="4" max="4" width="11.42578125" customWidth="1"/>
    <col min="5" max="5" width="39.5703125" customWidth="1"/>
  </cols>
  <sheetData>
    <row r="3" spans="2:5" x14ac:dyDescent="0.25">
      <c r="B3" s="1" t="s">
        <v>42</v>
      </c>
      <c r="C3" s="1" t="s">
        <v>15</v>
      </c>
      <c r="D3" s="1" t="s">
        <v>17</v>
      </c>
      <c r="E3" s="1" t="s">
        <v>67</v>
      </c>
    </row>
    <row r="4" spans="2:5" x14ac:dyDescent="0.25">
      <c r="B4" s="1">
        <v>1</v>
      </c>
      <c r="C4" s="1" t="s">
        <v>9</v>
      </c>
      <c r="D4" s="8">
        <v>1.4</v>
      </c>
      <c r="E4" s="1" t="s">
        <v>212</v>
      </c>
    </row>
    <row r="5" spans="2:5" x14ac:dyDescent="0.25">
      <c r="B5" s="1">
        <v>2</v>
      </c>
      <c r="C5" s="1" t="s">
        <v>10</v>
      </c>
      <c r="D5" s="8">
        <v>27</v>
      </c>
      <c r="E5" s="1" t="s">
        <v>69</v>
      </c>
    </row>
    <row r="6" spans="2:5" x14ac:dyDescent="0.25">
      <c r="B6" s="1">
        <v>3</v>
      </c>
      <c r="C6" s="1" t="s">
        <v>22</v>
      </c>
      <c r="D6" s="8">
        <v>35</v>
      </c>
      <c r="E6" s="1" t="s">
        <v>70</v>
      </c>
    </row>
    <row r="7" spans="2:5" x14ac:dyDescent="0.25">
      <c r="B7" s="1">
        <v>4</v>
      </c>
      <c r="C7" s="1" t="s">
        <v>30</v>
      </c>
      <c r="D7" s="8">
        <v>0.7</v>
      </c>
      <c r="E7" s="1" t="s">
        <v>71</v>
      </c>
    </row>
    <row r="8" spans="2:5" x14ac:dyDescent="0.25">
      <c r="B8" s="1">
        <v>5</v>
      </c>
      <c r="C8" s="1" t="s">
        <v>11</v>
      </c>
      <c r="D8" s="8">
        <v>35</v>
      </c>
      <c r="E8" s="1" t="s">
        <v>72</v>
      </c>
    </row>
    <row r="9" spans="2:5" x14ac:dyDescent="0.25">
      <c r="B9" s="1">
        <v>6</v>
      </c>
      <c r="C9" s="1" t="s">
        <v>48</v>
      </c>
      <c r="D9" s="8">
        <v>48</v>
      </c>
      <c r="E9" s="1" t="s">
        <v>73</v>
      </c>
    </row>
    <row r="10" spans="2:5" x14ac:dyDescent="0.25">
      <c r="B10" s="1">
        <v>7</v>
      </c>
      <c r="C10" s="1" t="s">
        <v>34</v>
      </c>
      <c r="D10" s="8">
        <v>44</v>
      </c>
      <c r="E10" s="1" t="s">
        <v>213</v>
      </c>
    </row>
    <row r="11" spans="2:5" x14ac:dyDescent="0.25">
      <c r="B11" s="1">
        <v>8</v>
      </c>
      <c r="C11" s="1" t="s">
        <v>64</v>
      </c>
      <c r="D11" s="8">
        <v>100</v>
      </c>
      <c r="E11" s="1" t="s">
        <v>74</v>
      </c>
    </row>
    <row r="12" spans="2:5" x14ac:dyDescent="0.25">
      <c r="B12" s="1">
        <v>9</v>
      </c>
      <c r="C12" s="1" t="s">
        <v>29</v>
      </c>
      <c r="D12" s="8">
        <v>4</v>
      </c>
      <c r="E12" s="1" t="s">
        <v>217</v>
      </c>
    </row>
    <row r="13" spans="2:5" x14ac:dyDescent="0.25">
      <c r="B13" s="1">
        <v>10</v>
      </c>
      <c r="C13" s="1" t="s">
        <v>24</v>
      </c>
      <c r="D13" s="8">
        <v>8</v>
      </c>
      <c r="E13" s="1" t="s">
        <v>216</v>
      </c>
    </row>
    <row r="14" spans="2:5" x14ac:dyDescent="0.25">
      <c r="B14" s="1">
        <v>11</v>
      </c>
      <c r="C14" s="1" t="s">
        <v>23</v>
      </c>
      <c r="D14" s="8">
        <v>4</v>
      </c>
      <c r="E14" s="1" t="s">
        <v>75</v>
      </c>
    </row>
    <row r="15" spans="2:5" x14ac:dyDescent="0.25">
      <c r="B15" s="1">
        <v>12</v>
      </c>
      <c r="C15" s="1" t="s">
        <v>33</v>
      </c>
      <c r="D15" s="8">
        <v>10</v>
      </c>
      <c r="E15" s="1" t="s">
        <v>215</v>
      </c>
    </row>
    <row r="16" spans="2:5" x14ac:dyDescent="0.25">
      <c r="B16" s="1">
        <v>13</v>
      </c>
      <c r="C16" s="1" t="s">
        <v>76</v>
      </c>
      <c r="D16" s="8">
        <v>20</v>
      </c>
      <c r="E16" s="1" t="s">
        <v>78</v>
      </c>
    </row>
    <row r="17" spans="2:5" x14ac:dyDescent="0.25">
      <c r="B17" s="1">
        <v>14</v>
      </c>
      <c r="C17" s="1" t="s">
        <v>77</v>
      </c>
      <c r="D17" s="8">
        <v>15</v>
      </c>
      <c r="E17" s="1" t="s">
        <v>79</v>
      </c>
    </row>
    <row r="18" spans="2:5" x14ac:dyDescent="0.25">
      <c r="B18" s="1">
        <v>15</v>
      </c>
      <c r="C18" s="1" t="s">
        <v>13</v>
      </c>
      <c r="D18" s="8">
        <v>12</v>
      </c>
      <c r="E18" s="1" t="s">
        <v>68</v>
      </c>
    </row>
    <row r="19" spans="2:5" x14ac:dyDescent="0.25">
      <c r="B19" s="1">
        <v>16</v>
      </c>
      <c r="C19" s="1" t="s">
        <v>20</v>
      </c>
      <c r="D19" s="8">
        <v>25</v>
      </c>
      <c r="E19" s="1" t="s">
        <v>214</v>
      </c>
    </row>
    <row r="20" spans="2:5" x14ac:dyDescent="0.25">
      <c r="B20" s="1">
        <v>17</v>
      </c>
      <c r="C20" s="1" t="s">
        <v>65</v>
      </c>
      <c r="D20" s="8">
        <v>20</v>
      </c>
      <c r="E20" s="1" t="s">
        <v>214</v>
      </c>
    </row>
    <row r="21" spans="2:5" x14ac:dyDescent="0.25">
      <c r="B21" s="1">
        <v>18</v>
      </c>
      <c r="C21" s="1" t="s">
        <v>66</v>
      </c>
      <c r="D21" s="8">
        <v>27</v>
      </c>
      <c r="E21" s="1" t="s">
        <v>214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BD6D-0A1F-4DF4-9838-B3F95C0F6AF6}">
  <dimension ref="B1:AJ43"/>
  <sheetViews>
    <sheetView view="pageBreakPreview" zoomScale="89" zoomScaleNormal="100" zoomScaleSheetLayoutView="89" workbookViewId="0">
      <selection activeCell="H5" sqref="H5"/>
    </sheetView>
  </sheetViews>
  <sheetFormatPr defaultRowHeight="15" x14ac:dyDescent="0.25"/>
  <cols>
    <col min="1" max="1" width="5.7109375" customWidth="1"/>
    <col min="2" max="2" width="15.7109375" style="1" customWidth="1"/>
    <col min="3" max="3" width="21" style="1" customWidth="1"/>
    <col min="4" max="4" width="13.140625" style="1" customWidth="1"/>
    <col min="5" max="5" width="11.140625" style="8" customWidth="1"/>
    <col min="6" max="6" width="14.140625" style="8" customWidth="1"/>
    <col min="7" max="7" width="0.7109375" style="2" customWidth="1"/>
    <col min="8" max="8" width="18.42578125" customWidth="1"/>
    <col min="9" max="9" width="0.7109375" style="4" customWidth="1"/>
    <col min="10" max="10" width="16.7109375" style="1" customWidth="1"/>
    <col min="11" max="11" width="20.28515625" style="1" customWidth="1"/>
    <col min="12" max="12" width="13.5703125" style="1" customWidth="1"/>
    <col min="13" max="13" width="11.28515625" style="8" customWidth="1"/>
    <col min="14" max="14" width="13.85546875" style="8" customWidth="1"/>
    <col min="15" max="15" width="17.42578125" customWidth="1"/>
    <col min="16" max="16" width="0.7109375" style="4" customWidth="1"/>
    <col min="18" max="18" width="0.7109375" style="4" customWidth="1"/>
    <col min="20" max="20" width="18.140625" style="1" customWidth="1"/>
    <col min="21" max="21" width="20.28515625" style="1" customWidth="1"/>
    <col min="22" max="22" width="14.5703125" style="1" customWidth="1"/>
    <col min="23" max="23" width="11.7109375" style="8" customWidth="1"/>
    <col min="24" max="24" width="13.85546875" style="8" customWidth="1"/>
    <col min="25" max="25" width="17.42578125" customWidth="1"/>
    <col min="26" max="26" width="0.85546875" style="4" customWidth="1"/>
    <col min="27" max="27" width="3.7109375" customWidth="1"/>
    <col min="28" max="28" width="0.85546875" style="4" customWidth="1"/>
    <col min="29" max="29" width="8.140625" customWidth="1"/>
    <col min="30" max="30" width="23.5703125" style="1" customWidth="1"/>
    <col min="31" max="31" width="15.140625" style="1" customWidth="1"/>
    <col min="32" max="32" width="14.42578125" style="1" customWidth="1"/>
    <col min="33" max="33" width="10.42578125" style="8" customWidth="1"/>
    <col min="34" max="34" width="14" style="8" customWidth="1"/>
    <col min="35" max="35" width="19.28515625" style="8" customWidth="1"/>
    <col min="36" max="36" width="9.5703125" customWidth="1"/>
  </cols>
  <sheetData>
    <row r="1" spans="2:36" ht="15.75" thickBot="1" x14ac:dyDescent="0.3"/>
    <row r="2" spans="2:36" ht="15.75" thickBot="1" x14ac:dyDescent="0.3">
      <c r="B2" s="196" t="s">
        <v>26</v>
      </c>
      <c r="C2" s="197"/>
      <c r="D2" s="197"/>
      <c r="E2" s="197"/>
      <c r="F2" s="197"/>
      <c r="G2" s="198"/>
      <c r="J2" s="202" t="s">
        <v>54</v>
      </c>
      <c r="K2" s="203"/>
      <c r="L2" s="203"/>
      <c r="M2" s="203"/>
      <c r="N2" s="203"/>
      <c r="O2" s="204"/>
      <c r="T2" s="205" t="s">
        <v>35</v>
      </c>
      <c r="U2" s="206"/>
      <c r="V2" s="206"/>
      <c r="W2" s="206"/>
      <c r="X2" s="206"/>
      <c r="Y2" s="207"/>
      <c r="AD2" s="199" t="s">
        <v>44</v>
      </c>
      <c r="AE2" s="200"/>
      <c r="AF2" s="200"/>
      <c r="AG2" s="200"/>
      <c r="AH2" s="200"/>
      <c r="AI2" s="201"/>
    </row>
    <row r="3" spans="2:36" ht="15.75" thickBot="1" x14ac:dyDescent="0.3"/>
    <row r="4" spans="2:36" ht="15.75" thickBot="1" x14ac:dyDescent="0.3">
      <c r="B4" s="38" t="s">
        <v>25</v>
      </c>
      <c r="C4" s="38" t="s">
        <v>15</v>
      </c>
      <c r="D4" s="38" t="s">
        <v>16</v>
      </c>
      <c r="E4" s="11" t="s">
        <v>17</v>
      </c>
      <c r="F4" s="11" t="s">
        <v>18</v>
      </c>
      <c r="G4" s="2" t="s">
        <v>55</v>
      </c>
      <c r="H4" s="38" t="s">
        <v>41</v>
      </c>
      <c r="J4" s="38" t="s">
        <v>27</v>
      </c>
      <c r="K4" s="38" t="s">
        <v>15</v>
      </c>
      <c r="L4" s="38" t="s">
        <v>16</v>
      </c>
      <c r="M4" s="11" t="s">
        <v>17</v>
      </c>
      <c r="N4" s="11" t="s">
        <v>18</v>
      </c>
      <c r="O4" s="14" t="s">
        <v>40</v>
      </c>
      <c r="T4" s="38" t="s">
        <v>31</v>
      </c>
      <c r="U4" s="38" t="s">
        <v>15</v>
      </c>
      <c r="V4" s="38" t="s">
        <v>16</v>
      </c>
      <c r="W4" s="11" t="s">
        <v>17</v>
      </c>
      <c r="X4" s="11" t="s">
        <v>18</v>
      </c>
      <c r="Y4" s="14" t="s">
        <v>40</v>
      </c>
      <c r="AD4" s="41" t="s">
        <v>45</v>
      </c>
      <c r="AE4" s="40" t="s">
        <v>15</v>
      </c>
      <c r="AF4" s="40" t="s">
        <v>16</v>
      </c>
      <c r="AG4" s="39" t="s">
        <v>17</v>
      </c>
      <c r="AH4" s="19" t="s">
        <v>18</v>
      </c>
      <c r="AI4" s="21" t="s">
        <v>40</v>
      </c>
      <c r="AJ4" s="45" t="s">
        <v>55</v>
      </c>
    </row>
    <row r="5" spans="2:36" ht="15.75" thickBot="1" x14ac:dyDescent="0.3">
      <c r="B5" s="27"/>
      <c r="C5" s="6" t="s">
        <v>9</v>
      </c>
      <c r="D5" s="6">
        <v>1</v>
      </c>
      <c r="E5" s="9">
        <v>1.4</v>
      </c>
      <c r="F5" s="9">
        <f>D5*E5</f>
        <v>1.4</v>
      </c>
      <c r="G5" s="33">
        <v>0</v>
      </c>
      <c r="H5" s="34">
        <f>F5+F6+F7+F8+F9+F10</f>
        <v>5.6449999999999996</v>
      </c>
      <c r="J5" s="5"/>
      <c r="K5" s="5" t="s">
        <v>9</v>
      </c>
      <c r="L5" s="5">
        <v>1</v>
      </c>
      <c r="M5" s="13">
        <v>1.4</v>
      </c>
      <c r="N5" s="13">
        <f>L5*M5</f>
        <v>1.4</v>
      </c>
      <c r="O5" s="17">
        <f>N5+N6+N7+N8+N9+N10+N11</f>
        <v>7.0400000000000009</v>
      </c>
      <c r="T5" s="5"/>
      <c r="U5" s="5" t="s">
        <v>9</v>
      </c>
      <c r="V5" s="5">
        <v>1</v>
      </c>
      <c r="W5" s="13">
        <v>1.4</v>
      </c>
      <c r="X5" s="13">
        <f>W5*V5</f>
        <v>1.4</v>
      </c>
      <c r="Y5" s="17">
        <f>X5+X6+X7+X8+X9+X10+X11</f>
        <v>8.8699999999999992</v>
      </c>
      <c r="AD5" s="20" t="s">
        <v>46</v>
      </c>
      <c r="AE5" s="20" t="s">
        <v>47</v>
      </c>
      <c r="AF5" s="40">
        <v>1</v>
      </c>
      <c r="AG5" s="19">
        <v>2.5</v>
      </c>
      <c r="AH5" s="39">
        <f>Tabela5[[#This Row],[VALOR]]*Tabela5[[#This Row],[QUANTIDADE]]</f>
        <v>2.5</v>
      </c>
      <c r="AI5" s="39">
        <f>Tabela5[[#This Row],[VALOR TOTAL]]</f>
        <v>2.5</v>
      </c>
      <c r="AJ5" s="1"/>
    </row>
    <row r="6" spans="2:36" ht="15.75" thickBot="1" x14ac:dyDescent="0.3">
      <c r="B6" s="6"/>
      <c r="C6" s="6" t="s">
        <v>10</v>
      </c>
      <c r="D6" s="6">
        <v>0.08</v>
      </c>
      <c r="E6" s="9">
        <v>30</v>
      </c>
      <c r="F6" s="9">
        <f t="shared" ref="F6:F9" si="0">D6*E6</f>
        <v>2.4</v>
      </c>
      <c r="G6" s="33"/>
      <c r="H6" s="29"/>
      <c r="J6" s="6"/>
      <c r="K6" s="6" t="s">
        <v>28</v>
      </c>
      <c r="L6" s="6">
        <v>0.13</v>
      </c>
      <c r="M6" s="9">
        <v>30</v>
      </c>
      <c r="N6" s="9">
        <f t="shared" ref="N6:N19" si="1">L6*M6</f>
        <v>3.9000000000000004</v>
      </c>
      <c r="O6" s="15"/>
      <c r="T6" s="6"/>
      <c r="U6" s="6" t="s">
        <v>36</v>
      </c>
      <c r="V6" s="6">
        <v>0.15</v>
      </c>
      <c r="W6" s="9">
        <v>35</v>
      </c>
      <c r="X6" s="9">
        <f t="shared" ref="X6:X11" si="2">W6*V6</f>
        <v>5.25</v>
      </c>
      <c r="Y6" s="15"/>
      <c r="AD6" s="112"/>
      <c r="AE6" s="121" t="s">
        <v>47</v>
      </c>
      <c r="AF6" s="112">
        <v>1</v>
      </c>
      <c r="AG6" s="118">
        <v>2.5</v>
      </c>
      <c r="AH6" s="114">
        <f>Tabela5[[#This Row],[VALOR]]*Tabela5[[#This Row],[QUANTIDADE]]</f>
        <v>2.5</v>
      </c>
      <c r="AI6" s="124">
        <f>Tabela5[[#This Row],[VALOR TOTAL]]+AH7+AH8</f>
        <v>6.65</v>
      </c>
      <c r="AJ6" s="1"/>
    </row>
    <row r="7" spans="2:36" ht="15.75" thickBot="1" x14ac:dyDescent="0.3">
      <c r="B7" s="6" t="s">
        <v>60</v>
      </c>
      <c r="C7" s="6" t="s">
        <v>11</v>
      </c>
      <c r="D7" s="6">
        <v>0.03</v>
      </c>
      <c r="E7" s="9">
        <v>35</v>
      </c>
      <c r="F7" s="9">
        <f t="shared" si="0"/>
        <v>1.05</v>
      </c>
      <c r="G7" s="33"/>
      <c r="H7" s="29"/>
      <c r="J7" s="6"/>
      <c r="K7" s="6" t="s">
        <v>34</v>
      </c>
      <c r="L7" s="6">
        <v>1.4999999999999999E-2</v>
      </c>
      <c r="M7" s="9">
        <v>48</v>
      </c>
      <c r="N7" s="9">
        <f t="shared" si="1"/>
        <v>0.72</v>
      </c>
      <c r="O7" s="15"/>
      <c r="T7" s="6"/>
      <c r="U7" s="6" t="s">
        <v>22</v>
      </c>
      <c r="V7" s="6">
        <v>0.03</v>
      </c>
      <c r="W7" s="9">
        <v>35</v>
      </c>
      <c r="X7" s="9">
        <f t="shared" si="2"/>
        <v>1.05</v>
      </c>
      <c r="Y7" s="15"/>
      <c r="AD7" s="109" t="s">
        <v>49</v>
      </c>
      <c r="AE7" s="122" t="s">
        <v>48</v>
      </c>
      <c r="AF7" s="109">
        <v>0.05</v>
      </c>
      <c r="AG7" s="119">
        <v>48</v>
      </c>
      <c r="AH7" s="114">
        <f>Tabela5[[#This Row],[VALOR]]*Tabela5[[#This Row],[QUANTIDADE]]</f>
        <v>2.4000000000000004</v>
      </c>
      <c r="AI7" s="117"/>
      <c r="AJ7" s="1"/>
    </row>
    <row r="8" spans="2:36" ht="15.75" thickBot="1" x14ac:dyDescent="0.3">
      <c r="B8" s="6"/>
      <c r="C8" s="6" t="s">
        <v>29</v>
      </c>
      <c r="D8" s="6">
        <v>1.4999999999999999E-2</v>
      </c>
      <c r="E8" s="9">
        <v>20</v>
      </c>
      <c r="F8" s="9">
        <f t="shared" si="0"/>
        <v>0.3</v>
      </c>
      <c r="G8" s="33"/>
      <c r="H8" s="29"/>
      <c r="J8" s="6" t="s">
        <v>88</v>
      </c>
      <c r="K8" s="6" t="s">
        <v>21</v>
      </c>
      <c r="L8" s="6">
        <v>0.02</v>
      </c>
      <c r="M8" s="9">
        <v>20</v>
      </c>
      <c r="N8" s="9">
        <f t="shared" si="1"/>
        <v>0.4</v>
      </c>
      <c r="O8" s="15"/>
      <c r="T8" s="6" t="s">
        <v>86</v>
      </c>
      <c r="U8" s="6" t="s">
        <v>48</v>
      </c>
      <c r="V8" s="6">
        <v>1.4999999999999999E-2</v>
      </c>
      <c r="W8" s="9">
        <v>48</v>
      </c>
      <c r="X8" s="9">
        <f t="shared" si="2"/>
        <v>0.72</v>
      </c>
      <c r="Y8" s="15"/>
      <c r="AD8" s="113"/>
      <c r="AE8" s="123" t="s">
        <v>22</v>
      </c>
      <c r="AF8" s="113">
        <v>0.05</v>
      </c>
      <c r="AG8" s="120">
        <v>35</v>
      </c>
      <c r="AH8" s="39">
        <f>Tabela5[[#This Row],[VALOR]]*Tabela5[[#This Row],[QUANTIDADE]]</f>
        <v>1.75</v>
      </c>
      <c r="AI8" s="125"/>
      <c r="AJ8" s="1"/>
    </row>
    <row r="9" spans="2:36" ht="15.75" thickBot="1" x14ac:dyDescent="0.3">
      <c r="B9" s="6"/>
      <c r="C9" s="6" t="s">
        <v>24</v>
      </c>
      <c r="D9" s="6">
        <v>1.4999999999999999E-2</v>
      </c>
      <c r="E9" s="9">
        <v>8</v>
      </c>
      <c r="F9" s="9">
        <f t="shared" si="0"/>
        <v>0.12</v>
      </c>
      <c r="G9" s="33"/>
      <c r="H9" s="29"/>
      <c r="J9" s="6"/>
      <c r="K9" s="6" t="s">
        <v>29</v>
      </c>
      <c r="L9" s="6">
        <v>1.4999999999999999E-2</v>
      </c>
      <c r="M9" s="9">
        <v>20</v>
      </c>
      <c r="N9" s="9">
        <f t="shared" si="1"/>
        <v>0.3</v>
      </c>
      <c r="O9" s="15"/>
      <c r="T9" s="6"/>
      <c r="U9" s="6" t="s">
        <v>33</v>
      </c>
      <c r="V9" s="6">
        <v>0.01</v>
      </c>
      <c r="W9" s="9">
        <v>10</v>
      </c>
      <c r="X9" s="9">
        <f t="shared" si="2"/>
        <v>0.1</v>
      </c>
      <c r="Y9" s="15"/>
      <c r="AD9" s="40" t="s">
        <v>181</v>
      </c>
      <c r="AE9" s="18" t="s">
        <v>47</v>
      </c>
      <c r="AF9" s="40">
        <v>0.3</v>
      </c>
      <c r="AG9" s="19">
        <v>15</v>
      </c>
      <c r="AH9" s="39">
        <f>Tabela5[[#This Row],[VALOR]]*Tabela5[[#This Row],[QUANTIDADE]]</f>
        <v>4.5</v>
      </c>
      <c r="AI9" s="39">
        <f>Tabela5[[#This Row],[VALOR TOTAL]]</f>
        <v>4.5</v>
      </c>
      <c r="AJ9" s="1"/>
    </row>
    <row r="10" spans="2:36" ht="15.75" thickBot="1" x14ac:dyDescent="0.3">
      <c r="B10" s="7"/>
      <c r="C10" s="7" t="s">
        <v>20</v>
      </c>
      <c r="D10" s="7">
        <v>1.4999999999999999E-2</v>
      </c>
      <c r="E10" s="10">
        <v>25</v>
      </c>
      <c r="F10" s="10">
        <f t="shared" ref="F10:F15" si="3">D10*E10</f>
        <v>0.375</v>
      </c>
      <c r="G10" s="33"/>
      <c r="H10" s="29"/>
      <c r="J10" s="6"/>
      <c r="K10" s="6" t="s">
        <v>24</v>
      </c>
      <c r="L10" s="6">
        <v>1.4999999999999999E-2</v>
      </c>
      <c r="M10" s="9">
        <v>8</v>
      </c>
      <c r="N10" s="9">
        <f t="shared" si="1"/>
        <v>0.12</v>
      </c>
      <c r="O10" s="15"/>
      <c r="T10" s="6"/>
      <c r="U10" s="6" t="s">
        <v>23</v>
      </c>
      <c r="V10" s="6">
        <v>5.0000000000000001E-3</v>
      </c>
      <c r="W10" s="9">
        <v>30</v>
      </c>
      <c r="X10" s="9">
        <f t="shared" si="2"/>
        <v>0.15</v>
      </c>
      <c r="Y10" s="15"/>
      <c r="AD10" s="108"/>
      <c r="AE10" s="22" t="s">
        <v>47</v>
      </c>
      <c r="AF10" s="108">
        <v>0.3</v>
      </c>
      <c r="AG10" s="23">
        <v>15</v>
      </c>
      <c r="AH10" s="114">
        <f>Tabela5[[#This Row],[VALOR]]*Tabela5[[#This Row],[QUANTIDADE]]</f>
        <v>4.5</v>
      </c>
      <c r="AI10" s="114">
        <f>Tabela5[[#This Row],[VALOR TOTAL]]+AH11+AH12</f>
        <v>8.65</v>
      </c>
      <c r="AJ10" s="1"/>
    </row>
    <row r="11" spans="2:36" ht="15.75" thickBot="1" x14ac:dyDescent="0.3">
      <c r="B11" s="5"/>
      <c r="C11" s="5" t="s">
        <v>9</v>
      </c>
      <c r="D11" s="5">
        <v>1</v>
      </c>
      <c r="E11" s="13">
        <v>1.6</v>
      </c>
      <c r="F11" s="13">
        <f t="shared" si="3"/>
        <v>1.6</v>
      </c>
      <c r="G11" s="35"/>
      <c r="H11" s="32">
        <f>F11+F12+F14+F13+F15+F16+F17+F18</f>
        <v>9.01</v>
      </c>
      <c r="J11" s="7"/>
      <c r="K11" s="7" t="s">
        <v>20</v>
      </c>
      <c r="L11" s="7">
        <v>0.01</v>
      </c>
      <c r="M11" s="10">
        <v>20</v>
      </c>
      <c r="N11" s="10">
        <f t="shared" si="1"/>
        <v>0.2</v>
      </c>
      <c r="O11" s="16"/>
      <c r="T11" s="7"/>
      <c r="U11" s="7" t="s">
        <v>20</v>
      </c>
      <c r="V11" s="7">
        <v>0.01</v>
      </c>
      <c r="W11" s="10">
        <v>20</v>
      </c>
      <c r="X11" s="10">
        <f t="shared" si="2"/>
        <v>0.2</v>
      </c>
      <c r="Y11" s="16"/>
      <c r="AD11" s="111" t="s">
        <v>182</v>
      </c>
      <c r="AE11" s="107" t="s">
        <v>48</v>
      </c>
      <c r="AF11" s="111">
        <v>0.05</v>
      </c>
      <c r="AG11" s="26">
        <v>48</v>
      </c>
      <c r="AH11" s="115">
        <f>Tabela5[[#This Row],[VALOR]]*Tabela5[[#This Row],[QUANTIDADE]]</f>
        <v>2.4000000000000004</v>
      </c>
      <c r="AI11" s="115"/>
      <c r="AJ11" s="1"/>
    </row>
    <row r="12" spans="2:36" ht="15.75" thickBot="1" x14ac:dyDescent="0.3">
      <c r="B12" s="6"/>
      <c r="C12" s="6" t="s">
        <v>10</v>
      </c>
      <c r="D12" s="6">
        <v>0.16</v>
      </c>
      <c r="E12" s="9">
        <v>30</v>
      </c>
      <c r="F12" s="9">
        <f t="shared" si="3"/>
        <v>4.8</v>
      </c>
      <c r="G12" s="33"/>
      <c r="H12" s="29"/>
      <c r="J12" s="5"/>
      <c r="K12" s="5" t="s">
        <v>9</v>
      </c>
      <c r="L12" s="5">
        <v>1</v>
      </c>
      <c r="M12" s="13">
        <v>1.4</v>
      </c>
      <c r="N12" s="13">
        <f t="shared" si="1"/>
        <v>1.4</v>
      </c>
      <c r="O12" s="17">
        <f>N12+N13+N14+N15+N16+N17+N18</f>
        <v>11.3</v>
      </c>
      <c r="T12" s="27"/>
      <c r="U12" s="5" t="s">
        <v>9</v>
      </c>
      <c r="V12" s="5">
        <v>1</v>
      </c>
      <c r="W12" s="13">
        <v>1.4</v>
      </c>
      <c r="X12" s="13">
        <f t="shared" ref="X12:X18" si="4">W12*V12</f>
        <v>1.4</v>
      </c>
      <c r="Y12" s="32">
        <f>X12+X13+X14+X15+X16+X17+X18</f>
        <v>10.730000000000002</v>
      </c>
      <c r="AD12" s="110"/>
      <c r="AE12" s="24" t="s">
        <v>22</v>
      </c>
      <c r="AF12" s="110">
        <v>0.05</v>
      </c>
      <c r="AG12" s="25">
        <v>35</v>
      </c>
      <c r="AH12" s="116">
        <f>Tabela5[[#This Row],[VALOR]]*Tabela5[[#This Row],[QUANTIDADE]]</f>
        <v>1.75</v>
      </c>
      <c r="AI12" s="116"/>
      <c r="AJ12" s="1"/>
    </row>
    <row r="13" spans="2:36" x14ac:dyDescent="0.25">
      <c r="B13" s="6"/>
      <c r="C13" s="6" t="s">
        <v>32</v>
      </c>
      <c r="D13" s="6">
        <v>1.4999999999999999E-2</v>
      </c>
      <c r="E13" s="9">
        <v>48</v>
      </c>
      <c r="F13" s="9">
        <f t="shared" si="3"/>
        <v>0.72</v>
      </c>
      <c r="G13" s="33"/>
      <c r="H13" s="29"/>
      <c r="J13" s="6"/>
      <c r="K13" s="6" t="s">
        <v>28</v>
      </c>
      <c r="L13" s="6">
        <v>0.13</v>
      </c>
      <c r="M13" s="9">
        <v>30</v>
      </c>
      <c r="N13" s="9">
        <f t="shared" si="1"/>
        <v>3.9000000000000004</v>
      </c>
      <c r="O13" s="15"/>
      <c r="T13" s="28"/>
      <c r="U13" s="6" t="s">
        <v>38</v>
      </c>
      <c r="V13" s="6">
        <v>0.15</v>
      </c>
      <c r="W13" s="9">
        <v>40</v>
      </c>
      <c r="X13" s="9">
        <f t="shared" si="4"/>
        <v>6</v>
      </c>
      <c r="Y13" s="29"/>
      <c r="AD13" s="108"/>
      <c r="AE13" s="22" t="s">
        <v>51</v>
      </c>
      <c r="AF13" s="108">
        <v>1</v>
      </c>
      <c r="AG13" s="23">
        <v>3</v>
      </c>
      <c r="AH13" s="114">
        <f>Tabela5[[#This Row],[VALOR]]*Tabela5[[#This Row],[QUANTIDADE]]</f>
        <v>3</v>
      </c>
      <c r="AI13" s="114">
        <f>Tabela5[[#This Row],[VALOR TOTAL]]+AH14+AH15</f>
        <v>4.1399999999999997</v>
      </c>
      <c r="AJ13" s="1"/>
    </row>
    <row r="14" spans="2:36" x14ac:dyDescent="0.25">
      <c r="B14" s="6" t="s">
        <v>59</v>
      </c>
      <c r="C14" s="6" t="s">
        <v>22</v>
      </c>
      <c r="D14" s="6">
        <v>0.03</v>
      </c>
      <c r="E14" s="9">
        <v>35</v>
      </c>
      <c r="F14" s="9">
        <f t="shared" si="3"/>
        <v>1.05</v>
      </c>
      <c r="G14" s="33"/>
      <c r="H14" s="29"/>
      <c r="J14" s="6"/>
      <c r="K14" s="6" t="s">
        <v>37</v>
      </c>
      <c r="L14" s="6">
        <v>1.4999999999999999E-2</v>
      </c>
      <c r="M14" s="9">
        <v>100</v>
      </c>
      <c r="N14" s="9">
        <f t="shared" si="1"/>
        <v>1.5</v>
      </c>
      <c r="O14" s="15"/>
      <c r="T14" s="6"/>
      <c r="U14" s="6" t="s">
        <v>34</v>
      </c>
      <c r="V14" s="6">
        <v>0.05</v>
      </c>
      <c r="W14" s="9">
        <v>44</v>
      </c>
      <c r="X14" s="9">
        <f t="shared" si="4"/>
        <v>2.2000000000000002</v>
      </c>
      <c r="Y14" s="29"/>
      <c r="AD14" s="109" t="s">
        <v>50</v>
      </c>
      <c r="AE14" s="122" t="s">
        <v>52</v>
      </c>
      <c r="AF14" s="109">
        <v>1</v>
      </c>
      <c r="AG14" s="119">
        <v>0.9</v>
      </c>
      <c r="AH14" s="117">
        <f>Tabela5[[#This Row],[VALOR]]*Tabela5[[#This Row],[QUANTIDADE]]</f>
        <v>0.9</v>
      </c>
      <c r="AI14" s="117"/>
      <c r="AJ14" s="1"/>
    </row>
    <row r="15" spans="2:36" ht="15.75" thickBot="1" x14ac:dyDescent="0.3">
      <c r="B15" s="6"/>
      <c r="C15" s="6" t="s">
        <v>14</v>
      </c>
      <c r="D15" s="6">
        <v>1.4999999999999999E-2</v>
      </c>
      <c r="E15" s="9">
        <v>20</v>
      </c>
      <c r="F15" s="9">
        <f t="shared" si="3"/>
        <v>0.3</v>
      </c>
      <c r="G15" s="33"/>
      <c r="H15" s="29"/>
      <c r="J15" s="6" t="s">
        <v>61</v>
      </c>
      <c r="K15" s="6" t="s">
        <v>22</v>
      </c>
      <c r="L15" s="6">
        <v>0.03</v>
      </c>
      <c r="M15" s="9">
        <v>35</v>
      </c>
      <c r="N15" s="9">
        <f t="shared" si="1"/>
        <v>1.05</v>
      </c>
      <c r="O15" s="15"/>
      <c r="T15" s="28" t="s">
        <v>80</v>
      </c>
      <c r="U15" s="6" t="s">
        <v>21</v>
      </c>
      <c r="V15" s="6">
        <v>0.04</v>
      </c>
      <c r="W15" s="9">
        <v>15</v>
      </c>
      <c r="X15" s="9">
        <f t="shared" si="4"/>
        <v>0.6</v>
      </c>
      <c r="Y15" s="29"/>
      <c r="AD15" s="110"/>
      <c r="AE15" s="24" t="s">
        <v>53</v>
      </c>
      <c r="AF15" s="110">
        <v>0.04</v>
      </c>
      <c r="AG15" s="25">
        <v>6</v>
      </c>
      <c r="AH15" s="116">
        <f>Tabela5[[#This Row],[VALOR]]*Tabela5[[#This Row],[QUANTIDADE]]</f>
        <v>0.24</v>
      </c>
      <c r="AI15" s="116"/>
      <c r="AJ15" s="1"/>
    </row>
    <row r="16" spans="2:36" x14ac:dyDescent="0.25">
      <c r="B16" s="6"/>
      <c r="C16" s="6" t="s">
        <v>29</v>
      </c>
      <c r="D16" s="6">
        <v>1.4999999999999999E-2</v>
      </c>
      <c r="E16" s="9">
        <v>20</v>
      </c>
      <c r="F16" s="9">
        <f t="shared" ref="F16:F18" si="5">D16*E16</f>
        <v>0.3</v>
      </c>
      <c r="G16" s="33"/>
      <c r="H16" s="29"/>
      <c r="J16" s="6"/>
      <c r="K16" s="6" t="s">
        <v>21</v>
      </c>
      <c r="L16" s="6">
        <v>0.02</v>
      </c>
      <c r="M16" s="9">
        <v>15</v>
      </c>
      <c r="N16" s="9">
        <f t="shared" si="1"/>
        <v>0.3</v>
      </c>
      <c r="O16" s="15"/>
      <c r="T16" s="28"/>
      <c r="U16" s="6" t="s">
        <v>23</v>
      </c>
      <c r="V16" s="6">
        <v>5.0000000000000001E-3</v>
      </c>
      <c r="W16" s="9">
        <v>30</v>
      </c>
      <c r="X16" s="9">
        <f t="shared" si="4"/>
        <v>0.15</v>
      </c>
      <c r="Y16" s="29"/>
      <c r="AD16" s="108"/>
      <c r="AE16" s="22" t="s">
        <v>135</v>
      </c>
      <c r="AF16" s="108">
        <v>2</v>
      </c>
      <c r="AG16" s="23">
        <v>7</v>
      </c>
      <c r="AH16" s="114">
        <f>Tabela5[[#This Row],[VALOR]]*Tabela5[[#This Row],[QUANTIDADE]]</f>
        <v>14</v>
      </c>
      <c r="AI16" s="114">
        <f>Tabela5[[#This Row],[VALOR TOTAL]]+AH17+AH18+AH19+AH20+AH21+AH22</f>
        <v>34.800000000000004</v>
      </c>
      <c r="AJ16" s="1" t="s">
        <v>141</v>
      </c>
    </row>
    <row r="17" spans="2:36" x14ac:dyDescent="0.25">
      <c r="B17" s="6"/>
      <c r="C17" s="6" t="s">
        <v>24</v>
      </c>
      <c r="D17" s="6">
        <v>1.4999999999999999E-2</v>
      </c>
      <c r="E17" s="9">
        <v>8</v>
      </c>
      <c r="F17" s="9">
        <f t="shared" si="5"/>
        <v>0.12</v>
      </c>
      <c r="G17" s="33"/>
      <c r="H17" s="29"/>
      <c r="J17" s="6"/>
      <c r="K17" s="6" t="s">
        <v>23</v>
      </c>
      <c r="L17" s="6">
        <v>5.0000000000000001E-3</v>
      </c>
      <c r="M17" s="9">
        <v>30</v>
      </c>
      <c r="N17" s="9">
        <f t="shared" si="1"/>
        <v>0.15</v>
      </c>
      <c r="O17" s="15"/>
      <c r="T17" s="28"/>
      <c r="U17" s="6" t="s">
        <v>24</v>
      </c>
      <c r="V17" s="6">
        <v>0.01</v>
      </c>
      <c r="W17" s="9">
        <v>8</v>
      </c>
      <c r="X17" s="9">
        <f t="shared" si="4"/>
        <v>0.08</v>
      </c>
      <c r="Y17" s="29"/>
      <c r="AD17" s="111"/>
      <c r="AE17" s="107" t="s">
        <v>136</v>
      </c>
      <c r="AF17" s="111">
        <v>0.3</v>
      </c>
      <c r="AG17" s="26">
        <v>6</v>
      </c>
      <c r="AH17" s="115">
        <f>Tabela5[[#This Row],[VALOR]]*Tabela5[[#This Row],[QUANTIDADE]]</f>
        <v>1.7999999999999998</v>
      </c>
      <c r="AI17" s="115"/>
      <c r="AJ17" s="1">
        <v>11</v>
      </c>
    </row>
    <row r="18" spans="2:36" ht="15.75" thickBot="1" x14ac:dyDescent="0.3">
      <c r="B18" s="7"/>
      <c r="C18" s="7" t="s">
        <v>13</v>
      </c>
      <c r="D18" s="7">
        <v>0.01</v>
      </c>
      <c r="E18" s="10">
        <v>12</v>
      </c>
      <c r="F18" s="10">
        <f t="shared" si="5"/>
        <v>0.12</v>
      </c>
      <c r="G18" s="36"/>
      <c r="H18" s="31"/>
      <c r="J18" s="7"/>
      <c r="K18" s="7" t="s">
        <v>20</v>
      </c>
      <c r="L18" s="7">
        <v>0.1</v>
      </c>
      <c r="M18" s="10">
        <v>30</v>
      </c>
      <c r="N18" s="10">
        <f t="shared" si="1"/>
        <v>3</v>
      </c>
      <c r="O18" s="16"/>
      <c r="T18" s="28"/>
      <c r="U18" s="6" t="s">
        <v>20</v>
      </c>
      <c r="V18" s="6">
        <v>0.01</v>
      </c>
      <c r="W18" s="9">
        <v>30</v>
      </c>
      <c r="X18" s="9">
        <f t="shared" si="4"/>
        <v>0.3</v>
      </c>
      <c r="Y18" s="29"/>
      <c r="AD18" s="111" t="s">
        <v>134</v>
      </c>
      <c r="AE18" s="107" t="s">
        <v>137</v>
      </c>
      <c r="AF18" s="111">
        <v>1</v>
      </c>
      <c r="AG18" s="26">
        <v>7</v>
      </c>
      <c r="AH18" s="115">
        <f>Tabela5[[#This Row],[VALOR]]*Tabela5[[#This Row],[QUANTIDADE]]</f>
        <v>7</v>
      </c>
      <c r="AI18" s="115">
        <f>AI16/AJ17</f>
        <v>3.163636363636364</v>
      </c>
      <c r="AJ18" s="1" t="s">
        <v>142</v>
      </c>
    </row>
    <row r="19" spans="2:36" ht="15.75" thickBot="1" x14ac:dyDescent="0.3">
      <c r="B19" s="5"/>
      <c r="C19" s="5" t="s">
        <v>9</v>
      </c>
      <c r="D19" s="5">
        <v>1</v>
      </c>
      <c r="E19" s="13">
        <v>1.6</v>
      </c>
      <c r="F19" s="13">
        <f t="shared" ref="F19:F24" si="6">D19*E19</f>
        <v>1.6</v>
      </c>
      <c r="G19" s="35"/>
      <c r="H19" s="32">
        <f>F19+F20+F21+F22+F23+F24+F25+F26</f>
        <v>12.469999999999999</v>
      </c>
      <c r="J19" s="27"/>
      <c r="K19" s="5" t="s">
        <v>9</v>
      </c>
      <c r="L19" s="43">
        <v>1</v>
      </c>
      <c r="M19" s="13">
        <v>1.4</v>
      </c>
      <c r="N19" s="46">
        <f t="shared" si="1"/>
        <v>1.4</v>
      </c>
      <c r="O19" s="17">
        <f>Tabela2[[#This Row],[VALOR TOTAL]]+N20+N21+N22+N23+N24</f>
        <v>13.790000000000001</v>
      </c>
      <c r="T19" s="30"/>
      <c r="U19" s="7" t="s">
        <v>13</v>
      </c>
      <c r="V19" s="7">
        <v>0.01</v>
      </c>
      <c r="W19" s="10">
        <v>12</v>
      </c>
      <c r="X19" s="10"/>
      <c r="Y19" s="31"/>
      <c r="AD19" s="111"/>
      <c r="AE19" s="107" t="s">
        <v>138</v>
      </c>
      <c r="AF19" s="111">
        <v>2</v>
      </c>
      <c r="AG19" s="26">
        <v>5</v>
      </c>
      <c r="AH19" s="115">
        <f>Tabela5[[#This Row],[VALOR]]*Tabela5[[#This Row],[QUANTIDADE]]</f>
        <v>10</v>
      </c>
      <c r="AI19" s="115"/>
      <c r="AJ19" s="1"/>
    </row>
    <row r="20" spans="2:36" x14ac:dyDescent="0.25">
      <c r="B20" s="6"/>
      <c r="C20" s="6" t="s">
        <v>19</v>
      </c>
      <c r="D20" s="6">
        <v>0.16</v>
      </c>
      <c r="E20" s="9">
        <v>30</v>
      </c>
      <c r="F20" s="9">
        <f t="shared" si="6"/>
        <v>4.8</v>
      </c>
      <c r="G20" s="33"/>
      <c r="H20" s="29"/>
      <c r="J20" s="28"/>
      <c r="K20" s="6" t="s">
        <v>19</v>
      </c>
      <c r="L20" s="1">
        <v>0.26</v>
      </c>
      <c r="M20" s="9">
        <v>30</v>
      </c>
      <c r="N20" s="12">
        <f>L20*M20</f>
        <v>7.8000000000000007</v>
      </c>
      <c r="O20" s="44"/>
      <c r="T20" s="5"/>
      <c r="U20" s="5" t="s">
        <v>9</v>
      </c>
      <c r="V20" s="5">
        <v>1</v>
      </c>
      <c r="W20" s="13">
        <v>1.4</v>
      </c>
      <c r="X20" s="13">
        <f t="shared" ref="X20:X26" si="7">W20*V20</f>
        <v>1.4</v>
      </c>
      <c r="Y20" s="17">
        <f>X20+X21+X22+X23+X24+X25+X26</f>
        <v>12.100000000000001</v>
      </c>
      <c r="AD20" s="111"/>
      <c r="AE20" s="107" t="s">
        <v>53</v>
      </c>
      <c r="AF20" s="111">
        <v>0.2</v>
      </c>
      <c r="AG20" s="26">
        <v>6</v>
      </c>
      <c r="AH20" s="115">
        <f>Tabela5[[#This Row],[VALOR]]*Tabela5[[#This Row],[QUANTIDADE]]</f>
        <v>1.2000000000000002</v>
      </c>
      <c r="AI20" s="115"/>
      <c r="AJ20" s="1"/>
    </row>
    <row r="21" spans="2:36" x14ac:dyDescent="0.25">
      <c r="B21" s="6"/>
      <c r="C21" s="6" t="s">
        <v>12</v>
      </c>
      <c r="D21" s="6">
        <v>0.06</v>
      </c>
      <c r="E21" s="9">
        <v>35</v>
      </c>
      <c r="F21" s="9">
        <f t="shared" si="6"/>
        <v>2.1</v>
      </c>
      <c r="G21" s="33"/>
      <c r="H21" s="29"/>
      <c r="J21" s="28"/>
      <c r="K21" s="6" t="s">
        <v>22</v>
      </c>
      <c r="L21" s="1">
        <v>0.03</v>
      </c>
      <c r="M21" s="9">
        <v>35</v>
      </c>
      <c r="N21" s="12">
        <f>L21*M21</f>
        <v>1.05</v>
      </c>
      <c r="O21" s="37"/>
      <c r="T21" s="6"/>
      <c r="U21" s="6" t="s">
        <v>39</v>
      </c>
      <c r="V21" s="6">
        <v>0.1</v>
      </c>
      <c r="W21" s="9">
        <v>20</v>
      </c>
      <c r="X21" s="9">
        <f t="shared" si="7"/>
        <v>2</v>
      </c>
      <c r="Y21" s="15"/>
      <c r="AD21" s="111"/>
      <c r="AE21" s="107" t="s">
        <v>139</v>
      </c>
      <c r="AF21" s="111">
        <v>1</v>
      </c>
      <c r="AG21" s="26">
        <v>0.7</v>
      </c>
      <c r="AH21" s="115">
        <f>Tabela5[[#This Row],[VALOR]]*Tabela5[[#This Row],[QUANTIDADE]]</f>
        <v>0.7</v>
      </c>
      <c r="AI21" s="115"/>
      <c r="AJ21" s="1"/>
    </row>
    <row r="22" spans="2:36" ht="15.75" thickBot="1" x14ac:dyDescent="0.3">
      <c r="B22" s="6" t="s">
        <v>58</v>
      </c>
      <c r="C22" s="6" t="s">
        <v>57</v>
      </c>
      <c r="D22" s="6">
        <v>0.06</v>
      </c>
      <c r="E22" s="9">
        <v>35</v>
      </c>
      <c r="F22" s="9">
        <f t="shared" si="6"/>
        <v>2.1</v>
      </c>
      <c r="G22" s="33"/>
      <c r="H22" s="29"/>
      <c r="J22" s="6"/>
      <c r="K22" s="6" t="s">
        <v>30</v>
      </c>
      <c r="L22" s="1">
        <v>1</v>
      </c>
      <c r="M22" s="9">
        <v>0.6</v>
      </c>
      <c r="N22" s="12">
        <f>L22*M22</f>
        <v>0.6</v>
      </c>
      <c r="O22" s="15"/>
      <c r="T22" s="6"/>
      <c r="U22" s="6" t="s">
        <v>11</v>
      </c>
      <c r="V22" s="6">
        <v>0.03</v>
      </c>
      <c r="W22" s="9">
        <v>35</v>
      </c>
      <c r="X22" s="9">
        <f t="shared" si="7"/>
        <v>1.05</v>
      </c>
      <c r="Y22" s="15"/>
      <c r="AD22" s="110"/>
      <c r="AE22" s="24" t="s">
        <v>140</v>
      </c>
      <c r="AF22" s="110">
        <v>1</v>
      </c>
      <c r="AG22" s="25">
        <v>0.1</v>
      </c>
      <c r="AH22" s="116">
        <f>Tabela5[[#This Row],[VALOR]]*Tabela5[[#This Row],[QUANTIDADE]]</f>
        <v>0.1</v>
      </c>
      <c r="AI22" s="116"/>
      <c r="AJ22" s="1"/>
    </row>
    <row r="23" spans="2:36" x14ac:dyDescent="0.25">
      <c r="B23" s="6"/>
      <c r="C23" s="6" t="s">
        <v>56</v>
      </c>
      <c r="D23" s="6">
        <v>2</v>
      </c>
      <c r="E23" s="9">
        <v>0.6</v>
      </c>
      <c r="F23" s="9">
        <f t="shared" si="6"/>
        <v>1.2</v>
      </c>
      <c r="G23" s="33"/>
      <c r="H23" s="29"/>
      <c r="J23" s="28" t="s">
        <v>87</v>
      </c>
      <c r="K23" s="6" t="s">
        <v>113</v>
      </c>
      <c r="L23" s="1">
        <v>0.03</v>
      </c>
      <c r="M23" s="9">
        <v>48</v>
      </c>
      <c r="N23" s="12">
        <f>L23*M23</f>
        <v>1.44</v>
      </c>
      <c r="O23" s="15"/>
      <c r="T23" s="6" t="s">
        <v>43</v>
      </c>
      <c r="U23" s="6" t="s">
        <v>34</v>
      </c>
      <c r="V23" s="6">
        <v>0.15</v>
      </c>
      <c r="W23" s="9">
        <v>44</v>
      </c>
      <c r="X23" s="9">
        <f t="shared" si="7"/>
        <v>6.6</v>
      </c>
      <c r="Y23" s="15"/>
    </row>
    <row r="24" spans="2:36" ht="15.75" thickBot="1" x14ac:dyDescent="0.3">
      <c r="B24" s="6"/>
      <c r="C24" s="6" t="s">
        <v>14</v>
      </c>
      <c r="D24" s="6">
        <v>1.4999999999999999E-2</v>
      </c>
      <c r="E24" s="9">
        <v>20</v>
      </c>
      <c r="F24" s="9">
        <f t="shared" si="6"/>
        <v>0.3</v>
      </c>
      <c r="G24" s="33"/>
      <c r="H24" s="29"/>
      <c r="J24" s="28"/>
      <c r="K24" s="6" t="s">
        <v>33</v>
      </c>
      <c r="L24" s="1">
        <v>0.15</v>
      </c>
      <c r="M24" s="9">
        <v>10</v>
      </c>
      <c r="N24" s="12">
        <f t="shared" ref="N24" si="8">L24*M24</f>
        <v>1.5</v>
      </c>
      <c r="O24" s="15"/>
      <c r="T24" s="6"/>
      <c r="U24" s="6" t="s">
        <v>21</v>
      </c>
      <c r="V24" s="6">
        <v>0.04</v>
      </c>
      <c r="W24" s="9">
        <v>15</v>
      </c>
      <c r="X24" s="9">
        <f t="shared" si="7"/>
        <v>0.6</v>
      </c>
      <c r="Y24" s="15"/>
    </row>
    <row r="25" spans="2:36" ht="15.75" thickBot="1" x14ac:dyDescent="0.3">
      <c r="B25" s="6"/>
      <c r="C25" s="6" t="s">
        <v>13</v>
      </c>
      <c r="D25" s="6">
        <v>0.01</v>
      </c>
      <c r="E25" s="9">
        <v>12</v>
      </c>
      <c r="F25" s="9">
        <f t="shared" ref="F25:F26" si="9">D25*E25</f>
        <v>0.12</v>
      </c>
      <c r="G25" s="33"/>
      <c r="H25" s="29"/>
      <c r="J25" s="28"/>
      <c r="K25" s="6" t="s">
        <v>23</v>
      </c>
      <c r="L25" s="1">
        <v>5.0000000000000001E-3</v>
      </c>
      <c r="M25" s="9">
        <v>30</v>
      </c>
      <c r="N25" s="12">
        <f>L25*M25</f>
        <v>0.15</v>
      </c>
      <c r="O25" s="15"/>
      <c r="T25" s="6"/>
      <c r="U25" s="6" t="s">
        <v>23</v>
      </c>
      <c r="V25" s="6">
        <v>5.0000000000000001E-3</v>
      </c>
      <c r="W25" s="9">
        <v>30</v>
      </c>
      <c r="X25" s="9">
        <f t="shared" si="7"/>
        <v>0.15</v>
      </c>
      <c r="Y25" s="15"/>
      <c r="AD25" s="209" t="s">
        <v>126</v>
      </c>
      <c r="AE25" s="210"/>
      <c r="AF25" s="210"/>
      <c r="AG25" s="210"/>
      <c r="AH25" s="211"/>
    </row>
    <row r="26" spans="2:36" ht="15.75" thickBot="1" x14ac:dyDescent="0.3">
      <c r="B26" s="7"/>
      <c r="C26" s="7" t="s">
        <v>20</v>
      </c>
      <c r="D26" s="7">
        <v>0.01</v>
      </c>
      <c r="E26" s="10">
        <v>25</v>
      </c>
      <c r="F26" s="10">
        <f t="shared" si="9"/>
        <v>0.25</v>
      </c>
      <c r="G26" s="36"/>
      <c r="H26" s="31"/>
      <c r="J26" s="28"/>
      <c r="K26" s="6" t="s">
        <v>24</v>
      </c>
      <c r="L26" s="1">
        <v>0.01</v>
      </c>
      <c r="M26" s="9">
        <v>12</v>
      </c>
      <c r="N26" s="12">
        <f>L26*M26</f>
        <v>0.12</v>
      </c>
      <c r="O26" s="15"/>
      <c r="T26" s="7"/>
      <c r="U26" s="7" t="s">
        <v>20</v>
      </c>
      <c r="V26" s="7">
        <v>0.01</v>
      </c>
      <c r="W26" s="10">
        <v>30</v>
      </c>
      <c r="X26" s="10">
        <f t="shared" si="7"/>
        <v>0.3</v>
      </c>
      <c r="Y26" s="16"/>
      <c r="AE26" s="1" t="s">
        <v>128</v>
      </c>
      <c r="AF26" s="1">
        <v>1</v>
      </c>
      <c r="AG26" s="8">
        <v>5</v>
      </c>
    </row>
    <row r="27" spans="2:36" ht="15.75" thickBot="1" x14ac:dyDescent="0.3">
      <c r="E27" s="12"/>
      <c r="F27" s="12"/>
      <c r="H27" s="42"/>
      <c r="J27" s="30"/>
      <c r="K27" s="7" t="s">
        <v>13</v>
      </c>
      <c r="L27" s="45">
        <v>1.4999999999999999E-2</v>
      </c>
      <c r="M27" s="10">
        <v>8</v>
      </c>
      <c r="N27" s="47">
        <f>L27*M27</f>
        <v>0.12</v>
      </c>
      <c r="O27" s="16"/>
      <c r="T27" s="208" t="s">
        <v>101</v>
      </c>
      <c r="U27" s="208"/>
      <c r="V27" s="208"/>
      <c r="W27" s="208"/>
      <c r="X27" s="208"/>
      <c r="AE27" s="1" t="s">
        <v>10</v>
      </c>
      <c r="AF27" s="1">
        <v>1</v>
      </c>
      <c r="AG27" s="8">
        <v>7</v>
      </c>
    </row>
    <row r="28" spans="2:36" ht="15.75" thickBot="1" x14ac:dyDescent="0.3">
      <c r="E28" s="12"/>
      <c r="F28" s="12"/>
      <c r="M28" s="12"/>
      <c r="N28" s="12"/>
      <c r="T28" s="1" t="s">
        <v>106</v>
      </c>
      <c r="U28" s="1" t="s">
        <v>15</v>
      </c>
      <c r="V28" s="1" t="s">
        <v>103</v>
      </c>
      <c r="W28" s="8" t="s">
        <v>104</v>
      </c>
      <c r="X28" s="8" t="s">
        <v>105</v>
      </c>
      <c r="AE28" s="1" t="s">
        <v>22</v>
      </c>
      <c r="AF28" s="1">
        <v>1</v>
      </c>
      <c r="AG28" s="8">
        <v>4</v>
      </c>
    </row>
    <row r="29" spans="2:36" x14ac:dyDescent="0.25">
      <c r="E29" s="12"/>
      <c r="F29" s="12"/>
      <c r="M29" s="12"/>
      <c r="N29" s="12"/>
      <c r="T29" s="27"/>
      <c r="U29" s="43" t="s">
        <v>96</v>
      </c>
      <c r="V29" s="43" t="s">
        <v>107</v>
      </c>
      <c r="W29" s="46">
        <v>25</v>
      </c>
      <c r="X29" s="83" t="s">
        <v>102</v>
      </c>
      <c r="AE29" s="1" t="s">
        <v>30</v>
      </c>
      <c r="AF29" s="1">
        <v>1</v>
      </c>
      <c r="AG29" s="8">
        <v>2</v>
      </c>
    </row>
    <row r="30" spans="2:36" x14ac:dyDescent="0.25">
      <c r="E30" s="12"/>
      <c r="F30" s="12"/>
      <c r="N30" s="12"/>
      <c r="T30" s="28"/>
      <c r="U30" s="1" t="s">
        <v>97</v>
      </c>
      <c r="V30" s="1">
        <v>1</v>
      </c>
      <c r="W30" s="12">
        <v>3</v>
      </c>
      <c r="X30" s="84">
        <f>W29+Tabela8[[#This Row],[Coluna4]]+W31+W32+W33+W34</f>
        <v>30.35</v>
      </c>
      <c r="AE30" s="1" t="s">
        <v>11</v>
      </c>
      <c r="AF30" s="1">
        <v>1</v>
      </c>
      <c r="AG30" s="8">
        <v>3</v>
      </c>
    </row>
    <row r="31" spans="2:36" x14ac:dyDescent="0.25">
      <c r="E31" s="12"/>
      <c r="F31" s="12"/>
      <c r="T31" s="28" t="s">
        <v>36</v>
      </c>
      <c r="U31" s="1" t="s">
        <v>98</v>
      </c>
      <c r="V31" s="1">
        <v>1</v>
      </c>
      <c r="W31" s="12">
        <v>0.05</v>
      </c>
      <c r="X31" s="84"/>
      <c r="AE31" s="1" t="s">
        <v>64</v>
      </c>
      <c r="AF31" s="1">
        <v>1</v>
      </c>
      <c r="AG31" s="8">
        <v>6</v>
      </c>
    </row>
    <row r="32" spans="2:36" x14ac:dyDescent="0.25">
      <c r="E32" s="12"/>
      <c r="F32" s="12"/>
      <c r="T32" s="28"/>
      <c r="U32" s="1" t="s">
        <v>99</v>
      </c>
      <c r="V32" s="1">
        <v>1</v>
      </c>
      <c r="W32" s="12">
        <v>1</v>
      </c>
      <c r="X32" s="84"/>
      <c r="AE32" s="1" t="s">
        <v>34</v>
      </c>
      <c r="AF32" s="1">
        <v>1</v>
      </c>
      <c r="AG32" s="8">
        <v>5</v>
      </c>
    </row>
    <row r="33" spans="5:33" x14ac:dyDescent="0.25">
      <c r="E33" s="12"/>
      <c r="F33" s="12"/>
      <c r="T33" s="28"/>
      <c r="U33" s="1" t="s">
        <v>100</v>
      </c>
      <c r="V33" s="1">
        <v>1</v>
      </c>
      <c r="W33" s="12">
        <v>1</v>
      </c>
      <c r="X33" s="84"/>
      <c r="AE33" s="1" t="s">
        <v>48</v>
      </c>
      <c r="AF33" s="1">
        <v>1</v>
      </c>
      <c r="AG33" s="8">
        <v>5</v>
      </c>
    </row>
    <row r="34" spans="5:33" ht="15.75" thickBot="1" x14ac:dyDescent="0.3">
      <c r="E34" s="12"/>
      <c r="F34" s="12"/>
      <c r="T34" s="30"/>
      <c r="U34" s="45" t="s">
        <v>108</v>
      </c>
      <c r="V34" s="45">
        <v>1</v>
      </c>
      <c r="W34" s="47">
        <v>0.3</v>
      </c>
      <c r="X34" s="85"/>
      <c r="AE34" s="1" t="s">
        <v>33</v>
      </c>
      <c r="AF34" s="1">
        <v>1</v>
      </c>
      <c r="AG34" s="8">
        <v>2</v>
      </c>
    </row>
    <row r="35" spans="5:33" x14ac:dyDescent="0.25">
      <c r="E35" s="12"/>
      <c r="F35" s="12"/>
      <c r="T35" s="27"/>
      <c r="U35" s="43" t="s">
        <v>10</v>
      </c>
      <c r="V35" s="43" t="s">
        <v>107</v>
      </c>
      <c r="W35" s="46">
        <v>30</v>
      </c>
      <c r="X35" s="83">
        <f>Tabela8[[#This Row],[Coluna4]]+W36+W37+W38+W39</f>
        <v>35.299999999999997</v>
      </c>
      <c r="AE35" s="1" t="s">
        <v>127</v>
      </c>
      <c r="AF35" s="1">
        <v>1</v>
      </c>
      <c r="AG35" s="8">
        <v>3</v>
      </c>
    </row>
    <row r="36" spans="5:33" x14ac:dyDescent="0.25">
      <c r="E36" s="12"/>
      <c r="F36" s="12"/>
      <c r="T36" s="28"/>
      <c r="U36" s="1" t="s">
        <v>97</v>
      </c>
      <c r="V36" s="1">
        <v>1</v>
      </c>
      <c r="W36" s="12">
        <v>3</v>
      </c>
      <c r="X36" s="84"/>
      <c r="AE36" s="1" t="s">
        <v>77</v>
      </c>
      <c r="AF36" s="1">
        <v>1</v>
      </c>
      <c r="AG36" s="8">
        <v>4</v>
      </c>
    </row>
    <row r="37" spans="5:33" x14ac:dyDescent="0.25">
      <c r="E37" s="12"/>
      <c r="F37" s="12"/>
      <c r="T37" s="28" t="s">
        <v>38</v>
      </c>
      <c r="U37" s="1" t="s">
        <v>99</v>
      </c>
      <c r="V37" s="1">
        <v>1</v>
      </c>
      <c r="W37" s="12">
        <v>1</v>
      </c>
      <c r="X37" s="84"/>
      <c r="AE37" s="1" t="s">
        <v>24</v>
      </c>
      <c r="AF37" s="1">
        <v>1</v>
      </c>
      <c r="AG37" s="8">
        <v>1</v>
      </c>
    </row>
    <row r="38" spans="5:33" x14ac:dyDescent="0.25">
      <c r="E38" s="12"/>
      <c r="F38" s="12"/>
      <c r="T38" s="28"/>
      <c r="U38" s="1" t="s">
        <v>100</v>
      </c>
      <c r="V38" s="1">
        <v>1</v>
      </c>
      <c r="W38" s="12">
        <v>1</v>
      </c>
      <c r="X38" s="84"/>
      <c r="AE38" s="1" t="s">
        <v>29</v>
      </c>
      <c r="AF38" s="1">
        <v>1</v>
      </c>
      <c r="AG38" s="8">
        <v>1</v>
      </c>
    </row>
    <row r="39" spans="5:33" ht="15.75" thickBot="1" x14ac:dyDescent="0.3">
      <c r="E39" s="12"/>
      <c r="F39" s="12"/>
      <c r="T39" s="30"/>
      <c r="U39" s="45" t="s">
        <v>108</v>
      </c>
      <c r="V39" s="45">
        <v>1</v>
      </c>
      <c r="W39" s="47">
        <v>0.3</v>
      </c>
      <c r="X39" s="85"/>
      <c r="AE39" s="1" t="s">
        <v>23</v>
      </c>
      <c r="AF39" s="1">
        <v>1</v>
      </c>
      <c r="AG39" s="8">
        <v>2</v>
      </c>
    </row>
    <row r="40" spans="5:33" x14ac:dyDescent="0.25">
      <c r="E40" s="12"/>
      <c r="F40" s="12"/>
      <c r="AE40" s="1" t="s">
        <v>13</v>
      </c>
      <c r="AF40" s="1">
        <v>1</v>
      </c>
      <c r="AG40" s="8">
        <v>2</v>
      </c>
    </row>
    <row r="41" spans="5:33" x14ac:dyDescent="0.25">
      <c r="E41" s="12"/>
      <c r="F41" s="12"/>
      <c r="AE41" s="1" t="s">
        <v>20</v>
      </c>
      <c r="AF41" s="1">
        <v>1</v>
      </c>
      <c r="AG41" s="8">
        <v>3</v>
      </c>
    </row>
    <row r="42" spans="5:33" x14ac:dyDescent="0.25">
      <c r="E42" s="12"/>
      <c r="F42" s="12"/>
      <c r="G42" s="3"/>
    </row>
    <row r="43" spans="5:33" x14ac:dyDescent="0.25">
      <c r="E43" s="12"/>
      <c r="F43" s="12"/>
      <c r="G43" s="3"/>
    </row>
  </sheetData>
  <mergeCells count="6">
    <mergeCell ref="B2:G2"/>
    <mergeCell ref="AD2:AI2"/>
    <mergeCell ref="J2:O2"/>
    <mergeCell ref="T2:Y2"/>
    <mergeCell ref="T27:X27"/>
    <mergeCell ref="AD25:AH25"/>
  </mergeCells>
  <pageMargins left="0.511811024" right="0.511811024" top="0.78740157499999996" bottom="0.78740157499999996" header="0.31496062000000002" footer="0.31496062000000002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FAF64-4DAA-466A-B4B2-9428B79C891A}">
  <dimension ref="B3:S99"/>
  <sheetViews>
    <sheetView tabSelected="1" topLeftCell="A8" zoomScale="85" zoomScaleNormal="85" workbookViewId="0">
      <selection activeCell="L30" sqref="L30"/>
    </sheetView>
  </sheetViews>
  <sheetFormatPr defaultRowHeight="15" x14ac:dyDescent="0.25"/>
  <cols>
    <col min="1" max="1" width="6" customWidth="1"/>
    <col min="2" max="2" width="24.28515625" style="1" customWidth="1"/>
    <col min="3" max="3" width="19.5703125" style="1" customWidth="1"/>
    <col min="4" max="4" width="18.7109375" style="1" customWidth="1"/>
    <col min="5" max="5" width="21.42578125" style="1" customWidth="1"/>
    <col min="6" max="6" width="18.28515625" style="1" customWidth="1"/>
    <col min="7" max="7" width="16.85546875" style="1" customWidth="1"/>
    <col min="8" max="8" width="16.140625" style="1" customWidth="1"/>
    <col min="9" max="9" width="17" style="1" customWidth="1"/>
    <col min="10" max="10" width="35.85546875" customWidth="1"/>
    <col min="11" max="11" width="30.7109375" customWidth="1"/>
    <col min="12" max="12" width="15.28515625" customWidth="1"/>
    <col min="13" max="13" width="16.7109375" customWidth="1"/>
    <col min="14" max="14" width="16.42578125" customWidth="1"/>
    <col min="15" max="15" width="21" customWidth="1"/>
    <col min="16" max="16" width="15.5703125" customWidth="1"/>
    <col min="17" max="17" width="15.140625" customWidth="1"/>
    <col min="18" max="18" width="17" customWidth="1"/>
    <col min="19" max="19" width="11.7109375" customWidth="1"/>
    <col min="20" max="20" width="12.7109375" customWidth="1"/>
  </cols>
  <sheetData>
    <row r="3" spans="2:18" x14ac:dyDescent="0.25">
      <c r="D3" s="218" t="s">
        <v>116</v>
      </c>
      <c r="E3" s="218"/>
      <c r="F3" s="218"/>
      <c r="G3" s="218"/>
    </row>
    <row r="4" spans="2:18" ht="15.75" thickBot="1" x14ac:dyDescent="0.3">
      <c r="D4" s="1" t="s">
        <v>95</v>
      </c>
      <c r="F4" s="1" t="s">
        <v>95</v>
      </c>
      <c r="I4" s="1" t="s">
        <v>95</v>
      </c>
    </row>
    <row r="5" spans="2:18" ht="15.75" thickBot="1" x14ac:dyDescent="0.3">
      <c r="B5" s="38" t="s">
        <v>2</v>
      </c>
      <c r="C5" s="54" t="s">
        <v>6</v>
      </c>
      <c r="D5" s="55" t="s">
        <v>3</v>
      </c>
      <c r="E5" s="50" t="s">
        <v>0</v>
      </c>
      <c r="F5" s="50" t="s">
        <v>1</v>
      </c>
      <c r="G5" s="50" t="s">
        <v>4</v>
      </c>
      <c r="H5" s="50" t="s">
        <v>5</v>
      </c>
      <c r="I5" s="50" t="s">
        <v>63</v>
      </c>
      <c r="J5" s="75" t="s">
        <v>7</v>
      </c>
      <c r="K5" s="81" t="s">
        <v>8</v>
      </c>
    </row>
    <row r="6" spans="2:18" x14ac:dyDescent="0.25">
      <c r="B6" s="6" t="s">
        <v>218</v>
      </c>
      <c r="C6" s="12">
        <f>'CARDAPIO+PREÇO'!H5</f>
        <v>5.6449999999999996</v>
      </c>
      <c r="D6" s="136">
        <f>Tabela7[[#This Row],[PREÇO DE VENDA]]/Tabela7[[#This Row],[CUSTO PREPARO]]</f>
        <v>3.0097431355181574</v>
      </c>
      <c r="E6" s="62">
        <v>16.989999999999998</v>
      </c>
      <c r="F6" s="64">
        <f>20%</f>
        <v>0.2</v>
      </c>
      <c r="G6" s="48">
        <f t="shared" ref="G6:G13" si="0">F6*E6</f>
        <v>3.3979999999999997</v>
      </c>
      <c r="H6" s="68">
        <f t="shared" ref="H6:H13" si="1">E6-G6-C6</f>
        <v>7.9469999999999992</v>
      </c>
      <c r="I6" s="1">
        <v>0</v>
      </c>
      <c r="J6" s="80">
        <f t="shared" ref="J6:J13" si="2">I6*E6</f>
        <v>0</v>
      </c>
      <c r="K6" s="17">
        <f t="shared" ref="K6:K13" si="3">I6*H6</f>
        <v>0</v>
      </c>
    </row>
    <row r="7" spans="2:18" x14ac:dyDescent="0.25">
      <c r="B7" s="6" t="s">
        <v>219</v>
      </c>
      <c r="C7" s="51">
        <f>'CARDAPIO+PREÇO'!H11</f>
        <v>9.01</v>
      </c>
      <c r="D7" s="136">
        <f>Tabela7[[#This Row],[PREÇO DE VENDA]]/Tabela7[[#This Row],[CUSTO PREPARO]]</f>
        <v>2.9966703662597114</v>
      </c>
      <c r="E7" s="62">
        <v>27</v>
      </c>
      <c r="F7" s="64">
        <f>20%</f>
        <v>0.2</v>
      </c>
      <c r="G7" s="52">
        <f t="shared" si="0"/>
        <v>5.4</v>
      </c>
      <c r="H7" s="106">
        <f t="shared" si="1"/>
        <v>12.590000000000002</v>
      </c>
      <c r="I7" s="53">
        <v>0</v>
      </c>
      <c r="J7" s="76">
        <f t="shared" si="2"/>
        <v>0</v>
      </c>
      <c r="K7" s="37">
        <f t="shared" si="3"/>
        <v>0</v>
      </c>
    </row>
    <row r="8" spans="2:18" x14ac:dyDescent="0.25">
      <c r="B8" s="6" t="s">
        <v>220</v>
      </c>
      <c r="C8" s="51">
        <f>'CARDAPIO+PREÇO'!H19</f>
        <v>12.469999999999999</v>
      </c>
      <c r="D8" s="136">
        <f>Tabela7[[#This Row],[PREÇO DE VENDA]]/Tabela7[[#This Row],[CUSTO PREPARO]]</f>
        <v>2.9663191659983967</v>
      </c>
      <c r="E8" s="62">
        <v>36.99</v>
      </c>
      <c r="F8" s="64">
        <f>20%</f>
        <v>0.2</v>
      </c>
      <c r="G8" s="52">
        <f t="shared" si="0"/>
        <v>7.3980000000000006</v>
      </c>
      <c r="H8" s="106">
        <f t="shared" si="1"/>
        <v>17.122000000000003</v>
      </c>
      <c r="I8" s="53">
        <v>0</v>
      </c>
      <c r="J8" s="76">
        <f t="shared" si="2"/>
        <v>0</v>
      </c>
      <c r="K8" s="37">
        <f t="shared" si="3"/>
        <v>0</v>
      </c>
    </row>
    <row r="9" spans="2:18" x14ac:dyDescent="0.25">
      <c r="B9" s="6" t="s">
        <v>221</v>
      </c>
      <c r="C9" s="51">
        <f>'CARDAPIO+PREÇO'!O5</f>
        <v>7.0400000000000009</v>
      </c>
      <c r="D9" s="136">
        <f>Tabela7[[#This Row],[PREÇO DE VENDA]]/Tabela7[[#This Row],[CUSTO PREPARO]]</f>
        <v>3.1249999999999996</v>
      </c>
      <c r="E9" s="62">
        <v>22</v>
      </c>
      <c r="F9" s="64">
        <f>20%</f>
        <v>0.2</v>
      </c>
      <c r="G9" s="52">
        <f t="shared" si="0"/>
        <v>4.4000000000000004</v>
      </c>
      <c r="H9" s="106">
        <f t="shared" si="1"/>
        <v>10.56</v>
      </c>
      <c r="I9" s="53">
        <v>0</v>
      </c>
      <c r="J9" s="76">
        <f t="shared" si="2"/>
        <v>0</v>
      </c>
      <c r="K9" s="37">
        <f t="shared" si="3"/>
        <v>0</v>
      </c>
    </row>
    <row r="10" spans="2:18" x14ac:dyDescent="0.25">
      <c r="B10" s="6" t="s">
        <v>222</v>
      </c>
      <c r="C10" s="51">
        <f>'CARDAPIO+PREÇO'!O12</f>
        <v>11.3</v>
      </c>
      <c r="D10" s="136">
        <f>Tabela7[[#This Row],[PREÇO DE VENDA]]/Tabela7[[#This Row],[CUSTO PREPARO]]</f>
        <v>2.9203539823008846</v>
      </c>
      <c r="E10" s="62">
        <v>33</v>
      </c>
      <c r="F10" s="64">
        <f>20%</f>
        <v>0.2</v>
      </c>
      <c r="G10" s="52">
        <f t="shared" si="0"/>
        <v>6.6000000000000005</v>
      </c>
      <c r="H10" s="106">
        <f t="shared" si="1"/>
        <v>15.099999999999998</v>
      </c>
      <c r="I10" s="53">
        <v>0</v>
      </c>
      <c r="J10" s="76">
        <f t="shared" si="2"/>
        <v>0</v>
      </c>
      <c r="K10" s="37">
        <f t="shared" si="3"/>
        <v>0</v>
      </c>
    </row>
    <row r="11" spans="2:18" x14ac:dyDescent="0.25">
      <c r="B11" s="6" t="s">
        <v>223</v>
      </c>
      <c r="C11" s="51">
        <f>'CARDAPIO+PREÇO'!O19</f>
        <v>13.790000000000001</v>
      </c>
      <c r="D11" s="136">
        <f>Tabela7[[#This Row],[PREÇO DE VENDA]]/Tabela7[[#This Row],[CUSTO PREPARO]]</f>
        <v>2.9731689630166787</v>
      </c>
      <c r="E11" s="62">
        <v>41</v>
      </c>
      <c r="F11" s="64">
        <f>20%</f>
        <v>0.2</v>
      </c>
      <c r="G11" s="52">
        <f t="shared" si="0"/>
        <v>8.2000000000000011</v>
      </c>
      <c r="H11" s="106">
        <f t="shared" si="1"/>
        <v>19.009999999999998</v>
      </c>
      <c r="I11" s="53">
        <v>0</v>
      </c>
      <c r="J11" s="76">
        <f t="shared" si="2"/>
        <v>0</v>
      </c>
      <c r="K11" s="37">
        <f t="shared" si="3"/>
        <v>0</v>
      </c>
    </row>
    <row r="12" spans="2:18" x14ac:dyDescent="0.25">
      <c r="B12" s="6" t="s">
        <v>224</v>
      </c>
      <c r="C12" s="51">
        <f>'CARDAPIO+PREÇO'!Y5</f>
        <v>8.8699999999999992</v>
      </c>
      <c r="D12" s="136">
        <f>Tabela7[[#This Row],[PREÇO DE VENDA]]/Tabela7[[#This Row],[CUSTO PREPARO]]</f>
        <v>3.043968432919955</v>
      </c>
      <c r="E12" s="62">
        <v>27</v>
      </c>
      <c r="F12" s="64">
        <f>20%</f>
        <v>0.2</v>
      </c>
      <c r="G12" s="52">
        <f t="shared" si="0"/>
        <v>5.4</v>
      </c>
      <c r="H12" s="106">
        <f t="shared" si="1"/>
        <v>12.730000000000002</v>
      </c>
      <c r="I12" s="53">
        <v>0</v>
      </c>
      <c r="J12" s="76">
        <f t="shared" si="2"/>
        <v>0</v>
      </c>
      <c r="K12" s="37">
        <f t="shared" si="3"/>
        <v>0</v>
      </c>
    </row>
    <row r="13" spans="2:18" ht="15.75" thickBot="1" x14ac:dyDescent="0.3">
      <c r="B13" s="6" t="s">
        <v>225</v>
      </c>
      <c r="C13" s="51">
        <f>'CARDAPIO+PREÇO'!Y12</f>
        <v>10.730000000000002</v>
      </c>
      <c r="D13" s="136">
        <f>Tabela7[[#This Row],[PREÇO DE VENDA]]/Tabela7[[#This Row],[CUSTO PREPARO]]</f>
        <v>2.9822926374650507</v>
      </c>
      <c r="E13" s="63">
        <v>32</v>
      </c>
      <c r="F13" s="64">
        <f>20%</f>
        <v>0.2</v>
      </c>
      <c r="G13" s="52">
        <f t="shared" si="0"/>
        <v>6.4</v>
      </c>
      <c r="H13" s="106">
        <f t="shared" si="1"/>
        <v>14.87</v>
      </c>
      <c r="I13" s="53">
        <v>0</v>
      </c>
      <c r="J13" s="76">
        <f t="shared" si="2"/>
        <v>0</v>
      </c>
      <c r="K13" s="37">
        <f t="shared" si="3"/>
        <v>0</v>
      </c>
    </row>
    <row r="14" spans="2:18" ht="15.75" thickBot="1" x14ac:dyDescent="0.3">
      <c r="C14" s="12"/>
      <c r="E14" s="48"/>
      <c r="F14" s="49"/>
      <c r="G14" s="48"/>
      <c r="H14" s="48"/>
      <c r="J14" s="48"/>
      <c r="K14" s="42"/>
      <c r="O14" s="88">
        <f>I23+I24+(I25*2)+I42+I43+(I44*2)</f>
        <v>30</v>
      </c>
      <c r="P14" s="88">
        <f>I20+I21+(I22*2)+I39+I40+(I41*2)</f>
        <v>13</v>
      </c>
      <c r="Q14" s="219">
        <f>('CALCULO DE VENDAS'!P14*0.08)+('CALCULO DE VENDAS'!O14*0.13)</f>
        <v>4.9400000000000004</v>
      </c>
    </row>
    <row r="15" spans="2:18" ht="15.75" thickBot="1" x14ac:dyDescent="0.3">
      <c r="C15" s="12"/>
      <c r="F15" s="49"/>
      <c r="G15" s="48"/>
      <c r="H15" s="48"/>
      <c r="J15" s="48"/>
      <c r="K15" s="57" t="s">
        <v>62</v>
      </c>
      <c r="O15" s="88" t="s">
        <v>171</v>
      </c>
      <c r="P15" s="38" t="s">
        <v>171</v>
      </c>
      <c r="Q15" s="219"/>
      <c r="R15" s="193" t="s">
        <v>195</v>
      </c>
    </row>
    <row r="16" spans="2:18" ht="15.75" thickBot="1" x14ac:dyDescent="0.3">
      <c r="C16" s="12"/>
      <c r="E16" s="48"/>
      <c r="F16" s="49"/>
      <c r="G16" s="48"/>
      <c r="H16" s="48"/>
      <c r="J16" s="48"/>
      <c r="K16" s="82" t="e">
        <f>K6+K7+K8+K9+K10+K11+K12+K13+#REF!</f>
        <v>#REF!</v>
      </c>
      <c r="O16" s="148">
        <f>O14*0.13</f>
        <v>3.9000000000000004</v>
      </c>
      <c r="P16" s="148">
        <f>P14*0.08</f>
        <v>1.04</v>
      </c>
      <c r="Q16" s="220"/>
    </row>
    <row r="17" spans="2:14" x14ac:dyDescent="0.25">
      <c r="D17" s="227" t="s">
        <v>114</v>
      </c>
      <c r="E17" s="227"/>
      <c r="F17" s="227"/>
    </row>
    <row r="18" spans="2:14" ht="15.75" thickBot="1" x14ac:dyDescent="0.3">
      <c r="E18" s="1" t="s">
        <v>95</v>
      </c>
      <c r="I18" s="1" t="s">
        <v>95</v>
      </c>
    </row>
    <row r="19" spans="2:14" ht="15.75" thickBot="1" x14ac:dyDescent="0.3">
      <c r="B19" s="70" t="s">
        <v>81</v>
      </c>
      <c r="C19" s="71" t="s">
        <v>6</v>
      </c>
      <c r="D19" s="71" t="s">
        <v>82</v>
      </c>
      <c r="E19" s="71" t="s">
        <v>0</v>
      </c>
      <c r="F19" s="71" t="s">
        <v>1</v>
      </c>
      <c r="G19" s="71" t="s">
        <v>83</v>
      </c>
      <c r="H19" s="71" t="s">
        <v>94</v>
      </c>
      <c r="I19" s="71" t="s">
        <v>63</v>
      </c>
      <c r="J19" s="71" t="s">
        <v>84</v>
      </c>
      <c r="K19" s="72" t="s">
        <v>85</v>
      </c>
      <c r="N19" s="137" t="s">
        <v>149</v>
      </c>
    </row>
    <row r="20" spans="2:14" x14ac:dyDescent="0.25">
      <c r="B20" s="6" t="s">
        <v>89</v>
      </c>
      <c r="C20" s="73">
        <f>'CARDAPIO+PREÇO'!H5</f>
        <v>5.6449999999999996</v>
      </c>
      <c r="D20" s="79">
        <f>Tabela6[[#This Row],[PREÇO DE VENDA]]/Tabela6[[#This Row],[CUSTO PREPARO]]</f>
        <v>3.5411868910540303</v>
      </c>
      <c r="E20" s="62">
        <v>19.989999999999998</v>
      </c>
      <c r="F20" s="64">
        <f>19%</f>
        <v>0.19</v>
      </c>
      <c r="G20" s="66">
        <f>Tabela6[[#This Row],[% DO IFOOD]]*Tabela6[[#This Row],[PREÇO DE VENDA]]</f>
        <v>3.7980999999999998</v>
      </c>
      <c r="H20" s="68">
        <f>Tabela6[[#This Row],[PREÇO DE VENDA]]-Tabela6[[#This Row],[CUSTO PREPARO]]-Tabela6[[#This Row],[TAXA DO IFOOD]]</f>
        <v>10.546899999999999</v>
      </c>
      <c r="I20" s="6">
        <v>0</v>
      </c>
      <c r="J20" s="77">
        <f>Tabela6[[#This Row],[VENDAS DO DIA]]*Tabela6[[#This Row],[PREÇO DE VENDA]]</f>
        <v>0</v>
      </c>
      <c r="K20" s="58">
        <f>Tabela6[[#This Row],[VENDAS DO DIA]]*Tabela6[[#This Row],[LUCRO REAL]]</f>
        <v>0</v>
      </c>
      <c r="N20" s="89" t="s">
        <v>153</v>
      </c>
    </row>
    <row r="21" spans="2:14" ht="15.75" thickBot="1" x14ac:dyDescent="0.3">
      <c r="B21" s="6" t="s">
        <v>90</v>
      </c>
      <c r="C21" s="73">
        <f>'CARDAPIO+PREÇO'!H11</f>
        <v>9.01</v>
      </c>
      <c r="D21" s="60">
        <f>Tabela6[[#This Row],[PREÇO DE VENDA]]/Tabela6[[#This Row],[CUSTO PREPARO]]</f>
        <v>3.2175360710321863</v>
      </c>
      <c r="E21" s="62">
        <v>28.99</v>
      </c>
      <c r="F21" s="64">
        <f>19%</f>
        <v>0.19</v>
      </c>
      <c r="G21" s="66">
        <f>Tabela6[[#This Row],[% DO IFOOD]]*Tabela6[[#This Row],[PREÇO DE VENDA]]</f>
        <v>5.5080999999999998</v>
      </c>
      <c r="H21" s="68">
        <f>Tabela6[[#This Row],[PREÇO DE VENDA]]-Tabela6[[#This Row],[CUSTO PREPARO]]-Tabela6[[#This Row],[TAXA DO IFOOD]]</f>
        <v>14.471899999999998</v>
      </c>
      <c r="I21" s="6">
        <v>2</v>
      </c>
      <c r="J21" s="77">
        <f>Tabela6[[#This Row],[VENDAS DO DIA]]*Tabela6[[#This Row],[PREÇO DE VENDA]]</f>
        <v>57.98</v>
      </c>
      <c r="K21" s="59">
        <f>Tabela6[[#This Row],[VENDAS DO DIA]]*Tabela6[[#This Row],[LUCRO REAL]]</f>
        <v>28.943799999999996</v>
      </c>
      <c r="N21" s="7" t="s">
        <v>152</v>
      </c>
    </row>
    <row r="22" spans="2:14" ht="15.75" thickBot="1" x14ac:dyDescent="0.3">
      <c r="B22" s="6" t="s">
        <v>58</v>
      </c>
      <c r="C22" s="73">
        <f>'CARDAPIO+PREÇO'!H19</f>
        <v>12.469999999999999</v>
      </c>
      <c r="D22" s="60">
        <f>Tabela6[[#This Row],[PREÇO DE VENDA]]/Tabela6[[#This Row],[CUSTO PREPARO]]</f>
        <v>2.8861267040898162</v>
      </c>
      <c r="E22" s="62">
        <v>35.99</v>
      </c>
      <c r="F22" s="64">
        <f>19%</f>
        <v>0.19</v>
      </c>
      <c r="G22" s="66">
        <f>Tabela6[[#This Row],[% DO IFOOD]]*Tabela6[[#This Row],[PREÇO DE VENDA]]</f>
        <v>6.8381000000000007</v>
      </c>
      <c r="H22" s="68">
        <f>Tabela6[[#This Row],[PREÇO DE VENDA]]-Tabela6[[#This Row],[CUSTO PREPARO]]-Tabela6[[#This Row],[TAXA DO IFOOD]]</f>
        <v>16.681900000000002</v>
      </c>
      <c r="I22" s="6">
        <v>1</v>
      </c>
      <c r="J22" s="77">
        <f>Tabela6[[#This Row],[VENDAS DO DIA]]*Tabela6[[#This Row],[PREÇO DE VENDA]]</f>
        <v>35.99</v>
      </c>
      <c r="K22" s="59">
        <f>Tabela6[[#This Row],[VENDAS DO DIA]]*Tabela6[[#This Row],[LUCRO REAL]]</f>
        <v>16.681900000000002</v>
      </c>
      <c r="N22" s="93" t="s">
        <v>150</v>
      </c>
    </row>
    <row r="23" spans="2:14" ht="15.75" thickBot="1" x14ac:dyDescent="0.3">
      <c r="B23" s="6" t="s">
        <v>91</v>
      </c>
      <c r="C23" s="73">
        <f>'CARDAPIO+PREÇO'!O5</f>
        <v>7.0400000000000009</v>
      </c>
      <c r="D23" s="60">
        <f>Tabela6[[#This Row],[PREÇO DE VENDA]]/Tabela6[[#This Row],[CUSTO PREPARO]]</f>
        <v>4.1178977272727266</v>
      </c>
      <c r="E23" s="62">
        <v>28.99</v>
      </c>
      <c r="F23" s="64">
        <f>19%</f>
        <v>0.19</v>
      </c>
      <c r="G23" s="66">
        <f>Tabela6[[#This Row],[% DO IFOOD]]*Tabela6[[#This Row],[PREÇO DE VENDA]]</f>
        <v>5.5080999999999998</v>
      </c>
      <c r="H23" s="68">
        <f>Tabela6[[#This Row],[PREÇO DE VENDA]]-Tabela6[[#This Row],[CUSTO PREPARO]]-Tabela6[[#This Row],[TAXA DO IFOOD]]</f>
        <v>16.441899999999997</v>
      </c>
      <c r="I23" s="6">
        <v>2</v>
      </c>
      <c r="J23" s="77">
        <f>Tabela6[[#This Row],[VENDAS DO DIA]]*Tabela6[[#This Row],[PREÇO DE VENDA]]</f>
        <v>57.98</v>
      </c>
      <c r="K23" s="59">
        <f>Tabela6[[#This Row],[VENDAS DO DIA]]*Tabela6[[#This Row],[LUCRO REAL]]</f>
        <v>32.883799999999994</v>
      </c>
      <c r="M23" s="144" t="s">
        <v>147</v>
      </c>
      <c r="N23" s="93" t="s">
        <v>151</v>
      </c>
    </row>
    <row r="24" spans="2:14" x14ac:dyDescent="0.25">
      <c r="B24" s="6" t="s">
        <v>92</v>
      </c>
      <c r="C24" s="73">
        <f>'CARDAPIO+PREÇO'!O12</f>
        <v>11.3</v>
      </c>
      <c r="D24" s="60">
        <f>Tabela6[[#This Row],[PREÇO DE VENDA]]/Tabela6[[#This Row],[CUSTO PREPARO]]</f>
        <v>3.0079646017699115</v>
      </c>
      <c r="E24" s="62">
        <v>33.99</v>
      </c>
      <c r="F24" s="64">
        <f>19%</f>
        <v>0.19</v>
      </c>
      <c r="G24" s="66">
        <f>Tabela6[[#This Row],[% DO IFOOD]]*Tabela6[[#This Row],[PREÇO DE VENDA]]</f>
        <v>6.4581000000000008</v>
      </c>
      <c r="H24" s="68">
        <f>Tabela6[[#This Row],[PREÇO DE VENDA]]-Tabela6[[#This Row],[CUSTO PREPARO]]-Tabela6[[#This Row],[TAXA DO IFOOD]]</f>
        <v>16.2319</v>
      </c>
      <c r="I24" s="6">
        <v>3</v>
      </c>
      <c r="J24" s="77">
        <f>Tabela6[[#This Row],[VENDAS DO DIA]]*Tabela6[[#This Row],[PREÇO DE VENDA]]</f>
        <v>101.97</v>
      </c>
      <c r="K24" s="59">
        <f>Tabela6[[#This Row],[VENDAS DO DIA]]*Tabela6[[#This Row],[LUCRO REAL]]</f>
        <v>48.695700000000002</v>
      </c>
      <c r="M24" s="145" t="s">
        <v>148</v>
      </c>
      <c r="N24" s="143" t="s">
        <v>154</v>
      </c>
    </row>
    <row r="25" spans="2:14" ht="15.75" thickBot="1" x14ac:dyDescent="0.3">
      <c r="B25" s="6" t="s">
        <v>87</v>
      </c>
      <c r="C25" s="73">
        <f>'CARDAPIO+PREÇO'!O19</f>
        <v>13.790000000000001</v>
      </c>
      <c r="D25" s="60">
        <f>Tabela6[[#This Row],[PREÇO DE VENDA]]/Tabela6[[#This Row],[CUSTO PREPARO]]</f>
        <v>2.7548948513415517</v>
      </c>
      <c r="E25" s="62">
        <v>37.99</v>
      </c>
      <c r="F25" s="64">
        <f>19%</f>
        <v>0.19</v>
      </c>
      <c r="G25" s="66">
        <f>Tabela6[[#This Row],[% DO IFOOD]]*Tabela6[[#This Row],[PREÇO DE VENDA]]</f>
        <v>7.2181000000000006</v>
      </c>
      <c r="H25" s="68">
        <f>Tabela6[[#This Row],[PREÇO DE VENDA]]-Tabela6[[#This Row],[CUSTO PREPARO]]-Tabela6[[#This Row],[TAXA DO IFOOD]]</f>
        <v>16.981900000000003</v>
      </c>
      <c r="I25" s="195">
        <v>8</v>
      </c>
      <c r="J25" s="77">
        <f>Tabela6[[#This Row],[VENDAS DO DIA]]*Tabela6[[#This Row],[PREÇO DE VENDA]]</f>
        <v>303.92</v>
      </c>
      <c r="K25" s="59">
        <f>Tabela6[[#This Row],[VENDAS DO DIA]]*Tabela6[[#This Row],[LUCRO REAL]]</f>
        <v>135.85520000000002</v>
      </c>
      <c r="M25" s="146">
        <f>(C20*I20)+(C21*I21)+(C22*I22)+(C23*I23)+(C24*I24)+(Tabela6[[#This Row],[CUSTO PREPARO]]*Tabela6[[#This Row],[VENDAS DO DIA]])+(C26*I26)+(C27*I27)+(C39*I39)+(C40*I40)+(C41*I41)+(C42*I42)+(C43*I43)+(C44*I44)+(C45*I45)+(C46*I46)+(C57*I57)+(C58*I58)+(C59*I59)+(C60*I60)+(C68*I68)+(C69*I69)+(C70*I70)+(C71*I71)+(C72*I72)</f>
        <v>334.52500000000003</v>
      </c>
      <c r="N25" s="7" t="s">
        <v>155</v>
      </c>
    </row>
    <row r="26" spans="2:14" x14ac:dyDescent="0.25">
      <c r="B26" s="6" t="s">
        <v>197</v>
      </c>
      <c r="C26" s="73">
        <f>'CARDAPIO+PREÇO'!Y5</f>
        <v>8.8699999999999992</v>
      </c>
      <c r="D26" s="60">
        <f>Tabela6[[#This Row],[PREÇO DE VENDA]]/Tabela6[[#This Row],[CUSTO PREPARO]]</f>
        <v>2.931228861330327</v>
      </c>
      <c r="E26" s="62">
        <v>26</v>
      </c>
      <c r="F26" s="64">
        <f>19%</f>
        <v>0.19</v>
      </c>
      <c r="G26" s="66">
        <f>Tabela6[[#This Row],[% DO IFOOD]]*Tabela6[[#This Row],[PREÇO DE VENDA]]</f>
        <v>4.9400000000000004</v>
      </c>
      <c r="H26" s="68">
        <f>Tabela6[[#This Row],[PREÇO DE VENDA]]-Tabela6[[#This Row],[CUSTO PREPARO]]-Tabela6[[#This Row],[TAXA DO IFOOD]]</f>
        <v>12.190000000000001</v>
      </c>
      <c r="I26" s="6">
        <v>0</v>
      </c>
      <c r="J26" s="77">
        <f>Tabela6[[#This Row],[VENDAS DO DIA]]*Tabela6[[#This Row],[PREÇO DE VENDA]]</f>
        <v>0</v>
      </c>
      <c r="K26" s="59">
        <f>Tabela6[[#This Row],[VENDAS DO DIA]]*Tabela6[[#This Row],[LUCRO REAL]]</f>
        <v>0</v>
      </c>
    </row>
    <row r="27" spans="2:14" ht="15.75" thickBot="1" x14ac:dyDescent="0.3">
      <c r="B27" s="7" t="s">
        <v>198</v>
      </c>
      <c r="C27" s="74">
        <f>'CARDAPIO+PREÇO'!Y12</f>
        <v>10.730000000000002</v>
      </c>
      <c r="D27" s="61">
        <f>Tabela6[[#This Row],[PREÇO DE VENDA]]/Tabela6[[#This Row],[CUSTO PREPARO]]</f>
        <v>3.0754892823858335</v>
      </c>
      <c r="E27" s="63">
        <v>33</v>
      </c>
      <c r="F27" s="64">
        <f>19%</f>
        <v>0.19</v>
      </c>
      <c r="G27" s="67">
        <f>Tabela6[[#This Row],[% DO IFOOD]]*Tabela6[[#This Row],[PREÇO DE VENDA]]</f>
        <v>6.2700000000000005</v>
      </c>
      <c r="H27" s="69">
        <f>Tabela6[[#This Row],[PREÇO DE VENDA]]-Tabela6[[#This Row],[CUSTO PREPARO]]-Tabela6[[#This Row],[TAXA DO IFOOD]]</f>
        <v>15.999999999999996</v>
      </c>
      <c r="I27" s="7">
        <v>0</v>
      </c>
      <c r="J27" s="78">
        <f>Tabela6[[#This Row],[VENDAS DO DIA]]*Tabela6[[#This Row],[PREÇO DE VENDA]]</f>
        <v>0</v>
      </c>
      <c r="K27" s="56">
        <f>Tabela6[[#This Row],[VENDAS DO DIA]]*Tabela6[[#This Row],[LUCRO REAL]]</f>
        <v>0</v>
      </c>
    </row>
    <row r="28" spans="2:14" ht="15.75" thickBot="1" x14ac:dyDescent="0.3"/>
    <row r="29" spans="2:14" ht="15.75" thickBot="1" x14ac:dyDescent="0.3">
      <c r="G29" s="105" t="s">
        <v>124</v>
      </c>
      <c r="J29" s="87" t="s">
        <v>118</v>
      </c>
      <c r="K29" s="86" t="s">
        <v>174</v>
      </c>
    </row>
    <row r="30" spans="2:14" ht="15.75" thickBot="1" x14ac:dyDescent="0.3">
      <c r="G30" s="104">
        <f>G20*I20+G21*I21+G22*I22+G23*I23+G24*I24+G25*I25+G26*I26+G27*I27</f>
        <v>105.9896</v>
      </c>
      <c r="J30" s="95">
        <f>J20+J21+J22+J23+J24+J25+J26+J27</f>
        <v>557.84</v>
      </c>
      <c r="K30" s="96">
        <f>K20+K21+K22+K23+K24+K25+K26+K27</f>
        <v>263.06040000000002</v>
      </c>
    </row>
    <row r="31" spans="2:14" ht="15.75" thickBot="1" x14ac:dyDescent="0.3">
      <c r="L31" s="93" t="s">
        <v>129</v>
      </c>
    </row>
    <row r="32" spans="2:14" ht="15.75" thickBot="1" x14ac:dyDescent="0.3">
      <c r="J32" s="88" t="s">
        <v>109</v>
      </c>
      <c r="L32" s="93" t="s">
        <v>129</v>
      </c>
      <c r="M32" t="s">
        <v>177</v>
      </c>
    </row>
    <row r="33" spans="2:19" ht="15.75" thickBot="1" x14ac:dyDescent="0.3">
      <c r="J33" s="94">
        <v>0</v>
      </c>
    </row>
    <row r="34" spans="2:19" ht="15.75" thickBot="1" x14ac:dyDescent="0.3">
      <c r="J34" s="138" t="s">
        <v>146</v>
      </c>
    </row>
    <row r="35" spans="2:19" ht="15.75" thickBot="1" x14ac:dyDescent="0.3">
      <c r="J35" s="88" t="s">
        <v>110</v>
      </c>
      <c r="K35" s="88" t="s">
        <v>111</v>
      </c>
      <c r="O35" s="178" t="s">
        <v>194</v>
      </c>
    </row>
    <row r="36" spans="2:19" ht="15.75" thickBot="1" x14ac:dyDescent="0.3">
      <c r="D36" s="224" t="s">
        <v>115</v>
      </c>
      <c r="E36" s="225"/>
      <c r="F36" s="225"/>
      <c r="G36" s="226"/>
      <c r="J36" s="94">
        <v>0</v>
      </c>
      <c r="K36" s="94">
        <v>0</v>
      </c>
      <c r="O36" s="179">
        <f>G30+G63+G75</f>
        <v>105.9896</v>
      </c>
    </row>
    <row r="37" spans="2:19" ht="15.75" thickBot="1" x14ac:dyDescent="0.3"/>
    <row r="38" spans="2:19" ht="15.75" customHeight="1" thickBot="1" x14ac:dyDescent="0.3">
      <c r="B38" s="90" t="s">
        <v>81</v>
      </c>
      <c r="C38" s="91" t="s">
        <v>6</v>
      </c>
      <c r="D38" s="91" t="s">
        <v>82</v>
      </c>
      <c r="E38" s="91" t="s">
        <v>0</v>
      </c>
      <c r="F38" s="91" t="s">
        <v>125</v>
      </c>
      <c r="G38" s="91" t="s">
        <v>83</v>
      </c>
      <c r="H38" s="91" t="s">
        <v>94</v>
      </c>
      <c r="I38" s="91" t="s">
        <v>63</v>
      </c>
      <c r="J38" s="91" t="s">
        <v>84</v>
      </c>
      <c r="K38" s="92" t="s">
        <v>85</v>
      </c>
    </row>
    <row r="39" spans="2:19" ht="15.75" customHeight="1" thickBot="1" x14ac:dyDescent="0.3">
      <c r="B39" s="6" t="s">
        <v>89</v>
      </c>
      <c r="C39" s="73">
        <f>'CARDAPIO+PREÇO'!H5</f>
        <v>5.6449999999999996</v>
      </c>
      <c r="D39" s="79">
        <f>Tabela610[[#This Row],[PREÇO DE VENDA]]/Tabela610[[#This Row],[CUSTO PREPARO]]</f>
        <v>2.4782993799822854</v>
      </c>
      <c r="E39" s="62">
        <v>13.99</v>
      </c>
      <c r="F39" s="60">
        <f>(E20-Tabela610[[#This Row],[PREÇO DE VENDA]])*100/E20/100</f>
        <v>0.30015007503751867</v>
      </c>
      <c r="G39" s="66"/>
      <c r="H39" s="68">
        <f>Tabela610[[#This Row],[PREÇO DE VENDA]]-Tabela610[[#This Row],[CUSTO PREPARO]]</f>
        <v>8.3450000000000006</v>
      </c>
      <c r="I39" s="6">
        <v>1</v>
      </c>
      <c r="J39" s="77">
        <f>Tabela610[[#This Row],[VENDAS DO DIA]]*Tabela610[[#This Row],[PREÇO DE VENDA]]</f>
        <v>13.99</v>
      </c>
      <c r="K39" s="58">
        <f>Tabela610[[#This Row],[VENDAS DO DIA]]*Tabela610[[#This Row],[LUCRO REAL]]</f>
        <v>8.3450000000000006</v>
      </c>
      <c r="M39" s="105" t="s">
        <v>156</v>
      </c>
    </row>
    <row r="40" spans="2:19" ht="15" customHeight="1" x14ac:dyDescent="0.25">
      <c r="B40" s="6" t="s">
        <v>90</v>
      </c>
      <c r="C40" s="73">
        <f>'CARDAPIO+PREÇO'!H11</f>
        <v>9.01</v>
      </c>
      <c r="D40" s="60">
        <f>Tabela610[[#This Row],[PREÇO DE VENDA]]/Tabela610[[#This Row],[CUSTO PREPARO]]</f>
        <v>2.5527192008879025</v>
      </c>
      <c r="E40" s="62">
        <v>23</v>
      </c>
      <c r="F40" s="60">
        <f>(E21-Tabela610[[#This Row],[PREÇO DE VENDA]])*100/E21/100</f>
        <v>0.20662297343911692</v>
      </c>
      <c r="G40" s="66"/>
      <c r="H40" s="68">
        <f>Tabela610[[#This Row],[PREÇO DE VENDA]]-Tabela610[[#This Row],[CUSTO PREPARO]]</f>
        <v>13.99</v>
      </c>
      <c r="I40" s="6">
        <v>2</v>
      </c>
      <c r="J40" s="77">
        <f>Tabela610[[#This Row],[VENDAS DO DIA]]*Tabela610[[#This Row],[PREÇO DE VENDA]]</f>
        <v>46</v>
      </c>
      <c r="K40" s="59">
        <f>Tabela610[[#This Row],[VENDAS DO DIA]]*Tabela610[[#This Row],[LUCRO REAL]]</f>
        <v>27.98</v>
      </c>
      <c r="L40" s="99" t="s">
        <v>102</v>
      </c>
      <c r="M40" s="221">
        <f>J30+J49+J63+J75</f>
        <v>941.75</v>
      </c>
      <c r="O40" s="44"/>
      <c r="S40" s="139" t="s">
        <v>5</v>
      </c>
    </row>
    <row r="41" spans="2:19" ht="15.75" customHeight="1" thickBot="1" x14ac:dyDescent="0.3">
      <c r="B41" s="6" t="s">
        <v>58</v>
      </c>
      <c r="C41" s="73">
        <f>'CARDAPIO+PREÇO'!H19</f>
        <v>12.469999999999999</v>
      </c>
      <c r="D41" s="60">
        <f>Tabela610[[#This Row],[PREÇO DE VENDA]]/Tabela610[[#This Row],[CUSTO PREPARO]]</f>
        <v>2.4049719326383321</v>
      </c>
      <c r="E41" s="62">
        <v>29.99</v>
      </c>
      <c r="F41" s="60">
        <f>(E22-Tabela610[[#This Row],[PREÇO DE VENDA]])*100/E22/100</f>
        <v>0.16671297582661856</v>
      </c>
      <c r="G41" s="66"/>
      <c r="H41" s="68">
        <f>Tabela610[[#This Row],[PREÇO DE VENDA]]-Tabela610[[#This Row],[CUSTO PREPARO]]</f>
        <v>17.52</v>
      </c>
      <c r="I41" s="6">
        <v>3</v>
      </c>
      <c r="J41" s="77">
        <f>Tabela610[[#This Row],[VENDAS DO DIA]]*Tabela610[[#This Row],[PREÇO DE VENDA]]</f>
        <v>89.97</v>
      </c>
      <c r="K41" s="59">
        <f>Tabela610[[#This Row],[VENDAS DO DIA]]*Tabela610[[#This Row],[LUCRO REAL]]</f>
        <v>52.56</v>
      </c>
      <c r="L41" s="100" t="s">
        <v>119</v>
      </c>
      <c r="M41" s="222"/>
      <c r="O41" s="15"/>
      <c r="S41" s="139" t="s">
        <v>176</v>
      </c>
    </row>
    <row r="42" spans="2:19" ht="15" customHeight="1" thickBot="1" x14ac:dyDescent="0.45">
      <c r="B42" s="6" t="s">
        <v>91</v>
      </c>
      <c r="C42" s="73">
        <f>'CARDAPIO+PREÇO'!O5</f>
        <v>7.0400000000000009</v>
      </c>
      <c r="D42" s="60">
        <f>Tabela610[[#This Row],[PREÇO DE VENDA]]/Tabela610[[#This Row],[CUSTO PREPARO]]</f>
        <v>2.982954545454545</v>
      </c>
      <c r="E42" s="62">
        <v>21</v>
      </c>
      <c r="F42" s="60">
        <f>(E23-Tabela610[[#This Row],[PREÇO DE VENDA]])*100/E23/100</f>
        <v>0.27561228009658501</v>
      </c>
      <c r="G42" s="66"/>
      <c r="H42" s="68">
        <f>Tabela610[[#This Row],[PREÇO DE VENDA]]-Tabela610[[#This Row],[CUSTO PREPARO]]</f>
        <v>13.959999999999999</v>
      </c>
      <c r="I42" s="6">
        <v>4</v>
      </c>
      <c r="J42" s="77">
        <f>Tabela610[[#This Row],[VENDAS DO DIA]]*Tabela610[[#This Row],[PREÇO DE VENDA]]</f>
        <v>84</v>
      </c>
      <c r="K42" s="59">
        <f>Tabela610[[#This Row],[VENDAS DO DIA]]*Tabela610[[#This Row],[LUCRO REAL]]</f>
        <v>55.839999999999996</v>
      </c>
      <c r="L42" s="100" t="s">
        <v>120</v>
      </c>
      <c r="M42" s="222"/>
      <c r="N42" s="156" t="s">
        <v>157</v>
      </c>
      <c r="O42" s="147">
        <f>M40-J33</f>
        <v>941.75</v>
      </c>
      <c r="P42" s="156" t="s">
        <v>162</v>
      </c>
      <c r="Q42" s="154">
        <f>O42-M25</f>
        <v>607.22499999999991</v>
      </c>
      <c r="S42" s="155">
        <f>Q42-R44</f>
        <v>607.22499999999991</v>
      </c>
    </row>
    <row r="43" spans="2:19" ht="15.75" customHeight="1" thickBot="1" x14ac:dyDescent="0.3">
      <c r="B43" s="6" t="s">
        <v>92</v>
      </c>
      <c r="C43" s="73">
        <f>'CARDAPIO+PREÇO'!O12</f>
        <v>11.3</v>
      </c>
      <c r="D43" s="60">
        <f>Tabela610[[#This Row],[PREÇO DE VENDA]]/Tabela610[[#This Row],[CUSTO PREPARO]]</f>
        <v>2.6539823008849552</v>
      </c>
      <c r="E43" s="62">
        <v>29.99</v>
      </c>
      <c r="F43" s="60">
        <f>(E24-Tabela610[[#This Row],[PREÇO DE VENDA]])*100/E24/100</f>
        <v>0.11768167107972943</v>
      </c>
      <c r="G43" s="66"/>
      <c r="H43" s="68">
        <f>Tabela610[[#This Row],[PREÇO DE VENDA]]-Tabela610[[#This Row],[CUSTO PREPARO]]</f>
        <v>18.689999999999998</v>
      </c>
      <c r="I43" s="6">
        <v>5</v>
      </c>
      <c r="J43" s="77">
        <f>Tabela610[[#This Row],[VENDAS DO DIA]]*Tabela610[[#This Row],[PREÇO DE VENDA]]</f>
        <v>149.94999999999999</v>
      </c>
      <c r="K43" s="59">
        <f>Tabela610[[#This Row],[VENDAS DO DIA]]*Tabela610[[#This Row],[LUCRO REAL]]</f>
        <v>93.449999999999989</v>
      </c>
      <c r="L43" s="100" t="s">
        <v>121</v>
      </c>
      <c r="M43" s="222"/>
      <c r="O43" s="15"/>
      <c r="Q43" s="89" t="s">
        <v>163</v>
      </c>
      <c r="R43" s="1" t="s">
        <v>165</v>
      </c>
    </row>
    <row r="44" spans="2:19" ht="15.75" thickBot="1" x14ac:dyDescent="0.3">
      <c r="B44" s="6" t="s">
        <v>87</v>
      </c>
      <c r="C44" s="73">
        <f>'CARDAPIO+PREÇO'!O19</f>
        <v>13.790000000000001</v>
      </c>
      <c r="D44" s="60">
        <f>Tabela610[[#This Row],[PREÇO DE VENDA]]/Tabela610[[#This Row],[CUSTO PREPARO]]</f>
        <v>2.3205221174764321</v>
      </c>
      <c r="E44" s="62">
        <v>32</v>
      </c>
      <c r="F44" s="60">
        <f>(E25-Tabela610[[#This Row],[PREÇO DE VENDA]])*100/E25/100</f>
        <v>0.15767307186101612</v>
      </c>
      <c r="G44" s="66"/>
      <c r="H44" s="68">
        <f>Tabela610[[#This Row],[PREÇO DE VENDA]]-Tabela610[[#This Row],[CUSTO PREPARO]]</f>
        <v>18.21</v>
      </c>
      <c r="I44" s="6">
        <v>0</v>
      </c>
      <c r="J44" s="77">
        <f>Tabela610[[#This Row],[VENDAS DO DIA]]*Tabela610[[#This Row],[PREÇO DE VENDA]]</f>
        <v>0</v>
      </c>
      <c r="K44" s="59">
        <f>Tabela610[[#This Row],[VENDAS DO DIA]]*Tabela610[[#This Row],[LUCRO REAL]]</f>
        <v>0</v>
      </c>
      <c r="L44" s="100" t="s">
        <v>122</v>
      </c>
      <c r="M44" s="222"/>
      <c r="O44" s="16"/>
      <c r="Q44" s="7" t="s">
        <v>164</v>
      </c>
      <c r="R44" s="88">
        <f>0</f>
        <v>0</v>
      </c>
    </row>
    <row r="45" spans="2:19" ht="15.75" customHeight="1" thickBot="1" x14ac:dyDescent="0.3">
      <c r="B45" s="6" t="s">
        <v>93</v>
      </c>
      <c r="C45" s="73">
        <f>'CARDAPIO+PREÇO'!Y5</f>
        <v>8.8699999999999992</v>
      </c>
      <c r="D45" s="60">
        <f>Tabela610[[#This Row],[PREÇO DE VENDA]]/Tabela610[[#This Row],[CUSTO PREPARO]]</f>
        <v>2.2547914317925595</v>
      </c>
      <c r="E45" s="62">
        <v>20</v>
      </c>
      <c r="F45" s="60">
        <f>(E26-Tabela610[[#This Row],[PREÇO DE VENDA]])*100/E26/100</f>
        <v>0.23076923076923075</v>
      </c>
      <c r="G45" s="66"/>
      <c r="H45" s="68">
        <f>Tabela610[[#This Row],[PREÇO DE VENDA]]-Tabela610[[#This Row],[CUSTO PREPARO]]</f>
        <v>11.13</v>
      </c>
      <c r="I45" s="6">
        <v>0</v>
      </c>
      <c r="J45" s="77">
        <f>Tabela610[[#This Row],[VENDAS DO DIA]]*Tabela610[[#This Row],[PREÇO DE VENDA]]</f>
        <v>0</v>
      </c>
      <c r="K45" s="59">
        <f>Tabela610[[#This Row],[VENDAS DO DIA]]*Tabela610[[#This Row],[LUCRO REAL]]</f>
        <v>0</v>
      </c>
      <c r="L45" s="101" t="s">
        <v>123</v>
      </c>
      <c r="M45" s="223"/>
    </row>
    <row r="46" spans="2:19" ht="15.75" customHeight="1" thickBot="1" x14ac:dyDescent="0.3">
      <c r="B46" s="7" t="s">
        <v>80</v>
      </c>
      <c r="C46" s="74">
        <f>'CARDAPIO+PREÇO'!Y12</f>
        <v>10.730000000000002</v>
      </c>
      <c r="D46" s="61">
        <f>Tabela610[[#This Row],[PREÇO DE VENDA]]/Tabela610[[#This Row],[CUSTO PREPARO]]</f>
        <v>2.1435228331780052</v>
      </c>
      <c r="E46" s="63">
        <v>23</v>
      </c>
      <c r="F46" s="60">
        <f>(E27-Tabela610[[#This Row],[PREÇO DE VENDA]])*100/E27/100</f>
        <v>0.30303030303030304</v>
      </c>
      <c r="G46" s="67"/>
      <c r="H46" s="69">
        <f>Tabela610[[#This Row],[PREÇO DE VENDA]]-Tabela610[[#This Row],[CUSTO PREPARO]]</f>
        <v>12.269999999999998</v>
      </c>
      <c r="I46" s="7">
        <v>0</v>
      </c>
      <c r="J46" s="78">
        <f>Tabela610[[#This Row],[VENDAS DO DIA]]*Tabela610[[#This Row],[PREÇO DE VENDA]]</f>
        <v>0</v>
      </c>
      <c r="K46" s="56">
        <f>Tabela610[[#This Row],[VENDAS DO DIA]]*Tabela610[[#This Row],[LUCRO REAL]]</f>
        <v>0</v>
      </c>
    </row>
    <row r="47" spans="2:19" ht="15.75" customHeight="1" thickBot="1" x14ac:dyDescent="0.3"/>
    <row r="48" spans="2:19" ht="15.75" customHeight="1" thickBot="1" x14ac:dyDescent="0.3">
      <c r="C48" s="1" t="s">
        <v>178</v>
      </c>
      <c r="D48" s="1" t="s">
        <v>179</v>
      </c>
      <c r="J48" s="105" t="s">
        <v>117</v>
      </c>
      <c r="K48" s="135" t="s">
        <v>130</v>
      </c>
      <c r="L48" s="93" t="s">
        <v>129</v>
      </c>
      <c r="M48" t="s">
        <v>165</v>
      </c>
    </row>
    <row r="49" spans="2:18" ht="15.75" customHeight="1" thickBot="1" x14ac:dyDescent="0.3">
      <c r="C49" s="1" t="s">
        <v>180</v>
      </c>
      <c r="D49" s="1" t="s">
        <v>196</v>
      </c>
      <c r="J49" s="150">
        <f>J39+J40+J41+J42+J43+J44+J45+J46</f>
        <v>383.90999999999997</v>
      </c>
      <c r="K49" s="97">
        <f>K39+K40+K41+K42+K43+K44+K45+K46</f>
        <v>238.17499999999998</v>
      </c>
      <c r="L49" s="93" t="s">
        <v>129</v>
      </c>
    </row>
    <row r="50" spans="2:18" ht="15.75" thickBot="1" x14ac:dyDescent="0.3">
      <c r="P50" s="38" t="s">
        <v>159</v>
      </c>
      <c r="Q50" s="38" t="s">
        <v>158</v>
      </c>
      <c r="R50" s="38" t="s">
        <v>121</v>
      </c>
    </row>
    <row r="51" spans="2:18" ht="15.75" thickBot="1" x14ac:dyDescent="0.3">
      <c r="J51" s="102"/>
      <c r="P51" s="11"/>
      <c r="Q51" s="11"/>
      <c r="R51" s="11"/>
    </row>
    <row r="52" spans="2:18" ht="15.75" thickBot="1" x14ac:dyDescent="0.3">
      <c r="J52" s="103"/>
      <c r="O52" s="38" t="s">
        <v>160</v>
      </c>
      <c r="P52" s="14"/>
      <c r="Q52" s="157"/>
      <c r="R52" s="14"/>
    </row>
    <row r="53" spans="2:18" ht="15.75" thickBot="1" x14ac:dyDescent="0.3">
      <c r="O53" s="38" t="s">
        <v>161</v>
      </c>
      <c r="P53" s="14"/>
      <c r="Q53" s="14"/>
      <c r="R53" s="14"/>
    </row>
    <row r="54" spans="2:18" ht="15.75" thickBot="1" x14ac:dyDescent="0.3">
      <c r="J54" s="102"/>
      <c r="K54" s="102"/>
    </row>
    <row r="55" spans="2:18" ht="15.75" thickBot="1" x14ac:dyDescent="0.3">
      <c r="D55" s="215" t="s">
        <v>131</v>
      </c>
      <c r="E55" s="216"/>
      <c r="F55" s="216"/>
      <c r="G55" s="217"/>
      <c r="J55" s="103"/>
      <c r="K55" s="103"/>
    </row>
    <row r="56" spans="2:18" ht="15.75" thickBot="1" x14ac:dyDescent="0.3">
      <c r="B56" s="70" t="s">
        <v>143</v>
      </c>
      <c r="C56" s="71" t="s">
        <v>6</v>
      </c>
      <c r="D56" s="45" t="s">
        <v>82</v>
      </c>
      <c r="E56" s="45" t="s">
        <v>0</v>
      </c>
      <c r="F56" s="45" t="s">
        <v>1</v>
      </c>
      <c r="G56" s="45" t="s">
        <v>83</v>
      </c>
      <c r="H56" s="71" t="s">
        <v>94</v>
      </c>
      <c r="I56" s="71" t="s">
        <v>63</v>
      </c>
      <c r="J56" s="71" t="s">
        <v>84</v>
      </c>
      <c r="K56" s="72" t="s">
        <v>85</v>
      </c>
    </row>
    <row r="57" spans="2:18" x14ac:dyDescent="0.25">
      <c r="B57" s="27" t="s">
        <v>50</v>
      </c>
      <c r="C57" s="126">
        <f>'CARDAPIO+PREÇO'!AI13</f>
        <v>4.1399999999999997</v>
      </c>
      <c r="D57" s="127">
        <f>Tabela611[[#This Row],[PREÇO DE VENDA]]/Tabela611[[#This Row],[CUSTO PREPARO]]</f>
        <v>1.9323671497584543</v>
      </c>
      <c r="E57" s="128">
        <v>8</v>
      </c>
      <c r="F57" s="129">
        <f>20%</f>
        <v>0.2</v>
      </c>
      <c r="G57" s="130">
        <f>Tabela611[[#This Row],[% DO IFOOD]]*Tabela611[[#This Row],[PREÇO DE VENDA]]</f>
        <v>1.6</v>
      </c>
      <c r="H57" s="131">
        <f>Tabela611[[#This Row],[PREÇO DE VENDA]]-Tabela611[[#This Row],[CUSTO PREPARO]]-Tabela611[[#This Row],[TAXA DO IFOOD]]</f>
        <v>2.2600000000000002</v>
      </c>
      <c r="I57" s="5">
        <v>0</v>
      </c>
      <c r="J57" s="132">
        <f>Tabela611[[#This Row],[VENDAS DO DIA]]*Tabela611[[#This Row],[PREÇO DE VENDA]]</f>
        <v>0</v>
      </c>
      <c r="K57" s="58">
        <f>Tabela611[[#This Row],[VENDAS DO DIA]]*Tabela611[[#This Row],[LUCRO REAL]]</f>
        <v>0</v>
      </c>
    </row>
    <row r="58" spans="2:18" x14ac:dyDescent="0.25">
      <c r="B58" s="28" t="s">
        <v>132</v>
      </c>
      <c r="C58" s="48">
        <f>'CARDAPIO+PREÇO'!AI18</f>
        <v>3.163636363636364</v>
      </c>
      <c r="D58" s="60">
        <f>Tabela611[[#This Row],[PREÇO DE VENDA]]/Tabela611[[#This Row],[CUSTO PREPARO]]</f>
        <v>2.5287356321839076</v>
      </c>
      <c r="E58" s="62">
        <v>8</v>
      </c>
      <c r="F58" s="64">
        <f>20%</f>
        <v>0.2</v>
      </c>
      <c r="G58" s="66">
        <f>Tabela611[[#This Row],[% DO IFOOD]]*Tabela611[[#This Row],[PREÇO DE VENDA]]</f>
        <v>1.6</v>
      </c>
      <c r="H58" s="68">
        <f>Tabela611[[#This Row],[PREÇO DE VENDA]]-Tabela611[[#This Row],[CUSTO PREPARO]]-Tabela611[[#This Row],[TAXA DO IFOOD]]</f>
        <v>3.2363636363636359</v>
      </c>
      <c r="I58" s="6">
        <v>0</v>
      </c>
      <c r="J58" s="77">
        <f>Tabela611[[#This Row],[VENDAS DO DIA]]*Tabela611[[#This Row],[PREÇO DE VENDA]]</f>
        <v>0</v>
      </c>
      <c r="K58" s="59">
        <f>Tabela611[[#This Row],[VENDAS DO DIA]]*Tabela611[[#This Row],[LUCRO REAL]]</f>
        <v>0</v>
      </c>
    </row>
    <row r="59" spans="2:18" x14ac:dyDescent="0.25">
      <c r="B59" s="28" t="s">
        <v>183</v>
      </c>
      <c r="C59" s="48">
        <f>'CARDAPIO+PREÇO'!AI5</f>
        <v>2.5</v>
      </c>
      <c r="D59" s="60">
        <f>Tabela611[[#This Row],[PREÇO DE VENDA]]/Tabela611[[#This Row],[CUSTO PREPARO]]</f>
        <v>4.8</v>
      </c>
      <c r="E59" s="62">
        <v>12</v>
      </c>
      <c r="F59" s="64">
        <f>20%</f>
        <v>0.2</v>
      </c>
      <c r="G59" s="66">
        <f>Tabela611[[#This Row],[% DO IFOOD]]*Tabela611[[#This Row],[PREÇO DE VENDA]]</f>
        <v>2.4000000000000004</v>
      </c>
      <c r="H59" s="68">
        <f>Tabela611[[#This Row],[PREÇO DE VENDA]]-Tabela611[[#This Row],[CUSTO PREPARO]]-Tabela611[[#This Row],[TAXA DO IFOOD]]</f>
        <v>7.1</v>
      </c>
      <c r="I59" s="6">
        <v>0</v>
      </c>
      <c r="J59" s="77">
        <f>Tabela611[[#This Row],[VENDAS DO DIA]]*Tabela611[[#This Row],[PREÇO DE VENDA]]</f>
        <v>0</v>
      </c>
      <c r="K59" s="59">
        <f>Tabela611[[#This Row],[VENDAS DO DIA]]*Tabela611[[#This Row],[LUCRO REAL]]</f>
        <v>0</v>
      </c>
    </row>
    <row r="60" spans="2:18" ht="15.75" thickBot="1" x14ac:dyDescent="0.3">
      <c r="B60" s="30" t="s">
        <v>133</v>
      </c>
      <c r="C60" s="133">
        <f>'CARDAPIO+PREÇO'!AI6</f>
        <v>6.65</v>
      </c>
      <c r="D60" s="61">
        <f>Tabela611[[#This Row],[PREÇO DE VENDA]]/Tabela611[[#This Row],[CUSTO PREPARO]]</f>
        <v>2.8571428571428572</v>
      </c>
      <c r="E60" s="63">
        <v>19</v>
      </c>
      <c r="F60" s="65">
        <f>20%</f>
        <v>0.2</v>
      </c>
      <c r="G60" s="67">
        <f>Tabela611[[#This Row],[% DO IFOOD]]*Tabela611[[#This Row],[PREÇO DE VENDA]]</f>
        <v>3.8000000000000003</v>
      </c>
      <c r="H60" s="69">
        <f>Tabela611[[#This Row],[PREÇO DE VENDA]]-Tabela611[[#This Row],[CUSTO PREPARO]]-Tabela611[[#This Row],[TAXA DO IFOOD]]</f>
        <v>8.5499999999999989</v>
      </c>
      <c r="I60" s="7">
        <v>0</v>
      </c>
      <c r="J60" s="78">
        <f>Tabela611[[#This Row],[VENDAS DO DIA]]*Tabela611[[#This Row],[PREÇO DE VENDA]]</f>
        <v>0</v>
      </c>
      <c r="K60" s="56">
        <f>Tabela611[[#This Row],[VENDAS DO DIA]]*Tabela611[[#This Row],[LUCRO REAL]]</f>
        <v>0</v>
      </c>
    </row>
    <row r="61" spans="2:18" ht="15.75" thickBot="1" x14ac:dyDescent="0.3">
      <c r="J61" s="1"/>
      <c r="K61" s="134"/>
      <c r="L61" s="38" t="s">
        <v>145</v>
      </c>
      <c r="M61" s="1" t="s">
        <v>165</v>
      </c>
    </row>
    <row r="62" spans="2:18" ht="15.75" thickBot="1" x14ac:dyDescent="0.3">
      <c r="G62" s="105" t="s">
        <v>124</v>
      </c>
      <c r="J62" s="105" t="s">
        <v>117</v>
      </c>
      <c r="K62" s="135" t="s">
        <v>144</v>
      </c>
    </row>
    <row r="63" spans="2:18" ht="15.75" thickBot="1" x14ac:dyDescent="0.3">
      <c r="G63" s="104">
        <f>G57*I57+G58*I58+G59*I59+G60*I60</f>
        <v>0</v>
      </c>
      <c r="J63" s="104">
        <f>J57+J58+J59+J60</f>
        <v>0</v>
      </c>
      <c r="K63" s="98">
        <f>K57+K58+K59+K60</f>
        <v>0</v>
      </c>
    </row>
    <row r="64" spans="2:18" x14ac:dyDescent="0.25">
      <c r="J64" s="1"/>
      <c r="K64" s="1"/>
    </row>
    <row r="65" spans="2:11" ht="15.75" thickBot="1" x14ac:dyDescent="0.3">
      <c r="J65" s="1"/>
      <c r="K65" s="1"/>
    </row>
    <row r="66" spans="2:11" ht="15.75" thickBot="1" x14ac:dyDescent="0.3">
      <c r="D66" s="212" t="s">
        <v>184</v>
      </c>
      <c r="E66" s="213"/>
      <c r="F66" s="213"/>
      <c r="G66" s="214"/>
    </row>
    <row r="67" spans="2:11" ht="15.75" thickBot="1" x14ac:dyDescent="0.3">
      <c r="B67" s="164" t="s">
        <v>184</v>
      </c>
      <c r="C67" s="165" t="s">
        <v>6</v>
      </c>
      <c r="D67" s="169" t="s">
        <v>187</v>
      </c>
      <c r="E67" s="169" t="s">
        <v>0</v>
      </c>
      <c r="F67" s="169" t="s">
        <v>1</v>
      </c>
      <c r="G67" s="169" t="s">
        <v>83</v>
      </c>
      <c r="H67" s="165" t="s">
        <v>94</v>
      </c>
      <c r="I67" s="165" t="s">
        <v>63</v>
      </c>
      <c r="J67" s="165" t="s">
        <v>84</v>
      </c>
      <c r="K67" s="166" t="s">
        <v>85</v>
      </c>
    </row>
    <row r="68" spans="2:11" ht="15.75" thickBot="1" x14ac:dyDescent="0.3">
      <c r="B68" s="38" t="s">
        <v>185</v>
      </c>
      <c r="C68" s="167">
        <f>C23+C59</f>
        <v>9.5400000000000009</v>
      </c>
      <c r="D68" s="167">
        <f>E23+E59</f>
        <v>40.989999999999995</v>
      </c>
      <c r="E68" s="11">
        <v>31.99</v>
      </c>
      <c r="F68" s="168">
        <f>18%</f>
        <v>0.18</v>
      </c>
      <c r="G68" s="171">
        <f>F68*E68</f>
        <v>5.7581999999999995</v>
      </c>
      <c r="H68" s="170">
        <f>E68-C68-G68</f>
        <v>16.691799999999997</v>
      </c>
      <c r="I68" s="38">
        <v>0</v>
      </c>
      <c r="J68" s="172">
        <f>I68*E68</f>
        <v>0</v>
      </c>
      <c r="K68" s="82">
        <f>I68*H68</f>
        <v>0</v>
      </c>
    </row>
    <row r="69" spans="2:11" ht="15.75" thickBot="1" x14ac:dyDescent="0.3">
      <c r="B69" s="38" t="s">
        <v>186</v>
      </c>
      <c r="C69" s="167">
        <f>C24+C59</f>
        <v>13.8</v>
      </c>
      <c r="D69" s="167">
        <f>E24+E59</f>
        <v>45.99</v>
      </c>
      <c r="E69" s="11">
        <v>39.99</v>
      </c>
      <c r="F69" s="168">
        <f>18%</f>
        <v>0.18</v>
      </c>
      <c r="G69" s="171">
        <f>F69*E69</f>
        <v>7.1981999999999999</v>
      </c>
      <c r="H69" s="170">
        <f>E69-C69-G69</f>
        <v>18.991800000000001</v>
      </c>
      <c r="I69" s="38">
        <v>0</v>
      </c>
      <c r="J69" s="172">
        <f>I69*E69</f>
        <v>0</v>
      </c>
      <c r="K69" s="82">
        <f>I69*H69</f>
        <v>0</v>
      </c>
    </row>
    <row r="70" spans="2:11" ht="15.75" thickBot="1" x14ac:dyDescent="0.3">
      <c r="B70" s="38" t="s">
        <v>191</v>
      </c>
      <c r="C70" s="167">
        <f>C59+C21</f>
        <v>11.51</v>
      </c>
      <c r="D70" s="11">
        <f>E21+E59</f>
        <v>40.989999999999995</v>
      </c>
      <c r="E70" s="11">
        <v>36.99</v>
      </c>
      <c r="F70" s="168">
        <f>18%</f>
        <v>0.18</v>
      </c>
      <c r="G70" s="171">
        <f>F70*E70</f>
        <v>6.6581999999999999</v>
      </c>
      <c r="H70" s="170">
        <f>E70-C70-G70</f>
        <v>18.821800000000003</v>
      </c>
      <c r="I70" s="38">
        <v>0</v>
      </c>
      <c r="J70" s="172">
        <f>I70*E70</f>
        <v>0</v>
      </c>
      <c r="K70" s="82">
        <f>I70*H70</f>
        <v>0</v>
      </c>
    </row>
    <row r="71" spans="2:11" ht="15.75" thickBot="1" x14ac:dyDescent="0.3">
      <c r="B71" s="38" t="s">
        <v>192</v>
      </c>
      <c r="C71" s="167">
        <f>C59+C22</f>
        <v>14.969999999999999</v>
      </c>
      <c r="D71" s="11">
        <f>E59+E22</f>
        <v>47.99</v>
      </c>
      <c r="E71" s="11">
        <v>44.99</v>
      </c>
      <c r="F71" s="168">
        <f>18%</f>
        <v>0.18</v>
      </c>
      <c r="G71" s="171">
        <f>F71*E71</f>
        <v>8.0982000000000003</v>
      </c>
      <c r="H71" s="170">
        <f>E71-C71-G71</f>
        <v>21.921800000000005</v>
      </c>
      <c r="I71" s="38">
        <v>0</v>
      </c>
      <c r="J71" s="172">
        <f>I71*E71</f>
        <v>0</v>
      </c>
      <c r="K71" s="82">
        <f>I71*H71</f>
        <v>0</v>
      </c>
    </row>
    <row r="72" spans="2:11" ht="15.75" thickBot="1" x14ac:dyDescent="0.3">
      <c r="B72" s="38" t="s">
        <v>193</v>
      </c>
      <c r="C72" s="11">
        <f>C59+C25</f>
        <v>16.29</v>
      </c>
      <c r="D72" s="11">
        <f>E59+E25</f>
        <v>49.99</v>
      </c>
      <c r="E72" s="11">
        <v>47.99</v>
      </c>
      <c r="F72" s="168">
        <f>18%</f>
        <v>0.18</v>
      </c>
      <c r="G72" s="171">
        <f>F72*E72</f>
        <v>8.6381999999999994</v>
      </c>
      <c r="H72" s="170">
        <f>E72-C72-G72</f>
        <v>23.061800000000005</v>
      </c>
      <c r="I72" s="38">
        <v>0</v>
      </c>
      <c r="J72" s="172">
        <f>I72*E72</f>
        <v>0</v>
      </c>
      <c r="K72" s="82">
        <f>I72*H72</f>
        <v>0</v>
      </c>
    </row>
    <row r="73" spans="2:11" ht="15.75" thickBot="1" x14ac:dyDescent="0.3"/>
    <row r="74" spans="2:11" ht="15.75" thickBot="1" x14ac:dyDescent="0.3">
      <c r="G74" s="105" t="s">
        <v>124</v>
      </c>
      <c r="J74" s="105" t="s">
        <v>117</v>
      </c>
      <c r="K74" s="135" t="s">
        <v>144</v>
      </c>
    </row>
    <row r="75" spans="2:11" ht="15.75" thickBot="1" x14ac:dyDescent="0.3">
      <c r="G75" s="104">
        <f>G68*I68+G69*I69+G70*I70+G71*I71+G72*I72</f>
        <v>0</v>
      </c>
      <c r="J75" s="104">
        <f>J68+J69+J70+J71+J72</f>
        <v>0</v>
      </c>
      <c r="K75" s="98">
        <f>K68+K69+K70+K71+K72</f>
        <v>0</v>
      </c>
    </row>
    <row r="85" spans="2:9" s="4" customFormat="1" ht="4.5" customHeight="1" x14ac:dyDescent="0.25">
      <c r="B85" s="2"/>
      <c r="C85" s="2"/>
      <c r="D85" s="2"/>
      <c r="E85" s="2"/>
      <c r="F85" s="2"/>
      <c r="G85" s="2"/>
      <c r="H85" s="2"/>
      <c r="I85" s="2"/>
    </row>
    <row r="89" spans="2:9" x14ac:dyDescent="0.25">
      <c r="B89" s="1" t="s">
        <v>199</v>
      </c>
    </row>
    <row r="90" spans="2:9" ht="15.75" thickBot="1" x14ac:dyDescent="0.3"/>
    <row r="91" spans="2:9" ht="15.75" thickBot="1" x14ac:dyDescent="0.3">
      <c r="B91" s="38" t="s">
        <v>202</v>
      </c>
    </row>
    <row r="92" spans="2:9" x14ac:dyDescent="0.25">
      <c r="B92" s="1" t="s">
        <v>60</v>
      </c>
      <c r="C92" s="1" t="s">
        <v>205</v>
      </c>
      <c r="D92" s="1" t="s">
        <v>206</v>
      </c>
    </row>
    <row r="93" spans="2:9" x14ac:dyDescent="0.25">
      <c r="B93" s="1" t="s">
        <v>59</v>
      </c>
      <c r="C93" s="1" t="s">
        <v>207</v>
      </c>
      <c r="D93" s="1" t="s">
        <v>208</v>
      </c>
    </row>
    <row r="97" spans="2:4" x14ac:dyDescent="0.25">
      <c r="B97" s="1" t="s">
        <v>88</v>
      </c>
      <c r="C97" s="1" t="s">
        <v>203</v>
      </c>
      <c r="D97" s="1" t="s">
        <v>208</v>
      </c>
    </row>
    <row r="98" spans="2:4" x14ac:dyDescent="0.25">
      <c r="B98" s="1" t="s">
        <v>61</v>
      </c>
      <c r="C98" s="1" t="s">
        <v>200</v>
      </c>
      <c r="D98" s="1" t="s">
        <v>209</v>
      </c>
    </row>
    <row r="99" spans="2:4" x14ac:dyDescent="0.25">
      <c r="B99" s="1" t="s">
        <v>112</v>
      </c>
      <c r="C99" s="1" t="s">
        <v>204</v>
      </c>
      <c r="D99" s="1" t="s">
        <v>201</v>
      </c>
    </row>
  </sheetData>
  <mergeCells count="7">
    <mergeCell ref="D66:G66"/>
    <mergeCell ref="D55:G55"/>
    <mergeCell ref="D3:G3"/>
    <mergeCell ref="Q14:Q16"/>
    <mergeCell ref="M40:M45"/>
    <mergeCell ref="D36:G36"/>
    <mergeCell ref="D17:F17"/>
  </mergeCells>
  <pageMargins left="0.511811024" right="0.511811024" top="0.78740157499999996" bottom="0.78740157499999996" header="0.31496062000000002" footer="0.31496062000000002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13B9-EF93-4752-B49D-9F937A0EB782}">
  <dimension ref="B2:O85"/>
  <sheetViews>
    <sheetView zoomScale="85" zoomScaleNormal="85" workbookViewId="0">
      <selection activeCell="L18" sqref="L18"/>
    </sheetView>
  </sheetViews>
  <sheetFormatPr defaultRowHeight="15" x14ac:dyDescent="0.25"/>
  <cols>
    <col min="1" max="1" width="9.140625" customWidth="1"/>
    <col min="2" max="2" width="13" customWidth="1"/>
    <col min="3" max="3" width="14" customWidth="1"/>
    <col min="4" max="4" width="12.5703125" customWidth="1"/>
    <col min="5" max="5" width="11.85546875" hidden="1" customWidth="1"/>
    <col min="6" max="6" width="21.42578125" customWidth="1"/>
    <col min="7" max="7" width="21.85546875" customWidth="1"/>
    <col min="8" max="8" width="22.42578125" customWidth="1"/>
    <col min="9" max="9" width="27.28515625" customWidth="1"/>
    <col min="10" max="10" width="18.85546875" customWidth="1"/>
    <col min="11" max="11" width="21.5703125" customWidth="1"/>
    <col min="13" max="14" width="12.140625" customWidth="1"/>
  </cols>
  <sheetData>
    <row r="2" spans="2:11" ht="15.75" thickBot="1" x14ac:dyDescent="0.3"/>
    <row r="3" spans="2:11" ht="15.75" thickBot="1" x14ac:dyDescent="0.3">
      <c r="B3" s="88" t="s">
        <v>166</v>
      </c>
      <c r="C3" s="88" t="s">
        <v>167</v>
      </c>
      <c r="D3" s="88" t="s">
        <v>168</v>
      </c>
      <c r="E3" s="88" t="s">
        <v>55</v>
      </c>
      <c r="F3" s="88" t="s">
        <v>169</v>
      </c>
      <c r="G3" s="88" t="s">
        <v>172</v>
      </c>
      <c r="H3" s="88" t="s">
        <v>170</v>
      </c>
      <c r="I3" s="88" t="s">
        <v>173</v>
      </c>
      <c r="J3" s="139"/>
      <c r="K3" s="1"/>
    </row>
    <row r="4" spans="2:11" ht="20.25" customHeight="1" thickBot="1" x14ac:dyDescent="0.3">
      <c r="B4" s="140">
        <v>22</v>
      </c>
      <c r="C4" s="94">
        <v>1</v>
      </c>
      <c r="D4" s="153">
        <v>0</v>
      </c>
      <c r="E4" s="149"/>
      <c r="F4" s="153">
        <v>0</v>
      </c>
      <c r="G4" s="148"/>
      <c r="H4" s="152">
        <v>0</v>
      </c>
      <c r="I4" s="151">
        <f>Tabela11[[#This Row],[ENTRADA]]-Tabela11[[#This Row],[MOTOBOY]]-Tabela11[[#This Row],[GASTO DE MATERIAL]]</f>
        <v>1</v>
      </c>
      <c r="J4" s="142"/>
      <c r="K4" s="1"/>
    </row>
    <row r="5" spans="2:11" ht="20.25" customHeight="1" thickBot="1" x14ac:dyDescent="0.3">
      <c r="B5" s="141">
        <v>23</v>
      </c>
      <c r="C5" s="142">
        <v>2</v>
      </c>
      <c r="D5" s="153">
        <v>0</v>
      </c>
      <c r="E5" s="149"/>
      <c r="F5" s="153">
        <v>0</v>
      </c>
      <c r="G5" s="148"/>
      <c r="H5" s="152">
        <f>Tabela11[[#This Row],[CARNE UTILIZADA KG]]*30</f>
        <v>0</v>
      </c>
      <c r="I5" s="151">
        <f>Tabela11[[#This Row],[ENTRADA]]-Tabela11[[#This Row],[MOTOBOY]]-Tabela11[[#This Row],[GASTO DE MATERIAL]]</f>
        <v>2</v>
      </c>
      <c r="J5" s="139"/>
      <c r="K5" s="1"/>
    </row>
    <row r="6" spans="2:11" ht="20.25" customHeight="1" thickBot="1" x14ac:dyDescent="0.3">
      <c r="B6" s="141">
        <v>24</v>
      </c>
      <c r="C6" s="94">
        <v>3</v>
      </c>
      <c r="D6" s="153">
        <v>0</v>
      </c>
      <c r="E6" s="149"/>
      <c r="F6" s="153">
        <v>1</v>
      </c>
      <c r="G6" s="148"/>
      <c r="H6" s="152">
        <f>Tabela11[[#This Row],[CARNE UTILIZADA KG]]*30</f>
        <v>0</v>
      </c>
      <c r="I6" s="151">
        <f>Tabela11[[#This Row],[ENTRADA]]-Tabela11[[#This Row],[MOTOBOY]]-Tabela11[[#This Row],[GASTO DE MATERIAL]]</f>
        <v>2</v>
      </c>
      <c r="J6" s="139"/>
      <c r="K6" s="1"/>
    </row>
    <row r="7" spans="2:11" ht="20.25" customHeight="1" thickBot="1" x14ac:dyDescent="0.3">
      <c r="B7" s="141">
        <v>25</v>
      </c>
      <c r="C7" s="94">
        <v>4</v>
      </c>
      <c r="D7" s="153">
        <v>0</v>
      </c>
      <c r="E7" s="149"/>
      <c r="F7" s="153">
        <v>1</v>
      </c>
      <c r="G7" s="148"/>
      <c r="H7" s="152">
        <v>0</v>
      </c>
      <c r="I7" s="151">
        <f>Tabela11[[#This Row],[ENTRADA]]-Tabela11[[#This Row],[MOTOBOY]]-Tabela11[[#This Row],[GASTO DE MATERIAL]]</f>
        <v>3</v>
      </c>
      <c r="J7" s="139"/>
      <c r="K7" s="1"/>
    </row>
    <row r="8" spans="2:11" ht="20.25" customHeight="1" thickBot="1" x14ac:dyDescent="0.3">
      <c r="B8" s="141">
        <v>26</v>
      </c>
      <c r="C8" s="94">
        <v>5</v>
      </c>
      <c r="D8" s="153">
        <v>0</v>
      </c>
      <c r="E8" s="149"/>
      <c r="F8" s="153">
        <v>1</v>
      </c>
      <c r="G8" s="148"/>
      <c r="H8" s="152">
        <v>1</v>
      </c>
      <c r="I8" s="151">
        <f>Tabela11[[#This Row],[ENTRADA]]-Tabela11[[#This Row],[MOTOBOY]]-Tabela11[[#This Row],[GASTO DE MATERIAL]]</f>
        <v>4</v>
      </c>
      <c r="J8" s="139"/>
      <c r="K8" s="1"/>
    </row>
    <row r="9" spans="2:11" ht="20.25" customHeight="1" thickBot="1" x14ac:dyDescent="0.3">
      <c r="B9" s="141">
        <v>27</v>
      </c>
      <c r="C9" s="94">
        <v>6</v>
      </c>
      <c r="D9" s="153">
        <v>0</v>
      </c>
      <c r="E9" s="149"/>
      <c r="F9" s="153">
        <v>1</v>
      </c>
      <c r="G9" s="148"/>
      <c r="H9" s="152">
        <v>1</v>
      </c>
      <c r="I9" s="151">
        <f>Tabela11[[#This Row],[ENTRADA]]-Tabela11[[#This Row],[MOTOBOY]]-Tabela11[[#This Row],[GASTO DE MATERIAL]]</f>
        <v>5</v>
      </c>
      <c r="J9" s="139"/>
      <c r="K9" s="1"/>
    </row>
    <row r="10" spans="2:11" ht="20.25" customHeight="1" thickBot="1" x14ac:dyDescent="0.3">
      <c r="B10" s="141">
        <v>28</v>
      </c>
      <c r="C10" s="94">
        <v>7</v>
      </c>
      <c r="D10" s="153">
        <v>0</v>
      </c>
      <c r="E10" s="149"/>
      <c r="F10" s="153">
        <v>1</v>
      </c>
      <c r="G10" s="148"/>
      <c r="H10" s="152">
        <v>1</v>
      </c>
      <c r="I10" s="151">
        <f>Tabela11[[#This Row],[ENTRADA]]-Tabela11[[#This Row],[MOTOBOY]]-Tabela11[[#This Row],[GASTO DE MATERIAL]]</f>
        <v>6</v>
      </c>
      <c r="J10" s="139"/>
      <c r="K10" s="1"/>
    </row>
    <row r="11" spans="2:11" ht="20.25" customHeight="1" thickBot="1" x14ac:dyDescent="0.3">
      <c r="B11" s="141">
        <v>29</v>
      </c>
      <c r="C11" s="94">
        <v>8</v>
      </c>
      <c r="D11" s="153">
        <v>0</v>
      </c>
      <c r="E11" s="149"/>
      <c r="F11" s="153">
        <v>1</v>
      </c>
      <c r="G11" s="148"/>
      <c r="H11" s="152">
        <f>Tabela11[[#This Row],[CARNE UTILIZADA KG]]*30</f>
        <v>0</v>
      </c>
      <c r="I11" s="151">
        <f>Tabela11[[#This Row],[ENTRADA]]-Tabela11[[#This Row],[MOTOBOY]]-Tabela11[[#This Row],[GASTO DE MATERIAL]]</f>
        <v>7</v>
      </c>
      <c r="J11" s="139"/>
      <c r="K11" s="1"/>
    </row>
    <row r="12" spans="2:11" ht="20.25" customHeight="1" thickBot="1" x14ac:dyDescent="0.3">
      <c r="B12" s="141">
        <v>30</v>
      </c>
      <c r="C12" s="94">
        <v>9</v>
      </c>
      <c r="D12" s="153">
        <v>0</v>
      </c>
      <c r="E12" s="149"/>
      <c r="F12" s="153">
        <v>0</v>
      </c>
      <c r="G12" s="148"/>
      <c r="H12" s="152">
        <v>0</v>
      </c>
      <c r="I12" s="151">
        <f>Tabela11[[#This Row],[ENTRADA]]-Tabela11[[#This Row],[MOTOBOY]]-Tabela11[[#This Row],[GASTO DE MATERIAL]]</f>
        <v>9</v>
      </c>
      <c r="J12" s="139"/>
      <c r="K12" s="1"/>
    </row>
    <row r="13" spans="2:11" ht="20.25" customHeight="1" thickBot="1" x14ac:dyDescent="0.3">
      <c r="B13" s="141">
        <v>31</v>
      </c>
      <c r="C13" s="142">
        <v>10</v>
      </c>
      <c r="D13" s="158">
        <v>0</v>
      </c>
      <c r="E13" s="159"/>
      <c r="F13" s="158">
        <v>0</v>
      </c>
      <c r="G13" s="160"/>
      <c r="H13" s="161">
        <v>0</v>
      </c>
      <c r="I13" s="162">
        <f>Tabela11[[#This Row],[ENTRADA]]-Tabela11[[#This Row],[MOTOBOY]]-Tabela11[[#This Row],[GASTO DE MATERIAL]]</f>
        <v>10</v>
      </c>
      <c r="J13" s="139"/>
      <c r="K13" s="1"/>
    </row>
    <row r="14" spans="2:11" ht="15.75" thickBot="1" x14ac:dyDescent="0.3">
      <c r="B14" s="229" t="s">
        <v>175</v>
      </c>
      <c r="C14" s="230"/>
      <c r="D14" s="230"/>
      <c r="E14" s="230"/>
      <c r="F14" s="230"/>
      <c r="G14" s="230"/>
      <c r="H14" s="230"/>
      <c r="I14" s="231"/>
      <c r="J14" s="1"/>
      <c r="K14" s="1"/>
    </row>
    <row r="15" spans="2:11" ht="15.75" thickBot="1" x14ac:dyDescent="0.3">
      <c r="B15" s="233"/>
      <c r="C15" s="233"/>
      <c r="D15" s="233"/>
      <c r="E15" s="233"/>
      <c r="F15" s="163">
        <f>I4+I5+I6+I7+I8+I9+I10+I11+I12+I13</f>
        <v>49</v>
      </c>
      <c r="G15" s="232"/>
      <c r="H15" s="232"/>
      <c r="I15" s="232"/>
      <c r="J15" s="1"/>
      <c r="K15" s="1"/>
    </row>
    <row r="16" spans="2:1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5" ht="15.75" thickBot="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5" ht="15.75" thickBot="1" x14ac:dyDescent="0.3">
      <c r="B18" s="173" t="s">
        <v>188</v>
      </c>
      <c r="C18" s="173" t="s">
        <v>167</v>
      </c>
      <c r="D18" s="173" t="s">
        <v>168</v>
      </c>
      <c r="E18" s="173" t="s">
        <v>55</v>
      </c>
      <c r="F18" s="173" t="s">
        <v>169</v>
      </c>
      <c r="G18" s="173" t="s">
        <v>172</v>
      </c>
      <c r="H18" s="173" t="s">
        <v>210</v>
      </c>
      <c r="I18" s="173" t="s">
        <v>211</v>
      </c>
      <c r="J18" s="181" t="s">
        <v>194</v>
      </c>
      <c r="K18" s="180" t="s">
        <v>173</v>
      </c>
    </row>
    <row r="19" spans="2:15" ht="15.75" thickBot="1" x14ac:dyDescent="0.3">
      <c r="B19" s="88">
        <v>3</v>
      </c>
      <c r="C19" s="94">
        <v>0</v>
      </c>
      <c r="D19" s="188">
        <v>0</v>
      </c>
      <c r="E19" s="149"/>
      <c r="F19" s="184">
        <v>0</v>
      </c>
      <c r="G19" s="148"/>
      <c r="H19" s="191"/>
      <c r="I19" s="176">
        <f>Tabela13[[#This Row],[CARNE FUNCIONARIOS]]*30</f>
        <v>0</v>
      </c>
      <c r="J19" s="182"/>
      <c r="K19" s="151">
        <f>Tabela13[[#This Row],[ENTRADA]]-Tabela13[[#This Row],[MOTOBOY]]-Tabela13[[#This Row],[GASTO DE MATERIAL]]-Tabela13[[#This Row],[CARNE FUNCIONARIOS EM $$$]]</f>
        <v>0</v>
      </c>
    </row>
    <row r="20" spans="2:15" ht="15.75" thickBot="1" x14ac:dyDescent="0.3">
      <c r="B20" s="88">
        <v>4</v>
      </c>
      <c r="C20" s="98">
        <v>0</v>
      </c>
      <c r="D20" s="189">
        <v>0</v>
      </c>
      <c r="E20" s="94"/>
      <c r="F20" s="185">
        <v>0</v>
      </c>
      <c r="G20" s="148"/>
      <c r="H20" s="191"/>
      <c r="I20" s="176">
        <f>Tabela13[[#This Row],[CARNE FUNCIONARIOS]]*30</f>
        <v>0</v>
      </c>
      <c r="J20" s="182"/>
      <c r="K20" s="151">
        <f>Tabela13[[#This Row],[ENTRADA]]-Tabela13[[#This Row],[MOTOBOY]]-Tabela13[[#This Row],[GASTO DE MATERIAL]]-Tabela13[[#This Row],[CARNE FUNCIONARIOS EM $$$]]</f>
        <v>0</v>
      </c>
      <c r="L20" s="1"/>
      <c r="M20" s="1"/>
      <c r="N20" s="1"/>
      <c r="O20" s="1"/>
    </row>
    <row r="21" spans="2:15" ht="15.75" thickBot="1" x14ac:dyDescent="0.3">
      <c r="B21" s="88">
        <v>5</v>
      </c>
      <c r="C21" s="174">
        <v>0</v>
      </c>
      <c r="D21" s="190">
        <v>0</v>
      </c>
      <c r="E21" s="174"/>
      <c r="F21" s="186">
        <v>0</v>
      </c>
      <c r="G21" s="160"/>
      <c r="H21" s="191"/>
      <c r="I21" s="176">
        <f>Tabela13[[#This Row],[CARNE FUNCIONARIOS]]*30</f>
        <v>0</v>
      </c>
      <c r="J21" s="182"/>
      <c r="K21" s="151">
        <f>Tabela13[[#This Row],[ENTRADA]]-Tabela13[[#This Row],[MOTOBOY]]-Tabela13[[#This Row],[GASTO DE MATERIAL]]-Tabela13[[#This Row],[CARNE FUNCIONARIOS EM $$$]]</f>
        <v>0</v>
      </c>
      <c r="L21" s="1"/>
      <c r="M21" s="1"/>
      <c r="N21" s="1"/>
      <c r="O21" s="1"/>
    </row>
    <row r="22" spans="2:15" ht="15.75" thickBot="1" x14ac:dyDescent="0.3">
      <c r="B22" s="88">
        <v>6</v>
      </c>
      <c r="C22" s="175">
        <v>0</v>
      </c>
      <c r="D22" s="190">
        <v>0</v>
      </c>
      <c r="E22" s="174"/>
      <c r="F22" s="186">
        <v>0</v>
      </c>
      <c r="G22" s="160"/>
      <c r="H22" s="191"/>
      <c r="I22" s="176">
        <f>Tabela13[[#This Row],[CARNE FUNCIONARIOS]]*30</f>
        <v>0</v>
      </c>
      <c r="J22" s="182"/>
      <c r="K22" s="151">
        <f>Tabela13[[#This Row],[ENTRADA]]-Tabela13[[#This Row],[MOTOBOY]]-Tabela13[[#This Row],[GASTO DE MATERIAL]]-Tabela13[[#This Row],[CARNE FUNCIONARIOS EM $$$]]</f>
        <v>0</v>
      </c>
      <c r="L22" s="1"/>
      <c r="M22" s="1"/>
      <c r="N22" s="1"/>
      <c r="O22" s="1"/>
    </row>
    <row r="23" spans="2:15" ht="15.75" thickBot="1" x14ac:dyDescent="0.3">
      <c r="B23" s="88">
        <v>7</v>
      </c>
      <c r="C23" s="175">
        <v>0</v>
      </c>
      <c r="D23" s="190">
        <v>0</v>
      </c>
      <c r="E23" s="174"/>
      <c r="F23" s="186">
        <v>0</v>
      </c>
      <c r="G23" s="160"/>
      <c r="H23" s="191"/>
      <c r="I23" s="176">
        <f>Tabela13[[#This Row],[CARNE FUNCIONARIOS]]*30</f>
        <v>0</v>
      </c>
      <c r="J23" s="182"/>
      <c r="K23" s="151">
        <f>Tabela13[[#This Row],[ENTRADA]]-Tabela13[[#This Row],[MOTOBOY]]-Tabela13[[#This Row],[GASTO DE MATERIAL]]-Tabela13[[#This Row],[CARNE FUNCIONARIOS EM $$$]]</f>
        <v>0</v>
      </c>
      <c r="L23" s="1"/>
      <c r="M23" s="1"/>
      <c r="N23" s="1"/>
      <c r="O23" s="1"/>
    </row>
    <row r="24" spans="2:15" ht="15.75" thickBot="1" x14ac:dyDescent="0.3">
      <c r="B24" s="88">
        <v>8</v>
      </c>
      <c r="C24" s="175">
        <v>0</v>
      </c>
      <c r="D24" s="190">
        <v>0</v>
      </c>
      <c r="E24" s="174"/>
      <c r="F24" s="186">
        <v>0</v>
      </c>
      <c r="G24" s="160"/>
      <c r="H24" s="191"/>
      <c r="I24" s="176">
        <f>Tabela13[[#This Row],[CARNE FUNCIONARIOS]]*30</f>
        <v>0</v>
      </c>
      <c r="J24" s="182"/>
      <c r="K24" s="151">
        <f>Tabela13[[#This Row],[ENTRADA]]-Tabela13[[#This Row],[MOTOBOY]]-Tabela13[[#This Row],[GASTO DE MATERIAL]]-Tabela13[[#This Row],[CARNE FUNCIONARIOS EM $$$]]</f>
        <v>0</v>
      </c>
      <c r="L24" s="1"/>
      <c r="M24" s="1"/>
      <c r="N24" s="1"/>
      <c r="O24" s="1"/>
    </row>
    <row r="25" spans="2:15" ht="15.75" thickBot="1" x14ac:dyDescent="0.3">
      <c r="B25" s="88">
        <v>9</v>
      </c>
      <c r="C25" s="175">
        <v>0</v>
      </c>
      <c r="D25" s="190">
        <v>0</v>
      </c>
      <c r="E25" s="174">
        <v>0</v>
      </c>
      <c r="F25" s="186">
        <v>0</v>
      </c>
      <c r="G25" s="160"/>
      <c r="H25" s="191"/>
      <c r="I25" s="176">
        <v>0</v>
      </c>
      <c r="J25" s="182"/>
      <c r="K25" s="151">
        <f>Tabela13[[#This Row],[ENTRADA]]-Tabela13[[#This Row],[MOTOBOY]]-Tabela13[[#This Row],[GASTO DE MATERIAL]]-Tabela13[[#This Row],[CARNE FUNCIONARIOS EM $$$]]</f>
        <v>0</v>
      </c>
      <c r="L25" s="1"/>
      <c r="M25" s="1"/>
      <c r="N25" s="1"/>
      <c r="O25" s="1"/>
    </row>
    <row r="26" spans="2:15" ht="15.75" thickBot="1" x14ac:dyDescent="0.3">
      <c r="B26" s="88">
        <v>10</v>
      </c>
      <c r="C26" s="175">
        <v>0</v>
      </c>
      <c r="D26" s="190">
        <v>0</v>
      </c>
      <c r="E26" s="174">
        <v>0</v>
      </c>
      <c r="F26" s="186">
        <v>0</v>
      </c>
      <c r="G26" s="160"/>
      <c r="H26" s="191"/>
      <c r="I26" s="176">
        <v>0</v>
      </c>
      <c r="J26" s="182"/>
      <c r="K26" s="151">
        <f>Tabela13[[#This Row],[ENTRADA]]-Tabela13[[#This Row],[MOTOBOY]]-Tabela13[[#This Row],[GASTO DE MATERIAL]]-Tabela13[[#This Row],[CARNE FUNCIONARIOS EM $$$]]</f>
        <v>0</v>
      </c>
      <c r="L26" s="1"/>
      <c r="M26" s="1"/>
      <c r="N26" s="1"/>
      <c r="O26" s="1"/>
    </row>
    <row r="27" spans="2:15" ht="15.75" thickBot="1" x14ac:dyDescent="0.3">
      <c r="B27" s="88">
        <v>11</v>
      </c>
      <c r="C27" s="175">
        <v>0</v>
      </c>
      <c r="D27" s="190">
        <v>0</v>
      </c>
      <c r="E27" s="174"/>
      <c r="F27" s="186">
        <v>0</v>
      </c>
      <c r="G27" s="160"/>
      <c r="H27" s="191"/>
      <c r="I27" s="176">
        <f>Tabela13[[#This Row],[CARNE FUNCIONARIOS]]*30</f>
        <v>0</v>
      </c>
      <c r="J27" s="187"/>
      <c r="K27" s="151">
        <f>Tabela13[[#This Row],[ENTRADA]]-Tabela13[[#This Row],[MOTOBOY]]-Tabela13[[#This Row],[GASTO DE MATERIAL]]-Tabela13[[#This Row],[CARNE FUNCIONARIOS EM $$$]]</f>
        <v>0</v>
      </c>
      <c r="L27" s="1"/>
      <c r="M27" s="1"/>
      <c r="N27" s="1"/>
      <c r="O27" s="1"/>
    </row>
    <row r="28" spans="2:15" ht="15.75" thickBot="1" x14ac:dyDescent="0.3">
      <c r="B28" s="88">
        <v>12</v>
      </c>
      <c r="C28" s="175"/>
      <c r="D28" s="190">
        <v>0</v>
      </c>
      <c r="E28" s="174"/>
      <c r="F28" s="186">
        <v>0</v>
      </c>
      <c r="G28" s="160"/>
      <c r="H28" s="191"/>
      <c r="I28" s="176">
        <f>Tabela13[[#This Row],[CARNE FUNCIONARIOS]]*30</f>
        <v>0</v>
      </c>
      <c r="J28" s="183"/>
      <c r="K28" s="151">
        <f>Tabela13[[#This Row],[ENTRADA]]-Tabela13[[#This Row],[MOTOBOY]]-Tabela13[[#This Row],[GASTO DE MATERIAL]]-Tabela13[[#This Row],[CARNE FUNCIONARIOS EM $$$]]</f>
        <v>0</v>
      </c>
      <c r="L28" s="1"/>
      <c r="M28" s="1"/>
      <c r="N28" s="1"/>
      <c r="O28" s="1"/>
    </row>
    <row r="29" spans="2:15" ht="15.75" thickBot="1" x14ac:dyDescent="0.3">
      <c r="B29" s="88">
        <v>13</v>
      </c>
      <c r="C29" s="175"/>
      <c r="D29" s="190">
        <v>0</v>
      </c>
      <c r="E29" s="174"/>
      <c r="F29" s="186"/>
      <c r="G29" s="160"/>
      <c r="H29" s="191"/>
      <c r="I29" s="176">
        <f>Tabela13[[#This Row],[CARNE FUNCIONARIOS]]*30</f>
        <v>0</v>
      </c>
      <c r="J29" s="183"/>
      <c r="K29" s="151">
        <f>Tabela13[[#This Row],[ENTRADA]]-Tabela13[[#This Row],[MOTOBOY]]-Tabela13[[#This Row],[GASTO DE MATERIAL]]-Tabela13[[#This Row],[CARNE FUNCIONARIOS EM $$$]]</f>
        <v>0</v>
      </c>
      <c r="M29" s="1"/>
      <c r="N29" s="1"/>
      <c r="O29" s="1"/>
    </row>
    <row r="30" spans="2:15" ht="15.75" thickBot="1" x14ac:dyDescent="0.3">
      <c r="B30" s="88">
        <v>14</v>
      </c>
      <c r="C30" s="175"/>
      <c r="D30" s="190">
        <v>0</v>
      </c>
      <c r="E30" s="174"/>
      <c r="F30" s="186"/>
      <c r="G30" s="160"/>
      <c r="H30" s="191"/>
      <c r="I30" s="176">
        <f>Tabela13[[#This Row],[CARNE FUNCIONARIOS]]*30</f>
        <v>0</v>
      </c>
      <c r="J30" s="183"/>
      <c r="K30" s="151">
        <f>Tabela13[[#This Row],[ENTRADA]]-Tabela13[[#This Row],[MOTOBOY]]-Tabela13[[#This Row],[GASTO DE MATERIAL]]-Tabela13[[#This Row],[CARNE FUNCIONARIOS EM $$$]]</f>
        <v>0</v>
      </c>
      <c r="L30" s="1"/>
      <c r="M30" s="1"/>
      <c r="N30" s="1"/>
      <c r="O30" s="1"/>
    </row>
    <row r="31" spans="2:15" ht="15.75" thickBot="1" x14ac:dyDescent="0.3">
      <c r="B31" s="88">
        <v>15</v>
      </c>
      <c r="C31" s="175"/>
      <c r="D31" s="190">
        <v>0</v>
      </c>
      <c r="E31" s="174"/>
      <c r="F31" s="186"/>
      <c r="G31" s="160"/>
      <c r="H31" s="191"/>
      <c r="I31" s="176">
        <f>Tabela13[[#This Row],[CARNE FUNCIONARIOS]]*30</f>
        <v>0</v>
      </c>
      <c r="J31" s="183"/>
      <c r="K31" s="151">
        <f>Tabela13[[#This Row],[ENTRADA]]-Tabela13[[#This Row],[MOTOBOY]]-Tabela13[[#This Row],[GASTO DE MATERIAL]]-Tabela13[[#This Row],[CARNE FUNCIONARIOS EM $$$]]</f>
        <v>0</v>
      </c>
    </row>
    <row r="32" spans="2:15" ht="15.75" thickBot="1" x14ac:dyDescent="0.3">
      <c r="B32" s="88">
        <v>16</v>
      </c>
      <c r="C32" s="175"/>
      <c r="D32" s="190"/>
      <c r="E32" s="174"/>
      <c r="F32" s="186"/>
      <c r="G32" s="160"/>
      <c r="H32" s="191"/>
      <c r="I32" s="176">
        <f>Tabela13[[#This Row],[CARNE FUNCIONARIOS]]*30</f>
        <v>0</v>
      </c>
      <c r="J32" s="183"/>
      <c r="K32" s="151">
        <f>Tabela13[[#This Row],[ENTRADA]]-Tabela13[[#This Row],[MOTOBOY]]-Tabela13[[#This Row],[GASTO DE MATERIAL]]-Tabela13[[#This Row],[CARNE FUNCIONARIOS EM $$$]]</f>
        <v>0</v>
      </c>
    </row>
    <row r="33" spans="2:11" ht="15.75" thickBot="1" x14ac:dyDescent="0.3">
      <c r="B33" s="141">
        <v>17</v>
      </c>
      <c r="C33" s="175"/>
      <c r="D33" s="190"/>
      <c r="E33" s="174"/>
      <c r="F33" s="186"/>
      <c r="G33" s="160"/>
      <c r="H33" s="189"/>
      <c r="I33" s="176">
        <f>Tabela13[[#This Row],[CARNE FUNCIONARIOS]]*30</f>
        <v>0</v>
      </c>
      <c r="J33" s="183"/>
      <c r="K33" s="151">
        <f>Tabela13[[#This Row],[ENTRADA]]-Tabela13[[#This Row],[MOTOBOY]]-Tabela13[[#This Row],[GASTO DE MATERIAL]]-Tabela13[[#This Row],[CARNE FUNCIONARIOS EM $$$]]</f>
        <v>0</v>
      </c>
    </row>
    <row r="34" spans="2:11" ht="15.75" thickBot="1" x14ac:dyDescent="0.3">
      <c r="B34" s="88">
        <v>18</v>
      </c>
      <c r="C34" s="175"/>
      <c r="D34" s="190">
        <v>0</v>
      </c>
      <c r="E34" s="174"/>
      <c r="F34" s="186">
        <v>0</v>
      </c>
      <c r="G34" s="160"/>
      <c r="H34" s="191"/>
      <c r="I34" s="176">
        <f>Tabela13[[#This Row],[CARNE FUNCIONARIOS]]*30</f>
        <v>0</v>
      </c>
      <c r="J34" s="183"/>
      <c r="K34" s="151">
        <f>Tabela13[[#This Row],[ENTRADA]]-Tabela13[[#This Row],[MOTOBOY]]-Tabela13[[#This Row],[GASTO DE MATERIAL]]-Tabela13[[#This Row],[CARNE FUNCIONARIOS EM $$$]]</f>
        <v>0</v>
      </c>
    </row>
    <row r="35" spans="2:11" ht="15.75" thickBot="1" x14ac:dyDescent="0.3">
      <c r="B35" s="88">
        <v>19</v>
      </c>
      <c r="C35" s="175"/>
      <c r="D35" s="190">
        <v>0</v>
      </c>
      <c r="E35" s="174"/>
      <c r="F35" s="186"/>
      <c r="G35" s="160"/>
      <c r="H35" s="191"/>
      <c r="I35" s="176">
        <f>Tabela13[[#This Row],[CARNE FUNCIONARIOS]]*30</f>
        <v>0</v>
      </c>
      <c r="J35" s="183"/>
      <c r="K35" s="151">
        <f>Tabela13[[#This Row],[ENTRADA]]-Tabela13[[#This Row],[MOTOBOY]]-Tabela13[[#This Row],[GASTO DE MATERIAL]]-Tabela13[[#This Row],[CARNE FUNCIONARIOS EM $$$]]</f>
        <v>0</v>
      </c>
    </row>
    <row r="36" spans="2:11" ht="15.75" thickBot="1" x14ac:dyDescent="0.3">
      <c r="B36" s="88">
        <v>20</v>
      </c>
      <c r="C36" s="175"/>
      <c r="D36" s="190"/>
      <c r="E36" s="174"/>
      <c r="F36" s="186"/>
      <c r="G36" s="160"/>
      <c r="H36" s="191"/>
      <c r="I36" s="176">
        <f>Tabela13[[#This Row],[CARNE FUNCIONARIOS]]*30</f>
        <v>0</v>
      </c>
      <c r="J36" s="183"/>
      <c r="K36" s="151">
        <f>Tabela13[[#This Row],[ENTRADA]]-Tabela13[[#This Row],[MOTOBOY]]-Tabela13[[#This Row],[GASTO DE MATERIAL]]-Tabela13[[#This Row],[CARNE FUNCIONARIOS EM $$$]]</f>
        <v>0</v>
      </c>
    </row>
    <row r="37" spans="2:11" ht="15.75" thickBot="1" x14ac:dyDescent="0.3">
      <c r="B37" s="88">
        <v>21</v>
      </c>
      <c r="C37" s="175"/>
      <c r="D37" s="190"/>
      <c r="E37" s="174"/>
      <c r="F37" s="186"/>
      <c r="G37" s="160"/>
      <c r="H37" s="191"/>
      <c r="I37" s="176">
        <f>Tabela13[[#This Row],[CARNE FUNCIONARIOS]]*30</f>
        <v>0</v>
      </c>
      <c r="J37" s="183"/>
      <c r="K37" s="151">
        <f>Tabela13[[#This Row],[ENTRADA]]-Tabela13[[#This Row],[MOTOBOY]]-Tabela13[[#This Row],[GASTO DE MATERIAL]]-Tabela13[[#This Row],[CARNE FUNCIONARIOS EM $$$]]</f>
        <v>0</v>
      </c>
    </row>
    <row r="38" spans="2:11" ht="15.75" thickBot="1" x14ac:dyDescent="0.3">
      <c r="B38" s="88">
        <v>22</v>
      </c>
      <c r="C38" s="175"/>
      <c r="D38" s="190"/>
      <c r="E38" s="174"/>
      <c r="F38" s="186"/>
      <c r="G38" s="148"/>
      <c r="H38" s="191"/>
      <c r="I38" s="176">
        <f>Tabela13[[#This Row],[CARNE FUNCIONARIOS]]*30</f>
        <v>0</v>
      </c>
      <c r="J38" s="183"/>
      <c r="K38" s="151">
        <f>Tabela13[[#This Row],[ENTRADA]]-Tabela13[[#This Row],[MOTOBOY]]-Tabela13[[#This Row],[GASTO DE MATERIAL]]-Tabela13[[#This Row],[CARNE FUNCIONARIOS EM $$$]]</f>
        <v>0</v>
      </c>
    </row>
    <row r="39" spans="2:11" ht="15.75" thickBot="1" x14ac:dyDescent="0.3">
      <c r="B39" s="88">
        <v>23</v>
      </c>
      <c r="C39" s="175"/>
      <c r="D39" s="190"/>
      <c r="E39" s="174"/>
      <c r="F39" s="186"/>
      <c r="G39" s="148"/>
      <c r="H39" s="191"/>
      <c r="I39" s="176">
        <f>Tabela13[[#This Row],[CARNE FUNCIONARIOS]]*30</f>
        <v>0</v>
      </c>
      <c r="J39" s="183"/>
      <c r="K39" s="151">
        <f>Tabela13[[#This Row],[ENTRADA]]-Tabela13[[#This Row],[MOTOBOY]]-Tabela13[[#This Row],[GASTO DE MATERIAL]]-Tabela13[[#This Row],[CARNE FUNCIONARIOS EM $$$]]</f>
        <v>0</v>
      </c>
    </row>
    <row r="40" spans="2:11" ht="15.75" thickBot="1" x14ac:dyDescent="0.3">
      <c r="B40" s="88">
        <v>24</v>
      </c>
      <c r="C40" s="175"/>
      <c r="D40" s="190"/>
      <c r="E40" s="174"/>
      <c r="F40" s="186"/>
      <c r="G40" s="160"/>
      <c r="H40" s="191"/>
      <c r="I40" s="176">
        <f>Tabela13[[#This Row],[CARNE FUNCIONARIOS]]*30</f>
        <v>0</v>
      </c>
      <c r="J40" s="183"/>
      <c r="K40" s="151">
        <f>Tabela13[[#This Row],[ENTRADA]]-Tabela13[[#This Row],[MOTOBOY]]-Tabela13[[#This Row],[GASTO DE MATERIAL]]-Tabela13[[#This Row],[CARNE FUNCIONARIOS EM $$$]]</f>
        <v>0</v>
      </c>
    </row>
    <row r="41" spans="2:11" ht="15.75" thickBot="1" x14ac:dyDescent="0.3">
      <c r="B41" s="88">
        <v>25</v>
      </c>
      <c r="C41" s="175"/>
      <c r="D41" s="190"/>
      <c r="E41" s="174"/>
      <c r="F41" s="186"/>
      <c r="G41" s="160"/>
      <c r="H41" s="191"/>
      <c r="I41" s="176">
        <f>Tabela13[[#This Row],[CARNE FUNCIONARIOS]]*30</f>
        <v>0</v>
      </c>
      <c r="J41" s="183"/>
      <c r="K41" s="151">
        <f>Tabela13[[#This Row],[ENTRADA]]-Tabela13[[#This Row],[MOTOBOY]]-Tabela13[[#This Row],[GASTO DE MATERIAL]]-Tabela13[[#This Row],[CARNE FUNCIONARIOS EM $$$]]</f>
        <v>0</v>
      </c>
    </row>
    <row r="42" spans="2:11" ht="15.75" thickBot="1" x14ac:dyDescent="0.3">
      <c r="B42" s="88">
        <v>26</v>
      </c>
      <c r="C42" s="175"/>
      <c r="D42" s="190"/>
      <c r="E42" s="174"/>
      <c r="F42" s="186"/>
      <c r="G42" s="160"/>
      <c r="H42" s="191"/>
      <c r="I42" s="176">
        <f>Tabela13[[#This Row],[CARNE FUNCIONARIOS]]*30</f>
        <v>0</v>
      </c>
      <c r="J42" s="183"/>
      <c r="K42" s="151">
        <f>Tabela13[[#This Row],[ENTRADA]]-Tabela13[[#This Row],[MOTOBOY]]-Tabela13[[#This Row],[GASTO DE MATERIAL]]-Tabela13[[#This Row],[CARNE FUNCIONARIOS EM $$$]]</f>
        <v>0</v>
      </c>
    </row>
    <row r="43" spans="2:11" ht="15.75" thickBot="1" x14ac:dyDescent="0.3">
      <c r="B43" s="88">
        <v>27</v>
      </c>
      <c r="C43" s="175"/>
      <c r="D43" s="190"/>
      <c r="E43" s="174"/>
      <c r="F43" s="186"/>
      <c r="G43" s="160"/>
      <c r="H43" s="191"/>
      <c r="I43" s="176">
        <f>Tabela13[[#This Row],[CARNE FUNCIONARIOS]]*30</f>
        <v>0</v>
      </c>
      <c r="J43" s="183"/>
      <c r="K43" s="151">
        <f>Tabela13[[#This Row],[ENTRADA]]-Tabela13[[#This Row],[MOTOBOY]]-Tabela13[[#This Row],[GASTO DE MATERIAL]]-Tabela13[[#This Row],[CARNE FUNCIONARIOS EM $$$]]</f>
        <v>0</v>
      </c>
    </row>
    <row r="44" spans="2:11" ht="15.75" thickBot="1" x14ac:dyDescent="0.3">
      <c r="B44" s="88">
        <v>28</v>
      </c>
      <c r="C44" s="175"/>
      <c r="D44" s="190"/>
      <c r="E44" s="174"/>
      <c r="F44" s="186"/>
      <c r="G44" s="160"/>
      <c r="H44" s="191"/>
      <c r="I44" s="176">
        <f>Tabela13[[#This Row],[CARNE FUNCIONARIOS]]*30</f>
        <v>0</v>
      </c>
      <c r="J44" s="183"/>
      <c r="K44" s="151">
        <f>Tabela13[[#This Row],[ENTRADA]]-Tabela13[[#This Row],[MOTOBOY]]-Tabela13[[#This Row],[GASTO DE MATERIAL]]-Tabela13[[#This Row],[CARNE FUNCIONARIOS EM $$$]]</f>
        <v>0</v>
      </c>
    </row>
    <row r="45" spans="2:11" ht="15.75" thickBot="1" x14ac:dyDescent="0.3">
      <c r="B45" s="88">
        <v>29</v>
      </c>
      <c r="C45" s="175"/>
      <c r="D45" s="190"/>
      <c r="E45" s="174"/>
      <c r="F45" s="186"/>
      <c r="G45" s="160"/>
      <c r="H45" s="191"/>
      <c r="I45" s="176">
        <f>Tabela13[[#This Row],[CARNE FUNCIONARIOS]]*30</f>
        <v>0</v>
      </c>
      <c r="J45" s="183"/>
      <c r="K45" s="151">
        <f>Tabela13[[#This Row],[ENTRADA]]-Tabela13[[#This Row],[MOTOBOY]]-Tabela13[[#This Row],[GASTO DE MATERIAL]]-Tabela13[[#This Row],[CARNE FUNCIONARIOS EM $$$]]</f>
        <v>0</v>
      </c>
    </row>
    <row r="46" spans="2:11" ht="15.75" thickBot="1" x14ac:dyDescent="0.3">
      <c r="B46" s="88">
        <v>30</v>
      </c>
      <c r="C46" s="98"/>
      <c r="D46" s="189"/>
      <c r="E46" s="94"/>
      <c r="F46" s="185"/>
      <c r="G46" s="148"/>
      <c r="H46" s="191"/>
      <c r="I46" s="176">
        <f>Tabela13[[#This Row],[CARNE FUNCIONARIOS]]*30</f>
        <v>0</v>
      </c>
      <c r="J46" s="183"/>
      <c r="K46" s="151">
        <f>Tabela13[[#This Row],[ENTRADA]]-Tabela13[[#This Row],[MOTOBOY]]-Tabela13[[#This Row],[GASTO DE MATERIAL]]-Tabela13[[#This Row],[CARNE FUNCIONARIOS EM $$$]]</f>
        <v>0</v>
      </c>
    </row>
    <row r="47" spans="2:11" ht="15.75" thickBot="1" x14ac:dyDescent="0.3">
      <c r="B47" s="139">
        <v>31</v>
      </c>
      <c r="C47" s="175"/>
      <c r="D47" s="190">
        <v>0</v>
      </c>
      <c r="E47" s="174"/>
      <c r="F47" s="186">
        <v>0</v>
      </c>
      <c r="G47" s="160"/>
      <c r="H47" s="190">
        <v>0</v>
      </c>
      <c r="I47" s="175">
        <v>0</v>
      </c>
      <c r="J47" s="183"/>
      <c r="K47" s="151">
        <f>Tabela13[[#This Row],[ENTRADA]]-Tabela13[[#This Row],[MOTOBOY]]-Tabela13[[#This Row],[GASTO DE MATERIAL]]-Tabela13[[#This Row],[CARNE FUNCIONARIOS EM $$$]]</f>
        <v>0</v>
      </c>
    </row>
    <row r="48" spans="2:11" ht="15.75" thickBot="1" x14ac:dyDescent="0.3">
      <c r="B48" s="229" t="s">
        <v>175</v>
      </c>
      <c r="C48" s="230"/>
      <c r="D48" s="230"/>
      <c r="E48" s="230"/>
      <c r="F48" s="230"/>
      <c r="G48" s="230"/>
      <c r="H48" s="230"/>
      <c r="I48" s="230"/>
      <c r="J48" s="230"/>
      <c r="K48" s="192"/>
    </row>
    <row r="49" spans="2:11" ht="15.75" thickBot="1" x14ac:dyDescent="0.3">
      <c r="B49" s="177"/>
      <c r="C49" s="228"/>
      <c r="D49" s="228"/>
      <c r="E49" s="228"/>
      <c r="F49" s="177"/>
      <c r="G49" s="163">
        <f>K19+K21+K22+K23+K24+K25+K26+K27+K28+K29+K30+K31+K32+K33+K34+K35+K36+K37+K38+K39+K40+K41+K42+K43+K44+K45+K46+K47</f>
        <v>0</v>
      </c>
      <c r="H49" s="194"/>
      <c r="I49" s="194"/>
      <c r="J49" s="194"/>
      <c r="K49" s="177"/>
    </row>
    <row r="53" spans="2:11" ht="15.75" thickBot="1" x14ac:dyDescent="0.3"/>
    <row r="54" spans="2:11" ht="15.75" thickBot="1" x14ac:dyDescent="0.3">
      <c r="B54" s="173" t="s">
        <v>188</v>
      </c>
      <c r="C54" s="173" t="s">
        <v>167</v>
      </c>
      <c r="D54" s="173" t="s">
        <v>168</v>
      </c>
      <c r="E54" s="173" t="s">
        <v>55</v>
      </c>
      <c r="F54" s="173" t="s">
        <v>169</v>
      </c>
      <c r="G54" s="173" t="s">
        <v>172</v>
      </c>
      <c r="H54" s="173" t="s">
        <v>189</v>
      </c>
      <c r="I54" s="173" t="s">
        <v>190</v>
      </c>
      <c r="J54" s="181" t="s">
        <v>194</v>
      </c>
      <c r="K54" s="180" t="s">
        <v>173</v>
      </c>
    </row>
    <row r="55" spans="2:11" ht="15.75" thickBot="1" x14ac:dyDescent="0.3">
      <c r="B55" s="88">
        <v>1</v>
      </c>
      <c r="C55" s="98">
        <v>0</v>
      </c>
      <c r="D55" s="188"/>
      <c r="E55" s="149"/>
      <c r="F55" s="184"/>
      <c r="G55" s="148"/>
      <c r="H55" s="191"/>
      <c r="I55" s="176">
        <f>Tabela1315[[#This Row],[CARNE NOSSA]]*30</f>
        <v>0</v>
      </c>
      <c r="J55" s="182"/>
      <c r="K55" s="151">
        <f>Tabela1315[[#This Row],[ENTRADA]]-Tabela1315[[#This Row],[MOTOBOY]]-Tabela1315[[#This Row],[GASTO DE MATERIAL]]-Tabela1315[[#This Row],[CARNE NOSSA EM $$$]]</f>
        <v>0</v>
      </c>
    </row>
    <row r="56" spans="2:11" ht="15.75" thickBot="1" x14ac:dyDescent="0.3">
      <c r="B56" s="88">
        <v>2</v>
      </c>
      <c r="C56" s="98"/>
      <c r="D56" s="189"/>
      <c r="E56" s="94"/>
      <c r="F56" s="185"/>
      <c r="G56" s="148"/>
      <c r="H56" s="191"/>
      <c r="I56" s="176">
        <f>Tabela1315[[#This Row],[CARNE NOSSA]]*30</f>
        <v>0</v>
      </c>
      <c r="J56" s="182"/>
      <c r="K56" s="151">
        <f>Tabela1315[[#This Row],[ENTRADA]]-Tabela1315[[#This Row],[MOTOBOY]]-Tabela1315[[#This Row],[GASTO DE MATERIAL]]-Tabela1315[[#This Row],[CARNE NOSSA EM $$$]]</f>
        <v>0</v>
      </c>
    </row>
    <row r="57" spans="2:11" ht="15.75" thickBot="1" x14ac:dyDescent="0.3">
      <c r="B57" s="88">
        <v>3</v>
      </c>
      <c r="C57" s="175"/>
      <c r="D57" s="190"/>
      <c r="E57" s="174"/>
      <c r="F57" s="186"/>
      <c r="G57" s="160"/>
      <c r="H57" s="191"/>
      <c r="I57" s="176">
        <f>Tabela1315[[#This Row],[CARNE NOSSA]]*30</f>
        <v>0</v>
      </c>
      <c r="J57" s="182"/>
      <c r="K57" s="151">
        <f>Tabela1315[[#This Row],[ENTRADA]]-Tabela1315[[#This Row],[MOTOBOY]]-Tabela1315[[#This Row],[GASTO DE MATERIAL]]-Tabela1315[[#This Row],[CARNE NOSSA EM $$$]]</f>
        <v>0</v>
      </c>
    </row>
    <row r="58" spans="2:11" ht="15.75" thickBot="1" x14ac:dyDescent="0.3">
      <c r="B58" s="88">
        <v>4</v>
      </c>
      <c r="C58" s="175"/>
      <c r="D58" s="190"/>
      <c r="E58" s="174"/>
      <c r="F58" s="186"/>
      <c r="G58" s="160"/>
      <c r="H58" s="191"/>
      <c r="I58" s="176">
        <f>Tabela1315[[#This Row],[CARNE NOSSA]]*30</f>
        <v>0</v>
      </c>
      <c r="J58" s="182"/>
      <c r="K58" s="151">
        <f>Tabela1315[[#This Row],[ENTRADA]]-Tabela1315[[#This Row],[MOTOBOY]]-Tabela1315[[#This Row],[GASTO DE MATERIAL]]-Tabela1315[[#This Row],[CARNE NOSSA EM $$$]]</f>
        <v>0</v>
      </c>
    </row>
    <row r="59" spans="2:11" ht="15.75" thickBot="1" x14ac:dyDescent="0.3">
      <c r="B59" s="88">
        <v>5</v>
      </c>
      <c r="C59" s="175"/>
      <c r="D59" s="190"/>
      <c r="E59" s="174"/>
      <c r="F59" s="186"/>
      <c r="G59" s="160"/>
      <c r="H59" s="191"/>
      <c r="I59" s="176">
        <f>Tabela1315[[#This Row],[CARNE NOSSA]]*30</f>
        <v>0</v>
      </c>
      <c r="J59" s="182"/>
      <c r="K59" s="151">
        <f>Tabela1315[[#This Row],[ENTRADA]]-Tabela1315[[#This Row],[MOTOBOY]]-Tabela1315[[#This Row],[GASTO DE MATERIAL]]-Tabela1315[[#This Row],[CARNE NOSSA EM $$$]]</f>
        <v>0</v>
      </c>
    </row>
    <row r="60" spans="2:11" ht="15.75" thickBot="1" x14ac:dyDescent="0.3">
      <c r="B60" s="88">
        <v>6</v>
      </c>
      <c r="C60" s="175"/>
      <c r="D60" s="190"/>
      <c r="E60" s="174"/>
      <c r="F60" s="186"/>
      <c r="G60" s="160"/>
      <c r="H60" s="191"/>
      <c r="I60" s="176">
        <f>Tabela1315[[#This Row],[CARNE NOSSA]]*30</f>
        <v>0</v>
      </c>
      <c r="J60" s="182"/>
      <c r="K60" s="151">
        <f>Tabela1315[[#This Row],[ENTRADA]]-Tabela1315[[#This Row],[MOTOBOY]]-Tabela1315[[#This Row],[GASTO DE MATERIAL]]-Tabela1315[[#This Row],[CARNE NOSSA EM $$$]]</f>
        <v>0</v>
      </c>
    </row>
    <row r="61" spans="2:11" ht="15.75" thickBot="1" x14ac:dyDescent="0.3">
      <c r="B61" s="88">
        <v>7</v>
      </c>
      <c r="C61" s="175"/>
      <c r="D61" s="190"/>
      <c r="E61" s="174"/>
      <c r="F61" s="186"/>
      <c r="G61" s="160"/>
      <c r="H61" s="191"/>
      <c r="I61" s="176">
        <v>0</v>
      </c>
      <c r="J61" s="182"/>
      <c r="K61" s="151">
        <f>Tabela1315[[#This Row],[ENTRADA]]-Tabela1315[[#This Row],[MOTOBOY]]-Tabela1315[[#This Row],[GASTO DE MATERIAL]]-Tabela1315[[#This Row],[CARNE NOSSA EM $$$]]</f>
        <v>0</v>
      </c>
    </row>
    <row r="62" spans="2:11" ht="15.75" thickBot="1" x14ac:dyDescent="0.3">
      <c r="B62" s="88">
        <v>8</v>
      </c>
      <c r="C62" s="175"/>
      <c r="D62" s="190"/>
      <c r="E62" s="174"/>
      <c r="F62" s="186"/>
      <c r="G62" s="160"/>
      <c r="H62" s="191"/>
      <c r="I62" s="176">
        <v>0</v>
      </c>
      <c r="J62" s="182"/>
      <c r="K62" s="151">
        <f>Tabela1315[[#This Row],[ENTRADA]]-Tabela1315[[#This Row],[MOTOBOY]]-Tabela1315[[#This Row],[GASTO DE MATERIAL]]-Tabela1315[[#This Row],[CARNE NOSSA EM $$$]]</f>
        <v>0</v>
      </c>
    </row>
    <row r="63" spans="2:11" ht="15.75" thickBot="1" x14ac:dyDescent="0.3">
      <c r="B63" s="88">
        <v>9</v>
      </c>
      <c r="C63" s="175"/>
      <c r="D63" s="190"/>
      <c r="E63" s="174"/>
      <c r="F63" s="186"/>
      <c r="G63" s="160"/>
      <c r="H63" s="191"/>
      <c r="I63" s="176">
        <f>Tabela1315[[#This Row],[CARNE NOSSA]]*30</f>
        <v>0</v>
      </c>
      <c r="J63" s="187"/>
      <c r="K63" s="151">
        <f>Tabela1315[[#This Row],[ENTRADA]]-Tabela1315[[#This Row],[MOTOBOY]]-Tabela1315[[#This Row],[GASTO DE MATERIAL]]-Tabela1315[[#This Row],[CARNE NOSSA EM $$$]]</f>
        <v>0</v>
      </c>
    </row>
    <row r="64" spans="2:11" ht="15.75" thickBot="1" x14ac:dyDescent="0.3">
      <c r="B64" s="88">
        <v>10</v>
      </c>
      <c r="C64" s="175"/>
      <c r="D64" s="190"/>
      <c r="E64" s="174"/>
      <c r="F64" s="186"/>
      <c r="G64" s="160"/>
      <c r="H64" s="191"/>
      <c r="I64" s="176">
        <f>Tabela1315[[#This Row],[CARNE NOSSA]]*30</f>
        <v>0</v>
      </c>
      <c r="J64" s="183"/>
      <c r="K64" s="151">
        <f>Tabela1315[[#This Row],[ENTRADA]]-Tabela1315[[#This Row],[MOTOBOY]]-Tabela1315[[#This Row],[GASTO DE MATERIAL]]-Tabela1315[[#This Row],[CARNE NOSSA EM $$$]]</f>
        <v>0</v>
      </c>
    </row>
    <row r="65" spans="2:11" ht="15.75" thickBot="1" x14ac:dyDescent="0.3">
      <c r="B65" s="88">
        <v>11</v>
      </c>
      <c r="C65" s="175"/>
      <c r="D65" s="190"/>
      <c r="E65" s="174"/>
      <c r="F65" s="186"/>
      <c r="G65" s="160"/>
      <c r="H65" s="191"/>
      <c r="I65" s="176">
        <f>Tabela1315[[#This Row],[CARNE NOSSA]]*30</f>
        <v>0</v>
      </c>
      <c r="J65" s="183"/>
      <c r="K65" s="151">
        <f>Tabela1315[[#This Row],[ENTRADA]]-Tabela1315[[#This Row],[MOTOBOY]]-Tabela1315[[#This Row],[GASTO DE MATERIAL]]-Tabela1315[[#This Row],[CARNE NOSSA EM $$$]]</f>
        <v>0</v>
      </c>
    </row>
    <row r="66" spans="2:11" ht="15.75" thickBot="1" x14ac:dyDescent="0.3">
      <c r="B66" s="88">
        <v>12</v>
      </c>
      <c r="C66" s="175"/>
      <c r="D66" s="190"/>
      <c r="E66" s="174"/>
      <c r="F66" s="186"/>
      <c r="G66" s="160"/>
      <c r="H66" s="191"/>
      <c r="I66" s="176">
        <f>Tabela1315[[#This Row],[CARNE NOSSA]]*30</f>
        <v>0</v>
      </c>
      <c r="J66" s="183"/>
      <c r="K66" s="151">
        <f>Tabela1315[[#This Row],[ENTRADA]]-Tabela1315[[#This Row],[MOTOBOY]]-Tabela1315[[#This Row],[GASTO DE MATERIAL]]-Tabela1315[[#This Row],[CARNE NOSSA EM $$$]]</f>
        <v>0</v>
      </c>
    </row>
    <row r="67" spans="2:11" ht="15.75" thickBot="1" x14ac:dyDescent="0.3">
      <c r="B67" s="88">
        <v>13</v>
      </c>
      <c r="C67" s="175"/>
      <c r="D67" s="190"/>
      <c r="E67" s="174"/>
      <c r="F67" s="186"/>
      <c r="G67" s="160"/>
      <c r="H67" s="191"/>
      <c r="I67" s="176">
        <f>Tabela1315[[#This Row],[CARNE NOSSA]]*30</f>
        <v>0</v>
      </c>
      <c r="J67" s="183"/>
      <c r="K67" s="151">
        <f>Tabela1315[[#This Row],[ENTRADA]]-Tabela1315[[#This Row],[MOTOBOY]]-Tabela1315[[#This Row],[GASTO DE MATERIAL]]-Tabela1315[[#This Row],[CARNE NOSSA EM $$$]]</f>
        <v>0</v>
      </c>
    </row>
    <row r="68" spans="2:11" ht="15.75" thickBot="1" x14ac:dyDescent="0.3">
      <c r="B68" s="88">
        <v>14</v>
      </c>
      <c r="C68" s="175"/>
      <c r="D68" s="190"/>
      <c r="E68" s="174"/>
      <c r="F68" s="186"/>
      <c r="G68" s="160"/>
      <c r="H68" s="191"/>
      <c r="I68" s="176">
        <f>Tabela1315[[#This Row],[CARNE NOSSA]]*30</f>
        <v>0</v>
      </c>
      <c r="J68" s="183"/>
      <c r="K68" s="151">
        <f>Tabela1315[[#This Row],[ENTRADA]]-Tabela1315[[#This Row],[MOTOBOY]]-Tabela1315[[#This Row],[GASTO DE MATERIAL]]-Tabela1315[[#This Row],[CARNE NOSSA EM $$$]]</f>
        <v>0</v>
      </c>
    </row>
    <row r="69" spans="2:11" ht="15.75" thickBot="1" x14ac:dyDescent="0.3">
      <c r="B69" s="141">
        <v>15</v>
      </c>
      <c r="C69" s="175"/>
      <c r="D69" s="190"/>
      <c r="E69" s="174"/>
      <c r="F69" s="186"/>
      <c r="G69" s="160"/>
      <c r="H69" s="189"/>
      <c r="I69" s="176">
        <f>Tabela1315[[#This Row],[CARNE NOSSA]]*30</f>
        <v>0</v>
      </c>
      <c r="J69" s="183"/>
      <c r="K69" s="151">
        <f>Tabela1315[[#This Row],[ENTRADA]]-Tabela1315[[#This Row],[MOTOBOY]]-Tabela1315[[#This Row],[GASTO DE MATERIAL]]-Tabela1315[[#This Row],[CARNE NOSSA EM $$$]]</f>
        <v>0</v>
      </c>
    </row>
    <row r="70" spans="2:11" ht="15.75" thickBot="1" x14ac:dyDescent="0.3">
      <c r="B70" s="88">
        <v>16</v>
      </c>
      <c r="C70" s="175"/>
      <c r="D70" s="190"/>
      <c r="E70" s="174"/>
      <c r="F70" s="186"/>
      <c r="G70" s="160"/>
      <c r="H70" s="191"/>
      <c r="I70" s="176">
        <f>Tabela1315[[#This Row],[CARNE NOSSA]]*30</f>
        <v>0</v>
      </c>
      <c r="J70" s="183"/>
      <c r="K70" s="151">
        <f>Tabela1315[[#This Row],[ENTRADA]]-Tabela1315[[#This Row],[MOTOBOY]]-Tabela1315[[#This Row],[GASTO DE MATERIAL]]-Tabela1315[[#This Row],[CARNE NOSSA EM $$$]]</f>
        <v>0</v>
      </c>
    </row>
    <row r="71" spans="2:11" ht="15.75" thickBot="1" x14ac:dyDescent="0.3">
      <c r="B71" s="88">
        <v>17</v>
      </c>
      <c r="C71" s="175"/>
      <c r="D71" s="190"/>
      <c r="E71" s="174"/>
      <c r="F71" s="186"/>
      <c r="G71" s="160"/>
      <c r="H71" s="191"/>
      <c r="I71" s="176">
        <f>Tabela1315[[#This Row],[CARNE NOSSA]]*30</f>
        <v>0</v>
      </c>
      <c r="J71" s="183"/>
      <c r="K71" s="151">
        <f>Tabela1315[[#This Row],[ENTRADA]]-Tabela1315[[#This Row],[MOTOBOY]]-Tabela1315[[#This Row],[GASTO DE MATERIAL]]-Tabela1315[[#This Row],[CARNE NOSSA EM $$$]]</f>
        <v>0</v>
      </c>
    </row>
    <row r="72" spans="2:11" ht="15.75" thickBot="1" x14ac:dyDescent="0.3">
      <c r="B72" s="88">
        <v>18</v>
      </c>
      <c r="C72" s="175"/>
      <c r="D72" s="190"/>
      <c r="E72" s="174"/>
      <c r="F72" s="186"/>
      <c r="G72" s="160"/>
      <c r="H72" s="191"/>
      <c r="I72" s="176">
        <f>Tabela1315[[#This Row],[CARNE NOSSA]]*30</f>
        <v>0</v>
      </c>
      <c r="J72" s="183"/>
      <c r="K72" s="151">
        <f>Tabela1315[[#This Row],[ENTRADA]]-Tabela1315[[#This Row],[MOTOBOY]]-Tabela1315[[#This Row],[GASTO DE MATERIAL]]-Tabela1315[[#This Row],[CARNE NOSSA EM $$$]]</f>
        <v>0</v>
      </c>
    </row>
    <row r="73" spans="2:11" ht="15.75" thickBot="1" x14ac:dyDescent="0.3">
      <c r="B73" s="88">
        <v>19</v>
      </c>
      <c r="C73" s="175"/>
      <c r="D73" s="190"/>
      <c r="E73" s="174"/>
      <c r="F73" s="186"/>
      <c r="G73" s="160"/>
      <c r="H73" s="191"/>
      <c r="I73" s="176">
        <f>Tabela1315[[#This Row],[CARNE NOSSA]]*30</f>
        <v>0</v>
      </c>
      <c r="J73" s="183"/>
      <c r="K73" s="151">
        <f>Tabela1315[[#This Row],[ENTRADA]]-Tabela1315[[#This Row],[MOTOBOY]]-Tabela1315[[#This Row],[GASTO DE MATERIAL]]-Tabela1315[[#This Row],[CARNE NOSSA EM $$$]]</f>
        <v>0</v>
      </c>
    </row>
    <row r="74" spans="2:11" ht="15.75" thickBot="1" x14ac:dyDescent="0.3">
      <c r="B74" s="88">
        <v>20</v>
      </c>
      <c r="C74" s="175"/>
      <c r="D74" s="190"/>
      <c r="E74" s="174"/>
      <c r="F74" s="186"/>
      <c r="G74" s="148"/>
      <c r="H74" s="191"/>
      <c r="I74" s="176">
        <f>Tabela1315[[#This Row],[CARNE NOSSA]]*30</f>
        <v>0</v>
      </c>
      <c r="J74" s="183"/>
      <c r="K74" s="151">
        <f>Tabela1315[[#This Row],[ENTRADA]]-Tabela1315[[#This Row],[MOTOBOY]]-Tabela1315[[#This Row],[GASTO DE MATERIAL]]-Tabela1315[[#This Row],[CARNE NOSSA EM $$$]]</f>
        <v>0</v>
      </c>
    </row>
    <row r="75" spans="2:11" ht="15.75" thickBot="1" x14ac:dyDescent="0.3">
      <c r="B75" s="88">
        <v>21</v>
      </c>
      <c r="C75" s="175"/>
      <c r="D75" s="190"/>
      <c r="E75" s="174"/>
      <c r="F75" s="186"/>
      <c r="G75" s="148"/>
      <c r="H75" s="191"/>
      <c r="I75" s="176">
        <f>Tabela1315[[#This Row],[CARNE NOSSA]]*30</f>
        <v>0</v>
      </c>
      <c r="J75" s="183"/>
      <c r="K75" s="151">
        <f>Tabela1315[[#This Row],[ENTRADA]]-Tabela1315[[#This Row],[MOTOBOY]]-Tabela1315[[#This Row],[GASTO DE MATERIAL]]-Tabela1315[[#This Row],[CARNE NOSSA EM $$$]]</f>
        <v>0</v>
      </c>
    </row>
    <row r="76" spans="2:11" ht="15.75" thickBot="1" x14ac:dyDescent="0.3">
      <c r="B76" s="88">
        <v>22</v>
      </c>
      <c r="C76" s="175"/>
      <c r="D76" s="190"/>
      <c r="E76" s="174"/>
      <c r="F76" s="186"/>
      <c r="G76" s="160"/>
      <c r="H76" s="191"/>
      <c r="I76" s="176">
        <f>Tabela1315[[#This Row],[CARNE NOSSA]]*30</f>
        <v>0</v>
      </c>
      <c r="J76" s="183"/>
      <c r="K76" s="151">
        <f>Tabela1315[[#This Row],[ENTRADA]]-Tabela1315[[#This Row],[MOTOBOY]]-Tabela1315[[#This Row],[GASTO DE MATERIAL]]-Tabela1315[[#This Row],[CARNE NOSSA EM $$$]]</f>
        <v>0</v>
      </c>
    </row>
    <row r="77" spans="2:11" ht="15.75" thickBot="1" x14ac:dyDescent="0.3">
      <c r="B77" s="88">
        <v>23</v>
      </c>
      <c r="C77" s="175"/>
      <c r="D77" s="190"/>
      <c r="E77" s="174"/>
      <c r="F77" s="186"/>
      <c r="G77" s="160"/>
      <c r="H77" s="191"/>
      <c r="I77" s="176">
        <f>Tabela1315[[#This Row],[CARNE NOSSA]]*30</f>
        <v>0</v>
      </c>
      <c r="J77" s="183"/>
      <c r="K77" s="151">
        <f>Tabela1315[[#This Row],[ENTRADA]]-Tabela1315[[#This Row],[MOTOBOY]]-Tabela1315[[#This Row],[GASTO DE MATERIAL]]-Tabela1315[[#This Row],[CARNE NOSSA EM $$$]]</f>
        <v>0</v>
      </c>
    </row>
    <row r="78" spans="2:11" ht="15.75" thickBot="1" x14ac:dyDescent="0.3">
      <c r="B78" s="88">
        <v>24</v>
      </c>
      <c r="C78" s="175"/>
      <c r="D78" s="190"/>
      <c r="E78" s="174"/>
      <c r="F78" s="186"/>
      <c r="G78" s="160"/>
      <c r="H78" s="191"/>
      <c r="I78" s="176">
        <f>Tabela1315[[#This Row],[CARNE NOSSA]]*30</f>
        <v>0</v>
      </c>
      <c r="J78" s="183"/>
      <c r="K78" s="151">
        <f>Tabela1315[[#This Row],[ENTRADA]]-Tabela1315[[#This Row],[MOTOBOY]]-Tabela1315[[#This Row],[GASTO DE MATERIAL]]-Tabela1315[[#This Row],[CARNE NOSSA EM $$$]]</f>
        <v>0</v>
      </c>
    </row>
    <row r="79" spans="2:11" ht="15.75" thickBot="1" x14ac:dyDescent="0.3">
      <c r="B79" s="88">
        <v>25</v>
      </c>
      <c r="C79" s="175"/>
      <c r="D79" s="190"/>
      <c r="E79" s="174"/>
      <c r="F79" s="186"/>
      <c r="G79" s="160"/>
      <c r="H79" s="191"/>
      <c r="I79" s="176">
        <f>Tabela1315[[#This Row],[CARNE NOSSA]]*30</f>
        <v>0</v>
      </c>
      <c r="J79" s="183"/>
      <c r="K79" s="151">
        <f>Tabela1315[[#This Row],[ENTRADA]]-Tabela1315[[#This Row],[MOTOBOY]]-Tabela1315[[#This Row],[GASTO DE MATERIAL]]-Tabela1315[[#This Row],[CARNE NOSSA EM $$$]]</f>
        <v>0</v>
      </c>
    </row>
    <row r="80" spans="2:11" ht="15.75" thickBot="1" x14ac:dyDescent="0.3">
      <c r="B80" s="88">
        <v>26</v>
      </c>
      <c r="C80" s="175"/>
      <c r="D80" s="190"/>
      <c r="E80" s="174"/>
      <c r="F80" s="186"/>
      <c r="G80" s="160"/>
      <c r="H80" s="191"/>
      <c r="I80" s="176">
        <f>Tabela1315[[#This Row],[CARNE NOSSA]]*30</f>
        <v>0</v>
      </c>
      <c r="J80" s="183"/>
      <c r="K80" s="151">
        <f>Tabela1315[[#This Row],[ENTRADA]]-Tabela1315[[#This Row],[MOTOBOY]]-Tabela1315[[#This Row],[GASTO DE MATERIAL]]-Tabela1315[[#This Row],[CARNE NOSSA EM $$$]]</f>
        <v>0</v>
      </c>
    </row>
    <row r="81" spans="2:11" ht="15.75" thickBot="1" x14ac:dyDescent="0.3">
      <c r="B81" s="88">
        <v>27</v>
      </c>
      <c r="C81" s="175"/>
      <c r="D81" s="190"/>
      <c r="E81" s="174"/>
      <c r="F81" s="186"/>
      <c r="G81" s="160"/>
      <c r="H81" s="191"/>
      <c r="I81" s="176">
        <f>Tabela1315[[#This Row],[CARNE NOSSA]]*30</f>
        <v>0</v>
      </c>
      <c r="J81" s="183"/>
      <c r="K81" s="151">
        <f>Tabela1315[[#This Row],[ENTRADA]]-Tabela1315[[#This Row],[MOTOBOY]]-Tabela1315[[#This Row],[GASTO DE MATERIAL]]-Tabela1315[[#This Row],[CARNE NOSSA EM $$$]]</f>
        <v>0</v>
      </c>
    </row>
    <row r="82" spans="2:11" ht="15.75" thickBot="1" x14ac:dyDescent="0.3">
      <c r="B82" s="88">
        <v>28</v>
      </c>
      <c r="C82" s="98"/>
      <c r="D82" s="189"/>
      <c r="E82" s="94"/>
      <c r="F82" s="185"/>
      <c r="G82" s="148"/>
      <c r="H82" s="191"/>
      <c r="I82" s="176">
        <f>Tabela1315[[#This Row],[CARNE NOSSA]]*30</f>
        <v>0</v>
      </c>
      <c r="J82" s="183"/>
      <c r="K82" s="151">
        <f>Tabela1315[[#This Row],[ENTRADA]]-Tabela1315[[#This Row],[MOTOBOY]]-Tabela1315[[#This Row],[GASTO DE MATERIAL]]-Tabela1315[[#This Row],[CARNE NOSSA EM $$$]]</f>
        <v>0</v>
      </c>
    </row>
    <row r="83" spans="2:11" ht="15.75" thickBot="1" x14ac:dyDescent="0.3">
      <c r="K83" s="42">
        <f>Tabela1315[[#This Row],[ENTRADA]]-Tabela1315[[#This Row],[MOTOBOY]]-Tabela1315[[#This Row],[GASTO DE MATERIAL]]-Tabela1315[[#This Row],[CARNE NOSSA EM $$$]]</f>
        <v>0</v>
      </c>
    </row>
    <row r="84" spans="2:11" ht="15.75" thickBot="1" x14ac:dyDescent="0.3">
      <c r="B84" s="139"/>
      <c r="G84" s="88" t="s">
        <v>102</v>
      </c>
      <c r="K84" s="42">
        <f>Tabela1315[[#This Row],[ENTRADA]]-Tabela1315[[#This Row],[MOTOBOY]]-Tabela1315[[#This Row],[GASTO DE MATERIAL]]-Tabela1315[[#This Row],[CARNE NOSSA EM $$$]]</f>
        <v>0</v>
      </c>
    </row>
    <row r="85" spans="2:11" ht="15.75" thickBot="1" x14ac:dyDescent="0.3">
      <c r="G85" s="149">
        <f>K55+K56+K57+K58+K59+K60+K61+K62+K63+K64+K65+K66+K67+K68+K69+K70+K71+K72+K73+K74+K75+K76+K77+K78+K79+K80+K81+K82</f>
        <v>0</v>
      </c>
    </row>
  </sheetData>
  <mergeCells count="5">
    <mergeCell ref="C49:E49"/>
    <mergeCell ref="B48:J48"/>
    <mergeCell ref="B14:I14"/>
    <mergeCell ref="G15:I15"/>
    <mergeCell ref="B15:E15"/>
  </mergeCells>
  <conditionalFormatting sqref="C4:C13 C19 C21:C46">
    <cfRule type="cellIs" dxfId="1" priority="4" operator="greaterThan">
      <formula>0</formula>
    </cfRule>
  </conditionalFormatting>
  <conditionalFormatting sqref="C55 C57:C82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INSUMOS</vt:lpstr>
      <vt:lpstr>CARDAPIO+PREÇO</vt:lpstr>
      <vt:lpstr>CALCULO DE VENDAS</vt:lpstr>
      <vt:lpstr>$$$ DIARIA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Cardoso</dc:creator>
  <cp:lastModifiedBy>Danilo Cardoso</cp:lastModifiedBy>
  <dcterms:created xsi:type="dcterms:W3CDTF">2022-11-08T12:56:51Z</dcterms:created>
  <dcterms:modified xsi:type="dcterms:W3CDTF">2024-11-22T04:57:37Z</dcterms:modified>
</cp:coreProperties>
</file>